
<file path=[Content_Types].xml><?xml version="1.0" encoding="utf-8"?>
<Types xmlns="http://schemas.openxmlformats.org/package/2006/content-types">
  <Default Extension="rels" ContentType="application/vnd.openxmlformats-package.relationships+xml"/>
  <Default Extension="tmp" ContentType="image/x-em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2019110\Downloads\"/>
    </mc:Choice>
  </mc:AlternateContent>
  <xr:revisionPtr revIDLastSave="0" documentId="8_{D339193F-E355-444C-886F-D7765C202BA9}" xr6:coauthVersionLast="47" xr6:coauthVersionMax="47" xr10:uidLastSave="{00000000-0000-0000-0000-000000000000}"/>
  <bookViews>
    <workbookView xWindow="-108" yWindow="-108" windowWidth="23256" windowHeight="12456" xr2:uid="{8BCB2FB3-2599-4F61-80BA-B763B5053A2E}"/>
  </bookViews>
  <sheets>
    <sheet name="Sheet1" sheetId="1" r:id="rId1"/>
  </sheets>
  <definedNames>
    <definedName name="_xlnm._FilterDatabase" localSheetId="0" hidden="1">Sheet1!$A$1:$I$1974</definedName>
    <definedName name="ixlNextC" localSheetId="0" hidden="1">6363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974" i="1" l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森 みずき</author>
  </authors>
  <commentList>
    <comment ref="A2" authorId="0" shapeId="0" xr:uid="{B8B08C22-63BD-4DD0-A4B9-93FB1B87016A}">
      <text>
        <r>
          <rPr>
            <sz val="9"/>
            <color indexed="81"/>
            <rFont val="MS P ゴシック"/>
            <family val="3"/>
            <charset val="128"/>
          </rPr>
          <t>Insight iXlW00001C0000002R0585476093S00000002P01324LAocjBAQBF1NjaVRlZ2ljLmRhdGEuTW9sZWN1bGUBbwF/ARJTY2lUZWdpYy5Nb2xlY3VsZQAAAQFkAv5qAQAAAAIAAgERHAAEAPz8APwAAgAAAAAAAPC/AryWkA96Nva/AicxCKwcWvC/AAAAABgAAAD8/AD8AAIAAAAAAADwvwK8lpAPejb2vwK7SQwCK4eWvwAAAAAgAPwA/PwA/AACAAAAAAAA8L8Ct9EA3gIJAsACJzEIrBxa+L8AAAAAGAAAAPz8APwAAgAAAAAAAPC/AvRsVn2utuC/AmU730+Nl94/AAAAACAAAAD8/AD8AAIAAAAAAADwvwL0bFZ9rrbgvwInMQisHFr4vwAAAAAYAAAA/PwA/AACAAAAAAAA8L8Cf/s6cM4IAsACZTvfT42X3j8AAAAAIAAAAPz8APwAAgAAAAAAAPC/Ah6n6Egu/9U/ArtJDAIrh5a/AAAAACAAAAD8/AD8AAIAAAAAAADwvwIooImw4ekHQAJYW7G/7J7YPwAAAAAkAAAA/PwA/AACAAAAAAAA8L8C2IFzRpT2CMACu0kMAiuHlr8AAAAAGAAAAPz8APwAAgAAAAAAAPC/AgmKH2PuWvM/AmU730+Nl94/AAAAABgAAAD8/AD8AAIAAAAAAADwvwIldQKaCJsAQAK7SQwCK4eWvwAAAAAYAAAA/PwA/AACAAAAAAAA8L8CvJaQD3o29r8C2s73U+Ol/z8AAAAAGAAAAPz8APwAAgAAAAAAAPC/AvRsVn2utuC/AtnO91Pjpfc/AAAAABgAAAD8/AD8AAIAAAAAAADwvwJ/+zpwzggCwALZzvdT46X3PwAAAAAYAAAA/PwA/AACAAAAAAAA8L8CwH0dOGdEDUACAwmKH2Pu1r8AAAAAGAAAAPz8APwAAgAAAAAAAPC/AhrAWyBBcQFAAt0kBoGVQ/C/AAAAABgAAAD8/AD8AAIAAAAAAADwvwLAfR04Z0QJQAL0jlN0JJfzvwAAAAABEgQAAWUEAAAAAAAAAAAIAAFlBAAAAAAAAAAADAQBZQgIAAAAAAAAABAAAWUIAAAAAAAAAAAUBAFlBAAAAAAAAAAAGAwBZQQAAAAAAAAAABwoAWUEAAAAAAAAAAAgFAFlBAAAAAAAAAAAJBgBZQQAAAAAAAAAACgkAWUEAAAAAAAAAAAsNAFlBAAAAAAAAAAAMAwBZQQAAAAAAAAAADQUAWUICAAAAAAAAAA4HAFlBAAAAAAAAAAAPCgBZQQAAAAAAAAAAAEQPAFlBAAAAAAAAAAALDABZQgIAAAAAAAAAAEQOAFlBAAAAAAAAAAAAAAAAA==</t>
        </r>
      </text>
    </comment>
    <comment ref="A3" authorId="0" shapeId="0" xr:uid="{80A18FA2-400C-4E54-B064-BEE32197B740}">
      <text>
        <r>
          <rPr>
            <sz val="9"/>
            <color indexed="81"/>
            <rFont val="MS P ゴシック"/>
            <family val="3"/>
            <charset val="128"/>
          </rPr>
          <t>Insight iXlW00001C0000003R0585476093S00000004P01832LAocjBAQBF1NjaVRlZ2ljLmRhdGEuTW9sZWN1bGUBbwF/ARJTY2lUZWdpYy5Nb2xlY3VsZQAAAQFkAv5qAQAAAAIAAgEYHAAEAPz8APwAAgAAAAAAAPC/AhPyQc9mVQDAAlK4HoXrUfE/AAAAABgAAAD8/AD8AAIAAAAAAADwvwIT8kHPZlUEwAKDwMqhRbbLPwAAAAAYAAAA/PwA/AACAAAAAAAA8L8CE/JBz2ZVAMACYxBYObTI5L8AAAAAHAAAAPz8APwAAgAAAAAAAPC/Aibkg57NqvC/AmMQWDm0yOS/AAAAABgAAAD8/AD8AAIAAAAAAADwvwLtDb4wmaoDQAKDwMqhRbbLPwAAAAAgAPwA/PwA/AACAAAAAAAA8L8CJuSDns2q8L8CUrgehetR8T8AAAAAHAAAAPz8APwAAgAAAAAAAPC/AtsbfGEyVf8/AmMQWDm0yOS/AAAAACAAAAD8/AD8AAIAAAAAAADwvwIT8kHPZlUEwAKUGARWDi3/PwAAAAAgAAAA/PwA/AACAAAAAAAA8L8C7g2+MJmqC0ACg8DKoUW2yz8AAAAAGAAAAPz8APwAAgAAAAAAAPC/AhPyQc9mVQTAAnNoke18P/i/AAAAABgAAAD8/AD8AAIAAAAAAADwvwJMyAc9m1XhvwJzaJHtfD/4vwAAAAAYAAAA/PwA/AACAAAAAAAA8L8CTMgHPZtV4b8Cg8DKoUW2yz8AAAAAIAAAAPz8APwAAgAAAAAAAPC/AtsbfGEyVf8/AlK4HoXrUfE/AAAAABgAAAD8/AD8AAIAAAAAAADwvwLuDb4wmaoPQAJSuB6F61HxPwAAAAAYAAAA/PwA/AACAAAAAAAA8L8Cam/whclU3T8Cg8DKoUW2yz8AAAAAGAAAAPz8APwAAgAAAAAAAPC/Ampv8IXJVN0/AnNoke18P/i/AAAAABgAAAD8/AD8AAIAAAAAAADwvwK1N/jCZKruPwJjEFg5tMjkvwAAAAAYAAAA/PwA/AACAAAAAAAA8L8CE/JBz2ZVDMACg8DKoUW2yz8AAAAAJAAAAPz8APwAAgAAAAAAAPC/AhPyQc9mVQDAAlpkO99PDQPAAAAAABgAAAD8/AD8AAIAAAAAAADwvwIK+aBnsyoQwAJjEFg5tMjkvwAAAAAYAAAA/PwA/AACAAAAAAAA8L8CE/JBz2ZVDMACc2iR7Xw/+L8AAAAAGAAAAPz8APwAAgAAAAAAAPC/As1dS8gHvQhAAlK4HoXrUfk/AAAAABgAAAD8/AD8AAIAAAAAAADwvwL3Bl+YTNURQAIFxY8xdy3/PwAAAAAYAAAA/PwA/AACAAAAAAAA8L8CI0p7gy9ME0ACpHA9Ctej4j8AAAAAARkEAAFlBAAAAAAAAAAACAQBZQgIAAAAAAAAAAwIAWUEAAAAAAAAAAAQGAFlBAAAAAAAAAAAFAABZQQAAAAAAAAAABgBEAFlBAAAAAAAAAAAHAABZQgAAAAAAAAAACAQAWUEAAAAAAAAAAAkCAFlBAAAAAAAAAAAKAwBZQQAAAAAAAAAACwMAWUEAAAAAAAAAAAwEAFlCAAAAAAAAAAANCABZQQAAAAAAAAAADgsAWUEAAAAAAAAAAA8KAFlBAAAAAAAAAAAARA4AWUEAAAAAAAAAAABEQQBZQQAAAAAAAAAAAESJAFlBAAAAAAAAAAAARMBEQFlCAgAAAAAAAAAARQBEwFlBAAAAAAAAAAAARU0AWUEAAAAAAAAAAABFjQBZQQAAAAAAAAAAAEXNAFlBAAAAAAAAAAAJAEUAWUICAAAAAAAAAABEDwBZQQAAAAAAAAAAAAAAAA=</t>
        </r>
      </text>
    </comment>
    <comment ref="A4" authorId="0" shapeId="0" xr:uid="{30900A39-E43C-4440-A5DF-13DD7A96006D}">
      <text>
        <r>
          <rPr>
            <sz val="9"/>
            <color indexed="81"/>
            <rFont val="MS P ゴシック"/>
            <family val="3"/>
            <charset val="128"/>
          </rPr>
          <t>Insight iXlW00001C0000004R0585476093S00000006P01160LAocjBAQBF1NjaVRlZ2ljLmRhdGEuTW9sZWN1bGUBbwF/ARJTY2lUZWdpYy5Nb2xlY3VsZQAAAQFkAv5qAQAAAAIAAjwcAAQA/PwA/AACAAAAAAAA8L8C0GbV52orxj8CJuSDns2q8j8AAAAAGAAAAPz8APwAAgAAAAAAAPC/AtBm1edqK+a/Ampv8IXJVOU/AAAAABgAAAD8/AD8AAIAAAAAAADwvwLQZtXnaivmvwJqb/CFyVTVvwAAAAAgAPwA/PwA/AACAAAAAAAA8L8CHA3gLZCg8D8CTMgHPZtV5T8AAAAAIAAAAPz8APwAAgAAAAAAAPC/AtBm1edqK8Y/AhPyQc9mVQFAAAAAABgAAAD8/AD8AAIAAAAAAADwvwKqE9BE2PD4vwK1N/jCZKrqvwAAAAAgAAAA/PwA/AACAAAAAAAA8L8C0GbV52orxj8CtTf4wmSq6r8AAAAAGAAAAPz8APwAAgAAAAAAAPC/AhvAWyBB8fi/ArU3+MJkqvI/AAAAACQAAAD8/AD8AAIAAAAAAADwvwKqE9BE2PD4vwLbG3xhMlX9vwAAAAAYAAAA/PwA/AACAAAAAAAA8L8CLpCg+DFmA8ACTMgHPZtV5T8AAAAAIAAAAPz8APwAAgAAAAAAAPC/Agg9m1WfKwZAAmpv8IXJVNW/AAAAABgAAAD8/AD8AAIAAAAAAADwvwIukKD4MWYDwAJqb/CFyVTVvwAAAAAYAAAA/PwA/AACAAAAAAAA8L8CHA3gLZCg8D8Cam/whclU1b8AAAAAGAAAAPz8APwAAgAAAAAAAPC/As4ZUdobfP4/ArU3+MJkquq/AAAAABgAAAD8/AD8AAIAAAAAAADwvwIp7Q2+MBkNQAK1N/jCZKrqvwAAAAA8BAABZQQAAAAAAAAAAAgEAWUIDAAAAAAAAAAMAAFlBAAAAAAAAAAAEAABZQgAAAAAAAAAABQIAWUEAAAAAAAAAAAYCAFlBAAAAAAAAAAAHAQBZQQAAAAAAAAAACAUAWUEAAAAAAAAAAAkHAFlCAgAAAAAAAAAKDQBZQQAAAAAAAAAACwUAWUICAAAAAAAAAAwGAFlBAAAAAAAAAAANDABZQQAAAAAAAAAADgoAWUEAAAAAAAAAAAsJAFlBAAAAAAAAAAAAAAAAA==</t>
        </r>
      </text>
    </comment>
    <comment ref="A5" authorId="0" shapeId="0" xr:uid="{531001A7-D61A-46FD-AB3D-4BE26DFF57DC}">
      <text>
        <r>
          <rPr>
            <sz val="9"/>
            <color indexed="81"/>
            <rFont val="MS P ゴシック"/>
            <family val="3"/>
            <charset val="128"/>
          </rPr>
          <t>Insight iXlW00001C0000005R0585476093S00000008P01760LAocjBAQBF1NjaVRlZ2ljLmRhdGEuTW9sZWN1bGUBbwF/ARJTY2lUZWdpYy5Nb2xlY3VsZQAAAQFkAv5qAQAAAAIBAgEXGAAAAPz8APwAAgAAAAAAAPC/ArprCfmg5wJAAqfoSC7/IeG/AAAAABwABAD8/AD8AAIAAAAAAADwvwK6awn5oOcCQAJUdCSX/5D4vwAAAAAcAAAA/PwA/AACAAAAAAAA8L8C/tR46SYx5D8Cp+hILv8h4b8AAAAAGAAAAPz8APwAAgAAAAAAAPC/AjJ3LSEf9Pc/AnKKjuTyH6K/AAAAABgAAAD8/AD8AAIAAAAAAADwvwI0ETY8vdICwAIFNBE2PL3CPwAAAAAYAAAA/PwA/AACAAAAAAAA8L8C2xt8YTLVCUACcoqO5PIfor8AAAAAHAAAAPz8APwAAgAAAAAAAPC/Avvt68A5I/+/Aum3rwPnjOi/AAAAABgAAAD8/AD8AAIAAAAAAADwvwIydy0hH/T3PwJZF7fRAN7uPwAAAAAgAPwA/PwA/AACAAAAAAAA8L8CwcqhRbbz9z8CKjqSy39IAMAAAAAAGAAAAPz8APwAAgAAAAAAAPC/AlH8GHPXEtK/Ai//If32dcC/AAAAACAAAAD8/AD8AAIAAAAAAADwvwLbG3xhMtUJQAIqOpLLf0gAwAAAAAAYAAAA/PwA/AACAAAAAAAA8L8C71pCPujZ4D8CmbuWkA96+L8AAAAAIAAAAPz8APwAAgAAAAAAAPC/AhALtaZ5xwrAAuY/pN++DtA/AAAAACAAAAD8/AD8AAIAAAAAAADwvwKvtmJ/2T38vwIYJlMFo5LuPwAAAAAYDAAA/PwA/AACAAAAAAAA8L8CiPTb14Fz7r8C24r9Zffk678AAAAAGAAAAPz8APwAAgAAAAAAAPC/AhDpt68D59y/AiDSb18Hzvu/AAAAABgAAAD8/AD8AAIAAAAAAADwvwIOT6+UZQgOwAJvEoPAyqHyPwAAAAAYAAAA/PwA/AACAAAAAAAA8L8C2xt8YTLVCUACWRe30QDe7j8AAAAAGAAAAPz8APwAAgAAAAAAAPC/ArprCfmg5wJAAq2L22gAb/c/AAAAACQAAAD8/AD8AAIAAAAAAADwvwL+ZffkYWEQQAKti9toAG/3PwAAAAAYAAAA/PwA/AACAAAAAAAA8L8CCD2bVZ+rEsAC5BQdyeU/6D8AAAAAGAAAAPz8APwAAgAAAAAAAPC/AobJVMGopBDAAjq0yHa+nwBAAAAAABgAAAD8/AD8AAIAAAAAAADwvwLTTWIQWLkGwAJsmnecoiP5PwAAAAABGAQAAWUEAAAAAAAAAAAIDAFlBAAAAAAAAAAADAABZQgIAAAAAAAAABAYAWUEAAAAAAAAAAAUAAFlBAAAAAAAAAAAOBgBZQQUAAAAAAAAABwMAWUEAAAAAAAAAAAgBAFlBAAAAAAAAAAAJAgBZQQAAAAAAAAAACgEAWUIAAAAAAAAAAAsCAFlBAAAAAAAAAAAMBABZQQAAAAAAAAAADQQAWUIAAAAAAAAAAA4JAFlBAAAAAAAAAAAPCwBZQQAAAAAAAAAAAEQMAFlBAAAAAAAAAAAAREUAWUIDAAAAAAAAAABEhwBZQgIAAAAAAAAAAETAREBZQQAAAAAAAAAAAEUARABZQQAAAAAAAAAAAEVARABZQQAAAAAAAAAAAEWARABZQQAAAAAAAAAAAESAREBZQQAAAAAAAAAADg8AWUEAAAAAAAAAAAAAAAA</t>
        </r>
      </text>
    </comment>
    <comment ref="A6" authorId="0" shapeId="0" xr:uid="{9616C43A-BDFD-448D-8DE7-9E5880C731DA}">
      <text>
        <r>
          <rPr>
            <sz val="9"/>
            <color indexed="81"/>
            <rFont val="MS P ゴシック"/>
            <family val="3"/>
            <charset val="128"/>
          </rPr>
          <t>Insight iXlW00001C0000006R0585476093S00000010P01760LAocjBAQBF1NjaVRlZ2ljLmRhdGEuTW9sZWN1bGUBbwF/ARJTY2lUZWdpYy5Nb2xlY3VsZQAAAQFkAv5qAQAAAAIBAgEXGAAAAPz8APwAAgAAAAAAAPC/AsrDQq1p3gNAAutztRX7y9a/AAAAABwABAD8/AD8AAIAAAAAAADwvwLKw0Ktad4HQAI8vVKWIY7zvwAAAAAYAAAA/PwA/AACAAAAAAAA8L8CKKCJsOHpAsACFoxK6gQ0wb8AAAAAHAAAAPz8APwAAgAAAAAAAPC/AlMnoImw4fi/Anl6pSxDHOe/AAAAABgAAAD8/AD8AAIAAAAAAADwvwIFNBE2PL33PwInwoanV8rWvwAAAAAYAAAA/PwA/AACAAAAAAAA8L8CysNCrWneB0ACcF8HzhlR4D8AAAAAIAAAAPz8APwAAgAAAAAAAPC/AjNVMCqpEwLAAkqdgCbChus/AAAAACAAAAD8/AD8AAIAAAAAAADwvwIoDwu1pnnvPwI8vVKWIY7zvwAAAAAgAPwA/PwA/AACAAAAAAAA8L8CysNCrWneA0ACvw6cM6K0AMAAAAAAGAAAAPz8APwAAgAAAAAAAPC/AkzIBz2bVeO/AgCRfvs6cNq/AAAAACAAAAD8/AD8AAIAAAAAAADwvwLKw0Ktad4PQAI8vVKWIY7zvwAAAAAYAAAA/PwA/AACAAAAAAAA8L8CxNMrZRni+L8CzBDHuriN+78AAAAAIAAAAPz8APwAAgAAAAAAAPC/AirLEMe6OArAAv+ye/KwUOG/AAAAABgIAAD8/AD8AAIAAAAAAADwvwIJG55eKcuQvwI8vVKWIY7zvwAAAAAYAAAA/PwA/AACAAAAAAAA8L8CCmgibHh67z8CcF8HzhlR4D8AAAAAGAAAAPz8APwAAgAAAAAAAPC/AngLJCh+jAjAAl+6SQwCK/c/AAAAABgAAAD8/AD8AAIAAAAAAADwvwJMyAc9m1XjvwLkFB3J5T8AwAAAAAAYAAAA/PwA/AACAAAAAAAA8L8CysNCrWneA0AC+g/pt68D9j8AAAAAGAAAAPz8APwAAgAAAAAAAPC/ApSHhVrTvPc/AvoP6bevA/Y/AAAAACQAAAD8/AD8AAIAAAAAAADwvwLKw0Ktad4HQAIeOGdEae8BQAAAAAAYAAAA/PwA/AACAAAAAAAA8L8CVcGopE5ADcACppvEILBy5D8AAAAAGAAAAPz8APwAAgAAAAAAAPC/Ar7BFyZTBQ/AAgyTqYJRSQBAAAAAABgAAAD8/AD8AAIAAAAAAADwvwKcVZ+rrdgDwAJ1kxgEVg4CQAAAAAABGAQAAWUEAAAAAAAAAAAIDAFlBAAAAAAAAAAADCQBZQQAAAAAAAAAABAAAWUICAAAAAAAAAAUAAFlBAAAAAAAAAAAGAgBZQQAAAAAAAAAABwQAWUEAAAAAAAAAAAgBAFlBAAAAAAAAAAAJDQBZQQAAAAAAAAAACgEAWUIAAAAAAAAAAAsARABZQQAAAAAAAAAADAIAWUIAAAAAAAAAAA0HAFlBBAAAAAAAAAAOBABZQQAAAAAAAAAADwYAWUEAAAAAAAAAAABEDQBZQQAAAAAAAAAAAERFAFlCAwAAAAAAAAAARI4AWUICAAAAAAAAAABEwERAWUEAAAAAAAAAAABFDwBZQQAAAAAAAAAAAEVPAFlBAAAAAAAAAAAARY8AWUEAAAAAAAAAAABEQESAWUEAAAAAAAAAAAMLAFlBAAAAAAAAAAAAAAAAA==</t>
        </r>
      </text>
    </comment>
    <comment ref="A7" authorId="0" shapeId="0" xr:uid="{05AB12CD-D0E4-420D-944F-4ED2C4B2AF2A}">
      <text>
        <r>
          <rPr>
            <sz val="9"/>
            <color indexed="81"/>
            <rFont val="MS P ゴシック"/>
            <family val="3"/>
            <charset val="128"/>
          </rPr>
          <t>Insight iXlW00001C0000007R0585476093S00000012P01468LAocjBAQBF1NjaVRlZ2ljLmRhdGEuTW9sZWN1bGUBbwF/ARJTY2lUZWdpYy5Nb2xlY3VsZQAAAQFkAv5qAQAAAAIAAgETHAAEAPz8APwAAgAAAAAAAPC/Amx4eqUsQ/E/AktZhjjWxfC/AAAAABgAAAD8/AD8AAIAAAAAAADwvwJseHqlLEP5PwJMyAc9m1XHvwAAAAAYAAAA/PwA/AACAAAAAAAA8L8CNjy9UpahBEACTMgHPZtVx78AAAAAGAAAAPz8APwAAgAAAAAAAPC/At0kBoGVQ/E/AnHOiNLe4OU/AAAAABwAAAD8/AD8AAIAAAAAAADwvwKS7Xw/NV4LwAJMyAc9m1XHvwAAAAAgAPwA/PwA/AACAAAAAAAA8L8CwoanV8oytD8CvAUSFD/G8L8AAAAAIAAAAPz8APwAAgAAAAAAAPC/At4kBoGVQ/k/Av5l9+Rhof6/AAAAACAAAAD8/AD8AAIAAAAAAADwvwLTTWIQWDm0PwJxzojS3uDlPwAAAAAYAAAA/PwA/AACAAAAAAAA8L8C3iQGgZVD+T8CescpOpLL+D8AAAAAGAAAAPz8APwAAgAAAAAAAPC/AjY8vVKWoQhAAnHOiNLe4OU/AAAAABgAAAD8/AD8AAIAAAAAAADwvwKS7Xw/NV4HwAJxzojS3uDlPwAAAAAYAAAA/PwA/AACAAAAAAAA8L8Cku18PzVeB8ACS1mGONbF8L8AAAAAGAAAAPz8APwAAgAAAAAAAPC/Aoxs5/up8dq/AkzIBz2bVce/AAAAABgAAAD8/AD8AAIAAAAAAADwvwI2PL1SlqEEQAJ6xyk6ksv4PwAAAAAkAAAA/PwA/AACAAAAAAAA8L8CG55eKctQEEACcc6I0t7g5T8AAAAAGAAAAPz8APwAAgAAAAAAAPC/AiPb+X5qvPa/AkzIBz2bVce/AAAAABgAAAD8/AD8AAIAAAAAAADwvwIj2/l+arz+vwJxzojS3uDlPwAAAAAYAAAA/PwA/AACAAAAAAAA8L8CI9v5fmq8/r8CS1mGONbF8L8AAAAAGAAAAPz8APwAAgAAAAAAAPC/Asl2vp8arxHAAkzIBz2bVce/AAAAAAEUBAABZQQAAAAAAAAAAAgEAWUEAAAAAAAAAAAMBAFlCAgAAAAAAAAAECwBZQQAAAAAAAAAABQAAWUEAAAAAAAAAAAYAAFlCAAAAAAAAAAAHAwBZQQAAAAAAAAAACAMAWUEAAAAAAAAAAAkCAFlCAwAAAAAAAAAKAEQAWUEAAAAAAAAAAAsAREBZQQAAAAAAAAAADAcAWUEAAAAAAAAAAA0IAFlCAgAAAAAAAAAOCQBZQQAAAAAAAAAADwwAWUEAAAAAAAAAAABEDwBZQQAAAAAAAAAAAERPAFlBAAAAAAAAAAAARIQAWUEAAAAAAAAAAAkNAFlBAAAAAAAAAAAKBABZQQAAAAAAAAAAAAAAAA=</t>
        </r>
      </text>
    </comment>
    <comment ref="A8" authorId="0" shapeId="0" xr:uid="{96D012F1-4075-4946-8039-E2DC1F120BAD}">
      <text>
        <r>
          <rPr>
            <sz val="9"/>
            <color indexed="81"/>
            <rFont val="MS P ゴシック"/>
            <family val="3"/>
            <charset val="128"/>
          </rPr>
          <t>Insight iXlW00001C0000008R0585476093S00000014P01688LAocjBAQBF1NjaVRlZ2ljLmRhdGEuTW9sZWN1bGUBbwF/ARJTY2lUZWdpYy5Nb2xlY3VsZQAAAQFkAv5qAQAAAAIBAgEWGAAAAPz8APwAAgAAAAAAAPC/Av0Yc9cS8v6/Ai/dJAaBlee/AAAAABwABAD8/AD8AAIAAAAAAADwvwL3Bl+YTBUPQAJh5dAi2/m+vwAAAAAcAAAA/PwA/AACAAAAAAAA8L8Cj+TyH9Jv+L8C7Z48LNSaxj8AAAAAIAAAAPz8APwAAgAAAAAAAPC/AlqGONbFbQfAAiGwcmiR7eq/AAAAABgAAAD8/AD8AAIAAAAAAADwvwLWVuwvuycIQAKoxks3iUHYPwAAAAAgAPwA/PwA/AACAAAAAAAA8L8C9wZfmEwVD0ACVg4tsp3v8b8AAAAAGAAAAPz8APwAAgAAAAAAAPC/AonS3uALk+G/AgtGJXUCmtg/AAAAACAAAAD8/AD8AAIAAAAAAADwvwKM22gAbwETQAKoxks3iUHYPwAAAAAYAAAA/PwA/AACAAAAAAAA8L8CgEi/fR04AMACrkfhehSu8D8AAAAAIAAAAPz8APwAAgAAAAAAAPC/AkOtad5xivW/AiPb+X5qvPi/AAAAABgMAAD8/AD8AAIAAAAAAADwvwIv/yH99nXcvwKq8dJNYhD2PwAAAAAYAAAA/PwA/AACAAAAAAAA8L8CWMoyxLGuCsAChlrTvOMU/L8AAAAAGAAAAPz8APwAAgAAAAAAAPC/AtDVVuwvu/W/Aqd5xyk6kvw/AAAAACAAAAD8/AD8AAIAAAAAAADwvwLYgXNGlPbaPwKq8dJNYhD+PwAAAAAYAAAA/PwA/AACAAAAAAAA8L8C1lbsL7snCEACqvHSTWIQ9j8AAAAAGAAAAPz8APwAAgAAAAAAAPC/ArWmeccpOgFAAmHl0CLb+b6/AAAAABgAAAD8/AD8AAIAAAAAAADwvwIp7Q2+MJn0PwKq8dJNYhD2PwAAAAAYAAAA/PwA/AACAAAAAAAA8L8CuECC4seY9D8CqMZLN4lB2D8AAAAAGAAAAPz8APwAAgAAAAAAAPC/ArWmeccpOgFAAqrx0k1iEP4/AAAAABgAAAD8/AD8AAIAAAAAAADwvwJWn6ut2F8DwAJB8WPMXUsBwAAAAAAYAAAA/PwA/AACAAAAAAAA8L8CVg4tsp3vDcACRdjw9EpZBcAAAAAAGAAAAPz8APwAAgAAAAAAAPC/AsnlP6Tf/hDAAhgmUwWjkvW/AAAAAAEXBBABZQQAAAAAAAAAAAgAAWUEAAAAAAAAAAAMAAFlBAAAAAAAAAAAEDgBZQQAAAAAAAAAABQEAWUEAAAAAAAAAAAYCAFlBAAAAAAAAAAAHAQBZQgAAAAAAAAAACAIAWUEAAAAAAAAAAAkAAFlCAAAAAAAAAAAKBgBZQQAAAAAAAAAACwMAWUEAAAAAAAAAAAwIAFlBAAAAAAAAAAAKDQBZQQQAAAAAAAAADgBEgFlCAgAAAAAAAAAPAERAWUEAAAAAAAAAAABEDQBZQQAAAAAAAAAAAERARABZQgMAAAAAAAAAAESARABZQQAAAAAAAAAAAETLAFlBAAAAAAAAAAAARQsAWUEAAAAAAAAAAABFSwBZQQAAAAAAAAAADAoAWUEAAAAAAAAAAA8EAFlCAwAAAAAAAAAAAAAAA==</t>
        </r>
      </text>
    </comment>
    <comment ref="A9" authorId="0" shapeId="0" xr:uid="{332D04D3-800A-46DD-A309-9A40F49250BD}">
      <text>
        <r>
          <rPr>
            <sz val="9"/>
            <color indexed="81"/>
            <rFont val="MS P ゴシック"/>
            <family val="3"/>
            <charset val="128"/>
          </rPr>
          <t>Insight iXlW00001C0000009R0585476093S00000016P01688LAocjBAQBF1NjaVRlZ2ljLmRhdGEuTW9sZWN1bGUBbwF/ARJTY2lUZWdpYy5Nb2xlY3VsZQAAAQFkAv5qAQAAAAIBAgEWGAAAAPz8APwAAgAAAAAAAPC/Av0Yc9cS8v6/Ai/dJAaBlee/AAAAABwABAD8/AD8AAIAAAAAAADwvwL3Bl+YTBUPQAJh5dAi2/m+vwAAAAAcAAAA/PwA/AACAAAAAAAA8L8Cj+TyH9Jv+L8C7Z48LNSaxj8AAAAAIAAAAPz8APwAAgAAAAAAAPC/AlqGONbFbQfAAiGwcmiR7eq/AAAAABgAAAD8/AD8AAIAAAAAAADwvwLWVuwvuycIQAKoxks3iUHYPwAAAAAgAPwA/PwA/AACAAAAAAAA8L8C9wZfmEwVD0ACVg4tsp3v8b8AAAAAGAAAAPz8APwAAgAAAAAAAPC/AonS3uALk+G/AgtGJXUCmtg/AAAAACAAAAD8/AD8AAIAAAAAAADwvwKM22gAbwETQAKoxks3iUHYPwAAAAAYAAAA/PwA/AACAAAAAAAA8L8CgEi/fR04AMACrkfhehSu8D8AAAAAIAAAAPz8APwAAgAAAAAAAPC/AkOtad5xivW/AiPb+X5qvPi/AAAAABgIAAD8/AD8AAIAAAAAAADwvwIv/yH99nXcvwKq8dJNYhD2PwAAAAAYAAAA/PwA/AACAAAAAAAA8L8CWMoyxLGuCsAChlrTvOMU/L8AAAAAGAAAAPz8APwAAgAAAAAAAPC/AtDVVuwvu/W/Aqd5xyk6kvw/AAAAACAAAAD8/AD8AAIAAAAAAADwvwLYgXNGlPbaPwKq8dJNYhD+PwAAAAAYAAAA/PwA/AACAAAAAAAA8L8C1lbsL7snCEACqvHSTWIQ9j8AAAAAGAAAAPz8APwAAgAAAAAAAPC/ArWmeccpOgFAAmHl0CLb+b6/AAAAABgAAAD8/AD8AAIAAAAAAADwvwIp7Q2+MJn0PwKq8dJNYhD2PwAAAAAYAAAA/PwA/AACAAAAAAAA8L8CuECC4seY9D8CqMZLN4lB2D8AAAAAGAAAAPz8APwAAgAAAAAAAPC/ArWmeccpOgFAAqrx0k1iEP4/AAAAABgAAAD8/AD8AAIAAAAAAADwvwJWn6ut2F8DwAJB8WPMXUsBwAAAAAAYAAAA/PwA/AACAAAAAAAA8L8CVg4tsp3vDcACRdjw9EpZBcAAAAAAGAAAAPz8APwAAgAAAAAAAPC/AsnlP6Tf/hDAAhgmUwWjkvW/AAAAAAEXBBABZQQAAAAAAAAAAAgAAWUEAAAAAAAAAAAMAAFlBAAAAAAAAAAAEDgBZQQAAAAAAAAAABQEAWUEAAAAAAAAAAAYCAFlBAAAAAAAAAAAHAQBZQgAAAAAAAAAACAIAWUEAAAAAAAAAAAkAAFlCAAAAAAAAAAAKBgBZQQAAAAAAAAAACwMAWUEAAAAAAAAAAAwIAFlBAAAAAAAAAAAKDQBZQQUAAAAAAAAADgBEgFlCAgAAAAAAAAAPAERAWUEAAAAAAAAAAABEDQBZQQAAAAAAAAAAAERARABZQgMAAAAAAAAAAESARABZQQAAAAAAAAAAAETLAFlBAAAAAAAAAAAARQsAWUEAAAAAAAAAAABFSwBZQQAAAAAAAAAADAoAWUEAAAAAAAAAAA8EAFlCAwAAAAAAAAAAAAAAA==</t>
        </r>
      </text>
    </comment>
    <comment ref="A10" authorId="0" shapeId="0" xr:uid="{61AC3758-CCA0-4A5D-8B8B-BFD00D694C4C}">
      <text>
        <r>
          <rPr>
            <sz val="9"/>
            <color indexed="81"/>
            <rFont val="MS P ゴシック"/>
            <family val="3"/>
            <charset val="128"/>
          </rPr>
          <t>Insight iXlW00001C0000010R0585476093S00000018P01176LAocjBAQBF1NjaVRlZ2ljLmRhdGEuTW9sZWN1bGUBbwF/ARJTY2lUZWdpYy5Nb2xlY3VsZQAAAQFkAv5qAQAAAAIAAjwcAAAA/PwA/AACAAAAAAAA8L8CG55eKcsQ4T8CxSCwcmiRvb8AAAAAGAAAAPz8APwAAgAAAAAAAPC/AsrDQq1p3t2/AsUgsHJokb2/AAAAABgAAAD8/AD8AAIAAAAAAADwvwLlYaHWNO/uvwJrvHSTGAToPwAAAAAcAAAA/PwA/AACAAAAAAAA8L8Ch6dXyjJEBEACxSCwcmiRvb8AAAAAGAAAAPz8APwAAgAAAAAAAPC/AoIExY8xd/+/Amu8dJMYBOg/AAAAABgAAAD8/AD8AAIAAAAAAADwvwLlYaHWNO/uvwKcxCCwcmjvvwAAAAAYAAAA/PwA/AACAAAAAAAA8L8CDk+vlGWI8D8CnMQgsHJo778AAAAAGAAAAPz8APwAAgAAAAAAAPC/Ag5Pr5RliPA/Amu8dJMYBOg/AAAAABgAAAD8/AD8AAIAAAAAAADwvwJBguLHmLsDwALFILByaJG9vwAAAAAYAAAA/PwA/AACAAAAAAAA8L8Ch6dXyjJEAEACa7x0kxgE6D8AAAAAGAAAAPz8APwAAgAAAAAAAPC/AoenV8oyRABAApzEILByaO+/AAAAABwAAAD8/AD8AAIAAAAAAADwvwLKw0Ktad7dvwLoaiv2l935PwAAAAAYAAAA/PwA/AACAAAAAAAA8L8C87BQa5p3/78CnMQgsHJo778AAAAAJAAAAPz8APwAAgAAAAAAAPC/AkGC4seYuwvAAsUgsHJokb2/AAAAABgAAAD8/AD8AAIAAAAAAADwvwKHp1fKMkQMQALFILByaJG9vwAAAAABEAQAAWUEAAAAAAAAAAAIBAFlCAwAAAAAAAAADCQBZQQAAAAAAAAAABAIAWUEAAAAAAAAAAAUBAFlBAAAAAAAAAAAGAABZQQAAAAAAAAAABwAAWUEAAAAAAAAAAAgMAFlBAAAAAAAAAAAJBwBZQQAAAAAAAAAACgYAWUEAAAAAAAAAAAsCAFlBAAAAAAAAAAAMBQBZQgIAAAAAAAAADQgAWUEAAAAAAAAAAA4DAFlBAAAAAAAAAAADCgBZQQAAAAAAAAAACAQAWUICAAAAAAAAAAAAAAA</t>
        </r>
      </text>
    </comment>
    <comment ref="A11" authorId="0" shapeId="0" xr:uid="{4EFBC39F-5176-49B8-9D3D-D67BA6FE883E}">
      <text>
        <r>
          <rPr>
            <sz val="9"/>
            <color indexed="81"/>
            <rFont val="MS P ゴシック"/>
            <family val="3"/>
            <charset val="128"/>
          </rPr>
          <t>Insight iXlW00001C0000011R0585476093S00000020P01612LAocjBAQBF1NjaVRlZ2ljLmRhdGEuTW9sZWN1bGUBbwF/ARJTY2lUZWdpYy5Nb2xlY3VsZQAAAQFkAv5qAQAAAAIAAgEVGAAAAPz8APwAAgAAAAAAAPC/Ak7zjlN0JAFAAibkg57Nqs+/AAAAABwAAAD8/AD8AAIAAAAAAADwvwKb5h2n6EjyPwIm5IOezarPvwAAAAAcAAAA/PwA/AACAAAAAAAA8L8CyzLEsS5u678CJuSDns2qz78AAAAAGAAAAPz8APwAAgAAAAAAAPC/AmYZ4lgXt/2/Aibkg57Nqs+/AAAAABgAAAD8/AD8AAIAAAAAAADwvwJ6Nqs+V9sCwAJ6xyk6ksvjPwAAAAAgAAAA/PwA/AACAAAAAAAA8L8CTvOOU3QkBUACescpOpLL4z8AAAAAGAAAAPz8APwAAgAAAAAAAPC/Ano2qz5X2wrAAnrHKTqSy+M/AAAAABgAAAD8/AD8AAIAAAAAAADwvwJ6Nqs+V9sCwAI4iUFg5dDxvwAAAAAgAAAA/PwA/AACAAAAAAAA8L8CTvOOU3QkBUACOIlBYOXQ8b8AAAAAGAAAAPz8APwAAgAAAAAAAPC/AjbNO07RkeQ/AnrHKTqSy+M/AAAAABgAAAD8/AD8AAIAAAAAAADwvwI2zTtO0ZHkPwLG3LWEfNDxvwAAAAAYAAAA/PwA/AACAAAAAAAA8L8ClWWIY13c1r8CescpOpLL4z8AAAAAGAAAAPz8APwAAgAAAAAAAPC/ApVliGNd3Na/AsbctYR80PG/AAAAABgAAAD8/AD8AAIAAAAAAADwvwJO845TdCQNQAJ6xyk6ksvjPwAAAAAYAAAA/PwA/AACAAAAAAAA8L8CejarPlfbDsACr0fhehSuz78AAAAAHAAAAPz8APwAAgAAAAAAAPC/AvVsVn2utv2/Av9D+u3rwPc/AAAAABgAAAD8/AD8AAIAAAAAAADwvwJ6Nqs+V9sKwAI4iUFg5dDxvwAAAAAkAAAA/PwA/AACAAAAAAAA8L8CPZtVn6ttE8ACr0fhehSuz78AAAAAGAAAAPz8APwAAgAAAAAAAPC/Ak7zjlN0JA1AAr3jFB3J5fk/AAAAABgAAAD8/AD8AAIAAAAAAADwvwKneccpOpISQAJ6xyk6ksvjPwAAAAAYAAAA/PwA/AACAAAAAAAA8L8CTvOOU3QkDUACDXGsi9to2L8AAAAAARYEAAFlBAAAAAAAAAAACDABZQQAAAAAAAAAAAwIAWUEAAAAAAAAAAAQDAFlCAwAAAAAAAAAFAABZQQAAAAAAAAAABgQAWUEAAAAAAAAAAAcDAFlBAAAAAAAAAAAIAABZQgAAAAAAAAAACQEAWUEAAAAAAAAAAAoBAFlBAAAAAAAAAAALCQBZQQAAAAAAAAAADAoAWUEAAAAAAAAAAA0FAFlBAAAAAAAAAAAOAEQAWUEAAAAAAAAAAA8EAFlBAAAAAAAAAAAARAcAWUICAAAAAAAAAABETgBZQQAAAAAAAAAAAESNAFlBAAAAAAAAAAAARM0AWUEAAAAAAAAAAABFDQBZQQAAAAAAAAAAAgsAWUEAAAAAAAAAAA4GAFlCAgAAAAAAAAAAAAAAA==</t>
        </r>
      </text>
    </comment>
    <comment ref="A12" authorId="0" shapeId="0" xr:uid="{BAC09543-0134-4D89-A02F-415F9AF305F1}">
      <text>
        <r>
          <rPr>
            <sz val="9"/>
            <color indexed="81"/>
            <rFont val="MS P ゴシック"/>
            <family val="3"/>
            <charset val="128"/>
          </rPr>
          <t>Insight iXlW00001C0000012R0585476093S00000022P01684LAocjBAQBF1NjaVRlZ2ljLmRhdGEuTW9sZWN1bGUBbwF/ARJTY2lUZWdpYy5Nb2xlY3VsZQAAAQFkAv5qAQAAAAIAAgEWGAAAAPz8APwAAgAAAAAAAPC/AsdLN4lBYADAAtv5fmq8dOE/AAAAABwAAAD8/AD8AAIAAAAAAADwvwLbiv1l9+TyvwKyne+nxkunPwAAAAAYAAAA/PwA/AACAAAAAAAA8L8CTtGRXP5DAkACkQ96Nqs+pz8AAAAAGAAAAPz8APwAAgAAAAAAAPC/Ak7RkVz+QwJAAiUGgZVDi+6/AAAAACAAAAD8/AD8AAIAAAAAAADwvwLo+6nx0k0HwAKyne+nxkunPwAAAAAcAAAA/PwA/AACAAAAAAAA8L8C6pWyDHGs9j8CE4PAyqFF978AAAAAIAAAAPz8APwAAgAAAAAAAPC/AsdLN4lBYADAAu58PzVeuvg/AAAAABgAAAD8/AD8AAIAAAAAAADwvwLbiv1l9+TyvwIlBoGVQ4vuvwAAAAAYAAAA/PwA/AACAAAAAAAA8L8CZapgVFIn1L8C+aBns+pz4T8AAAAAGAAAAPz8APwAAgAAAAAAAPC/Am+BBMWPMQlAAvmgZ7Pqc+E/AAAAABgAAAD8/AD8AAIAAAAAAADwvwIJrBxaZDsOwALb+X5qvHThPwAAAAAYAAAA/PwA/AACAAAAAAAA8L8CUWuad5yi4T8CkQ96Nqs+pz8AAAAAGAAAAPz8APwAAgAAAAAAAPC/AmWqYFRSJ9S/AhODwMqhRfe/AAAAABgAAAD8/AD8AAIAAAAAAADwvwJRa5p3nKLhPwIlBoGVQ4vuvwAAAAAcAAAA/PwA/AACAAAAAAAA8L8C6pWyDHGs9j8C+aBns+pz4T8AAAAAJAAAAPz8APwAAgAAAAAAAPC/Am+BBMWPMQlAAn3Qs1n1ufg/AAAAABgAAAD8/AD8AAIAAAAAAADwvwJvgQTFjzEJQAITg8DKoUX3vwAAAAAYAAAA/PwA/AACAAAAAAAA8L8CyJi7lpAPEEACB1+YTBWM7r8AAAAAGAAAAPz8APwAAgAAAAAAAPC/AsiYu5aQDxBAApEPejarPqc/AAAAABgAAAD8/AD8AAIAAAAAAADwvwIEVg4tsh0RwAIUP8bctYTUvwAAAAAYAAAA/PwA/AACAAAAAAAA8L8CFa5H4XqUEsAC7nw/NV668D8AAAAAGAAAAPz8APwAAgAAAAAAAPC/AgmsHFpkOwrAAi/dJAaBlfY/AAAAAAEXBAABZQQAAAAAAAAAAAgMAWUIDAAAAAAAAAAMFAFlBAAAAAAAAAAAEAABZQQAAAAAAAAAABQ0AWUEAAAAAAAAAAAYAAFlCAAAAAAAAAAAHAQBZQQAAAAAAAAAACAEAWUEAAAAAAAAAAAkCAFlBAAAAAAAAAAAKBABZQQAAAAAAAAAACwgAWUEAAAAAAAAAAAwHAFlBAAAAAAAAAAANCwBZQQAAAAAAAAAADgIAWUEAAAAAAAAAAA8JAFlBAAAAAAAAAAAARAMAWUEAAAAAAAAAAABEQEQAWUICAAAAAAAAAABEgERAWUEAAAAAAAAAAABEygBZQQAAAAAAAAAAAEUKAFlBAAAAAAAAAAAARUoAWUEAAAAAAAAAAA0MAFlBAAAAAAAAAAAJAESAWUICAAAAAAAAAAAAAAA</t>
        </r>
      </text>
    </comment>
    <comment ref="A13" authorId="0" shapeId="0" xr:uid="{0B4290FB-2AB3-4D67-B66C-F9A3048D498D}">
      <text>
        <r>
          <rPr>
            <sz val="9"/>
            <color indexed="81"/>
            <rFont val="MS P ゴシック"/>
            <family val="3"/>
            <charset val="128"/>
          </rPr>
          <t>Insight iXlW00001C0000013R0585476093S00000024P01104LAocjBAQBF1NjaVRlZ2ljLmRhdGEuTW9sZWN1bGUBbwF/ARJTY2lUZWdpYy5Nb2xlY3VsZQAAAQFkAv5qAQAAAAIAAjgYAAAA/PwA/AACAAAAAAAA8L8CTvOOU3Qk6T8CescpOpLL4z8AAAAAGAAAAPz8APwAAgAAAAAAAPC/ApvmHafoSNI/Aibkg57Nqs+/AAAAABwAAAD8/AD8AAIAAAAAAADwvwKzDHGsi9vmvwIm5IOezarPvwAAAAAYAAAA/PwA/AACAAAAAAAA8L8Cp3nHKTqS/D8CescpOpLL4z8AAAAAHAAAAPz8APwAAgAAAAAAAPC/ApvmHafoSNI/Av9D+u3rwPc/AAAAACAAAAD8/AD8AAIAAAAAAADwvwItQxzr4rYFwAIm5IOezarPvwAAAAAkAAAA/PwA/AACAAAAAAAA8L8C1LzjFB1JAkAC/0P67evA9z8AAAAAGAAAAPz8APwAAgAAAAAAAPC/Ak7zjlN0JOk/AjiJQWDl0PG/AAAAABgAAAD8/AD8AAIAAAAAAADwvwJahjjWxW3zvwJ6xyk6ksvjPwAAAAAYAAAA/PwA/AACAAAAAAAA8L8CWoY41sVt878Cxty1hHzQ8b8AAAAAGAAAAPz8APwAAgAAAAAAAPC/Aqd5xyk6kvw/AjiJQWDl0PG/AAAAABgAAAD8/AD8AAIAAAAAAADwvwLUvOMUHUkCQAKvR+F6FK7PvwAAAAAYAAAA/PwA/AACAAAAAAAA8L8CLUMc6+K2AcACxty1hHzQ8b8AAAAAGAAAAPz8APwAAgAAAAAAAPC/Ai1DHOvitgHAAnrHKTqSy+M/AAAAADwEAAFlCAwAAAAAAAAACAQBZQQAAAAAAAAAAAwAAWUEAAAAAAAAAAAQAAFlBAAAAAAAAAAAFDABZQQAAAAAAAAAABgMAWUEAAAAAAAAAAAcBAFlBAAAAAAAAAAAIAgBZQQAAAAAAAAAACQIAWUEAAAAAAAAAAAoLAFlBAAAAAAAAAAALAwBZQgIAAAAAAAAADAkAWUEAAAAAAAAAAA0IAFlBAAAAAAAAAAAHCgBZQgIAAAAAAAAABQ0AWUEAAAAAAAAAAAAAAAA</t>
        </r>
      </text>
    </comment>
    <comment ref="A14" authorId="0" shapeId="0" xr:uid="{2676CD82-B990-4D5B-B33C-3F56D9683298}">
      <text>
        <r>
          <rPr>
            <sz val="9"/>
            <color indexed="81"/>
            <rFont val="MS P ゴシック"/>
            <family val="3"/>
            <charset val="128"/>
          </rPr>
          <t>Insight iXlW00001C0000014R0585476093S00000026P01176LAocjBAQBF1NjaVRlZ2ljLmRhdGEuTW9sZWN1bGUBbwF/ARJTY2lUZWdpYy5Nb2xlY3VsZQAAAQFkAv5qAQAAAAIAAjwYAAAA/PwA/AACAAAAAAAA8L8CTRWMSuoE6D8CZF3cRgN41z8AAAAAGAAAAPz8APwAAgAAAAAAAPC/Ak0VjErqBOg/Ak/RkVz+Q+S/AAAAACAAAAD8/AD8AAIAAAAAAADwvwLFILByaJG9vwKn6Egu/yHyvwAAAAAYAAAA/PwA/AACAAAAAAAA8L8C6Gor9pfd+T8C0NVW7C+76z8AAAAAHAAAAPz8APwAAgAAAAAAAPC/AsUgsHJokb2/ArIubqMBvOs/AAAAACQAAAD8/AD8AAIAAAAAAADwvwLoaiv2l935PwLoaiv2l939PwAAAAAYAAAA/PwA/AACAAAAAAAA8L8CnMQgsHJo778CT9GRXP5D5L8AAAAAGAAAAPz8APwAAgAAAAAAAPC/AuhqK/aX3fk/AqfoSC7/IfK/AAAAABgAAAD8/AD8AAIAAAAAAADwvwKVZYhjXdwDQAJP0ZFc/kPkvwAAAAAYAAAA/PwA/AACAAAAAAAA8L8ClWWIY13cA0ACoKut2F921z8AAAAAGAAAAPz8APwAAgAAAAAAAPC/ApzEILByaO+/AmRd3EYDeNc/AAAAABgAAAD8/AD8AAIAAAAAAADwvwKQwvUoXI/9vwKn6Egu/yHyvwAAAAAYAAAA/PwA/AACAAAAAAAA8L8CaZHtfD+1BcACT9GRXP5D5L8AAAAAGAAAAPz8APwAAgAAAAAAAPC/ApDC9Shcj/2/ArIubqMBvOs/AAAAABgAAAD8/AD8AAIAAAAAAADwvwJpke18P7UFwAJkXdxGA3jXPwAAAAABEAQAAWUIDAAAAAAAAAAIBAFlBAAAAAAAAAAADAABZQQAAAAAAAAAABAAAWUEAAAAAAAAAAAUDAFlBAAAAAAAAAAAGAgBZQQAAAAAAAAAABwEAWUEAAAAAAAAAAAgJAFlBAAAAAAAAAAAJAwBZQgIAAAAAAAAACgYAWUEAAAAAAAAAAAsGAFlBAAAAAAAAAAAMCwBZQQAAAAAAAAAADQoAWUEAAAAAAAAAAA4MAFlBAAAAAAAAAAAHCABZQgIAAAAAAAAADg0AWUEAAAAAAAAAAAAAAAA</t>
        </r>
      </text>
    </comment>
    <comment ref="A15" authorId="0" shapeId="0" xr:uid="{BB755085-ADE9-4E5A-8FCB-572B53ED4291}">
      <text>
        <r>
          <rPr>
            <sz val="9"/>
            <color indexed="81"/>
            <rFont val="MS P ゴシック"/>
            <family val="3"/>
            <charset val="128"/>
          </rPr>
          <t>Insight iXlW00001C0000015R0585476093S00000028P01104LAocjBAQBF1NjaVRlZ2ljLmRhdGEuTW9sZWN1bGUBbwF/ARJTY2lUZWdpYy5Nb2xlY3VsZQAAAQFkAv5qAQAAAAIAAjgYAAAA/PwA/AACAAAAAAAA8L8CdZMYBFYO878C4lgXt9EA5r8AAAAAGAAAAPz8APwAAgAAAAAAAPC/As3MzMzMzNS/AoljXdxGA8i/AAAAACAAAAD8/AD8AAIAAAAAAADwvwIdWmQ730/hPwLiWBe30QDmvwAAAAAYAAAA/PwA/AACAAAAAAAA8L8C2/l+arx0AMACiWNd3EYDyL8AAAAAHAAAAPz8APwAAgAAAAAAAPC/AnWTGARWDvO/AnGsi9toAPu/AAAAACQAAAD8/AD8AAIAAAAAAADwvwL8qfHSTWIHwALiWBe30QDmvwAAAAAYAAAA/PwA/AACAAAAAAAA8L8CwTkjSnuD9j8CiWNd3EYDyL8AAAAAGAAAAPz8APwAAgAAAAAAAPC/As3MzMzMzNS/Ah6n6Egu/+k/AAAAABgAAAD8/AD8AAIAAAAAAADwvwJ1kxgEVg7zvwKPU3Qkl//0PwAAAAAYAAAA/PwA/AACAAAAAAAA8L8C2/l+arx0AMACHqfoSC7/6T8AAAAAGAAAAPz8APwAAgAAAAAAAPC/AjojSnuDL/g/AouO5PIf0uk/AAAAABgAAAD8/AD8AAIAAAAAAADwvwIbnl4py5ACQALcaABvgQTjvwAAAAAYAAAA/PwA/AACAAAAAAAA8L8CQs9m1efqB0ACz4jS3uALwz8AAAAAGAAAAPz8APwAAgAAAAAAAPC/AnulLEMc6wNAAlyxv+yePPA/AAAAADwEAAFlCAwAAAAAAAAACAQBZQQAAAAAAAAAAAwAAWUEAAAAAAAAAAAQAAFlBAAAAAAAAAAAFAwBZQQAAAAAAAAAABgIAWUEAAAAAAAAAAAcBAFlBAAAAAAAAAAAICQBZQQAAAAAAAAAACQMAWUICAAAAAAAAAAoGAFlBAAAAAAAAAAALBgBZQQAAAAAAAAAADAsAWUEAAAAAAAAAAA0KAFlBAAAAAAAAAAAHCABZQgIAAAAAAAAADA0AWUEAAAAAAAAAAAAAAAA</t>
        </r>
      </text>
    </comment>
    <comment ref="A16" authorId="0" shapeId="0" xr:uid="{602D1EE2-6F0B-48DF-8A0D-FF8EDD8BDC3A}">
      <text>
        <r>
          <rPr>
            <sz val="9"/>
            <color indexed="81"/>
            <rFont val="MS P ゴシック"/>
            <family val="3"/>
            <charset val="128"/>
          </rPr>
          <t>Insight iXlW00001C0000016R0585476093S00000030P01016LAocjBAQBF1NjaVRlZ2ljLmRhdGEuTW9sZWN1bGUBbwF/ARJTY2lUZWdpYy5Nb2xlY3VsZQAAAQFkAv5qAQAAAAIAAjQYAAAA/PwA/AACAAAAAAAA8L8COiNKe4Mv878C8KfGSzeJ3b8AAAAAGAAAAPz8APwAAgAAAAAAAPC/Ar7BFyZThQDAAoPAyqFFtqM/AAAAABgAAAD8/AD8AAIAAAAAAADwvwLhC5OpglHVvwKDwMqhRbajPwAAAAAcAAAA/PwA/AACAAAAAAAA8L8COiNKe4Mv878C/Knx0k1i978AAAAAJAAAAPz8APwAAgAAAAAAAPC/At9xio7kcgfAAvCnxks3id2/AAAAACAAAAD8/AD8AAIAAAAAAADwvwKTOgFNhA3hPwLwp8ZLN4ndvwAAAAAYAAAA/PwA/AACAAAAAAAA8L8COiNKe4Mv878CBFYOLbKd+D8AAAAAIAAAAPz8APwAAgAAAAAAAPC/AkA1XrpJDAlAAoPAyqFFtqM/AAAAABgAAAD8/AD8AAIAAAAAAADwvwK+wRcmU4UAwAIEVg4tsp3wPwAAAAAYAAAA/PwA/AACAAAAAAAA8L8C4QuTqYJR1b8CBFYOLbKd8D8AAAAAGAAAAPz8APwAAgAAAAAAAPC/Aov9ZffkYfY/AoPAyqFFtqM/AAAAABgAAAD8/AD8AAIAAAAAAADwvwIfhetRuB4CQALwp8ZLN4ndvwAAAAAYAAAA/PwA/AACAAAAAAAA8L8CYeXQItv5D0AC8KfGSzeJ3b8AAAAANAQAAWUEAAAAAAAAAAAIAAFlCAwAAAAAAAAADAABZQQAAAAAAAAAABAEAWUEAAAAAAAAAAAUCAFlBAAAAAAAAAAAGCQBZQgIAAAAAAAAABwsAWUEAAAAAAAAAAAgBAFlCAgAAAAAAAAAJAgBZQQAAAAAAAAAACgUAWUEAAAAAAAAAAAsKAFlBAAAAAAAAAAAMBwBZQQAAAAAAAAAABggAWUEAAAAAAAAAAAAAAAA</t>
        </r>
      </text>
    </comment>
    <comment ref="A17" authorId="0" shapeId="0" xr:uid="{3885CD28-697A-478C-83B0-392DC6861B8E}">
      <text>
        <r>
          <rPr>
            <sz val="9"/>
            <color indexed="81"/>
            <rFont val="MS P ゴシック"/>
            <family val="3"/>
            <charset val="128"/>
          </rPr>
          <t>Insight iXlW00001C0000017R0585476093S00000032P01756LAocjBAQBF1NjaVRlZ2ljLmRhdGEuTW9sZWN1bGUBbwF/ARJTY2lUZWdpYy5Nb2xlY3VsZQAAAQFkAv5qAQAAAAIBAgEXHAAAAPz8APwAAgAAAAAAAPC/ArWmeccpOu6/AsIXJlMFo7I/AAAAABwABAD8/AD8AAIAAAAAAADwvwKuad5xio4HwALCFyZTBaOyPwAAAAAYAAAA/PwA/AACAAAAAAAA8L8CrmnecYqOA8ACi/1l9+Rh6b8AAAAAGAAAAPz8APwAAgAAAAAAAPC/AlvTvOMUHfe/Aov9ZffkYem/AAAAABgAAAD8/AD8AAIAAAAAAADwvwJz+Q/pt6//PwLnHafoSC7vPwAAAAAYAAAA/PwA/AACAAAAAAAA8L8CeAskKH6MqT8CqFfKMsSxxj8AAAAAHAAAAPz8APwAAgAAAAAAAPC/AueMKO0NvvI/Aq36XG3F/vg/AAAAACAA/AD8/AD8AAIAAAAAAADwvwKuad5xio4DwAJ8gy9MpgruPwAAAAAYAAAA/PwA/AACAAAAAAAA8L8CyQc9m1Wf9b8CAW+BBMWP7z8AAAAAIAAAAPz8APwAAgAAAAAAAPC/Aq5p3nGKjg/AAsIXJlMFo7I/AAAAACAAAAD8/AD8AAIAAAAAAADwvwK7Jw8LtSYHQALwFkhQ/Bj2PwAAAAAYAAAA/PwA/AACAAAAAAAA8L8CtaZ5xyk67r8CB1+YTBWM+r8AAAAAGAwAAPz8APwAAgAAAAAAAPC/AsgpOpLLf9A/ArByaJHtfPI/AAAAACAAAAD8/AD8AAIAAAAAAADwvwKJY13cRgP+PwK+MJkqGJWUvwAAAAAYAAAA/PwA/AACAAAAAAAA8L8CoKut2F92478CsHJoke18+j8AAAAAGAAAAPz8APwAAgAAAAAAAPC/AgHeAgmKnw1AAm1Wfa62Yuk/AAAAABgAAAD8/AD8AAIAAAAAAADwvwKuad5xio4HwAJ4CyQofoz6vwAAAAAkAAAA/PwA/AACAAAAAAAA8L8CsJRliGNdrD8CB1+YTBWM+r8AAAAAGAAAAPz8APwAAgAAAAAAAPC/Aq5p3nGKjgPAAt21hHzQMwTAAAAAABgAAAD8/AD8AAIAAAAAAADwvwJb07zjFB33vwLdtYR80DMEwAAAAAAYAAAA/PwA/AACAAAAAAAA8L8C78nDQq0pEUACwhcmUwWj+T8AAAAAGAAAAPz8APwAAgAAAAAAAPC/AkA1XrpJDBJAAuj7qfHSTco/AAAAABgAAAD8/AD8AAIAAAAAAADwvwIkKH6MuesIQAIzVTAqqROQvwAAAAABGAQIAWUEAAAAAAAAAAAIDAFlCAgAAAAAAAAADAABZQQAAAAAAAAAABAYAWUEAAAAAAAAAAAUAAFlBAAAAAAAAAAAMBgBZQQUAAAAAAAAABwEAWUEAAAAAAAAAAAgAAFlBAAAAAAAAAAAJAQBZQgAAAAAAAAAACgQAWUEAAAAAAAAAAAsDAFlBAAAAAAAAAAAMBQBZQQAAAAAAAAAADQQAWUIAAAAAAAAAAA4IAFlBAAAAAAAAAAAPCgBZQQAAAAAAAAAAAEQCAFlBAAAAAAAAAAAAREsAWUEAAAAAAAAAAABEgEQAWUICAAAAAAAAAABEywBZQgIAAAAAAAAAAEUPAFlBAAAAAAAAAAAARU8AWUEAAAAAAAAAAABFjwBZQQAAAAAAAAAADA4AWUEAAAAAAAAAAABEwESAWUEAAAAAAAAAAAAAAAA</t>
        </r>
      </text>
    </comment>
    <comment ref="A18" authorId="0" shapeId="0" xr:uid="{45BD6FBE-415C-4A34-A7A6-6354C7FFA63E}">
      <text>
        <r>
          <rPr>
            <sz val="9"/>
            <color indexed="81"/>
            <rFont val="MS P ゴシック"/>
            <family val="3"/>
            <charset val="128"/>
          </rPr>
          <t>Insight iXlW00001C0000018R0585476093S00000034P01760LAocjBAQBF1NjaVRlZ2ljLmRhdGEuTW9sZWN1bGUBbwF/ARJTY2lUZWdpYy5Nb2xlY3VsZQAAAQFkAv5qAQAAAAIBAgEXHAAEAPz8APwAAgAAAAAAAPC/AtS84xQdSQlAAuXyH9Jv3wDAAAAAABgAAAD8/AD8AAIAAAAAAADwvwIep+hILn8BwALSb18HzhnRPwAAAAAcAAAA/PwA/AACAAAAAAAA8L8CseHplbIM9r8CXY/C9Shc6z8AAAAAGAAAAPz8APwAAgAAAAAAAPC/AtS84xQdSQVAAhfZzvdT4/O/AAAAABgAAAD8/AD8AAIAAAAAAADwvwLUvOMUHUkJQAJU46WbxCDYvwAAAAAgAAAA/PwA/AACAAAAAAAA8L8CWag1zTvOCMAC48eYu5aQ5T8AAAAAGAAAAPz8APwAAgAAAAAAAPC/AtS84xQdSQVAArOd76fGS98/AAAAABgAAAD8/AD8AAIAAAAAAADwvwKneccpOpL6PwKzne+nxkvfPwAAAAAgAPwA/PwA/AACAAAAAAAA8L8C1LzjFB1JBUACBqOSOgHNB8AAAAAAIAAAAPz8APwAAgAAAAAAAPC/Aqd5xyk6kvI/Aq5H4XoUrvU/AAAAABgAAAD8/AD8AAIAAAAAAADwvwJMyAc9m1XbvwJGtvP91HjhPwAAAAAgAAAA/PwA/AACAAAAAAAA8L8Cat5xio6kEEAC5fIf0m/fAMAAAAAAGAAAAPz8APwAAgAAAAAAAPC/AiKOdXEbDfa/Aj2bVZ+rrf0/AAAAACAAAAD8/AD8AAIAAAAAAADwvwJiMlUwKqkAwAKEL0ymCkbnvwAAAAAYDAAA/PwA/AACAAAAAAAA8L8CNs07TtGRxD8CrkfhehSu9T8AAAAAGAAAAPz8APwAAgAAAAAAAPC/Aqd5xyk6kvo/AhfZzvdT4/O/AAAAABgAAAD8/AD8AAIAAAAAAADwvwKfXinLEEcPwAJ8gy9Mpgq2PwAAAAAYAAAA/PwA/AACAAAAAAAA8L8Cp3nHKTqS8j8CVOOlm8Qg2L8AAAAAGAAAAPz8APwAAgAAAAAAAPC/AkzIBz2bVdu/Ah1aZDvfTwFAAAAAACQAAAD8/AD8AAIAAAAAAADwvwLUvOMUHUkJQAKuR+F6FK71PwAAAAAYAAAA/PwA/AACAAAAAAAA8L8CwqikTkCTCsACp+hILv8h578AAAAAGAAAAPz8APwAAgAAAAAAAPC/AnKKjuTy3xLAAiKOdXEbDeC/AAAAABgAAAD8/AD8AAIAAAAAAADwvwI+CtejcP0RwAJoImx4eqXsPwAAAAABGAQIAWUEAAAAAAAAAAAIKAFlBAAAAAAAAAAADAABZQQAAAAAAAAAABAMAWUEAAAAAAAAAAAUBAFlBAAAAAAAAAAAGBABZQgMAAAAAAAAABwBEQFlCAwAAAAAAAAAIAABZQQAAAAAAAAAACQcAWUEAAAAAAAAAAAoOAFlBAAAAAAAAAAALAABZQgAAAAAAAAAADABEgFlBAAAAAAAAAAANAQBZQgAAAAAAAAAADgkAWUEEAAAAAAAAAA8DAFlCAwAAAAAAAAAARAUAWUEAAAAAAAAAAABETwBZQQAAAAAAAAAAAESOAFlBAAAAAAAAAAAARMYAWUEAAAAAAAAAAABFAEQAWUEAAAAAAAAAAABFQEQAWUEAAAAAAAAAAABFgEQAWUEAAAAAAAAAAAYHAFlBAAAAAAAAAAACDABZQQAAAAAAAAAAAAAAAA=</t>
        </r>
      </text>
    </comment>
    <comment ref="A19" authorId="0" shapeId="0" xr:uid="{DDC2446D-4F7D-4144-8F31-91323876EA7D}">
      <text>
        <r>
          <rPr>
            <sz val="9"/>
            <color indexed="81"/>
            <rFont val="MS P ゴシック"/>
            <family val="3"/>
            <charset val="128"/>
          </rPr>
          <t>Insight iXlW00001C0000019R0585476093S00000036P01760LAocjBAQBF1NjaVRlZ2ljLmRhdGEuTW9sZWN1bGUBbwF/ARJTY2lUZWdpYy5Nb2xlY3VsZQAAAQFkAv5qAQAAAAIBAgEXHAAEAPz8APwAAgAAAAAAAPC/AtS84xQdSQlAAuXyH9Jv3wDAAAAAABgAAAD8/AD8AAIAAAAAAADwvwIep+hILn8BwALSb18HzhnRPwAAAAAcAAAA/PwA/AACAAAAAAAA8L8CseHplbIM9r8CXY/C9Shc6z8AAAAAGAAAAPz8APwAAgAAAAAAAPC/AtS84xQdSQVAAhfZzvdT4/O/AAAAABgAAAD8/AD8AAIAAAAAAADwvwLUvOMUHUkJQAJU46WbxCDYvwAAAAAgAAAA/PwA/AACAAAAAAAA8L8CWag1zTvOCMAC48eYu5aQ5T8AAAAAGAAAAPz8APwAAgAAAAAAAPC/AtS84xQdSQVAArOd76fGS98/AAAAABgAAAD8/AD8AAIAAAAAAADwvwKneccpOpL6PwKzne+nxkvfPwAAAAAgAPwA/PwA/AACAAAAAAAA8L8C1LzjFB1JBUACBqOSOgHNB8AAAAAAIAAAAPz8APwAAgAAAAAAAPC/Aqd5xyk6kvI/Aq5H4XoUrvU/AAAAABgAAAD8/AD8AAIAAAAAAADwvwJMyAc9m1XbvwJGtvP91HjhPwAAAAAgAAAA/PwA/AACAAAAAAAA8L8Cat5xio6kEEAC5fIf0m/fAMAAAAAAGAAAAPz8APwAAgAAAAAAAPC/AiKOdXEbDfa/Aj2bVZ+rrf0/AAAAACAAAAD8/AD8AAIAAAAAAADwvwJiMlUwKqkAwAKEL0ymCkbnvwAAAAAYCAAA/PwA/AACAAAAAAAA8L8CNs07TtGRxD8CrkfhehSu9T8AAAAAGAAAAPz8APwAAgAAAAAAAPC/Aqd5xyk6kvo/AhfZzvdT4/O/AAAAABgAAAD8/AD8AAIAAAAAAADwvwKfXinLEEcPwAJ8gy9Mpgq2PwAAAAAYAAAA/PwA/AACAAAAAAAA8L8Cp3nHKTqS8j8CVOOlm8Qg2L8AAAAAGAAAAPz8APwAAgAAAAAAAPC/AkzIBz2bVdu/Ah1aZDvfTwFAAAAAACQAAAD8/AD8AAIAAAAAAADwvwLUvOMUHUkJQAKuR+F6FK71PwAAAAAYAAAA/PwA/AACAAAAAAAA8L8CwqikTkCTCsACp+hILv8h578AAAAAGAAAAPz8APwAAgAAAAAAAPC/AnKKjuTy3xLAAiKOdXEbDeC/AAAAABgAAAD8/AD8AAIAAAAAAADwvwI+CtejcP0RwAJoImx4eqXsPwAAAAABGAQIAWUEAAAAAAAAAAAIKAFlBAAAAAAAAAAADAABZQQAAAAAAAAAABAMAWUEAAAAAAAAAAAUBAFlBAAAAAAAAAAAGBABZQgMAAAAAAAAABwBEQFlCAwAAAAAAAAAIAABZQQAAAAAAAAAACQcAWUEAAAAAAAAAAAoOAFlBAAAAAAAAAAALAABZQgAAAAAAAAAADABEgFlBAAAAAAAAAAANAQBZQgAAAAAAAAAADgkAWUEFAAAAAAAAAA8DAFlCAwAAAAAAAAAARAUAWUEAAAAAAAAAAABETwBZQQAAAAAAAAAAAESOAFlBAAAAAAAAAAAARMYAWUEAAAAAAAAAAABFAEQAWUEAAAAAAAAAAABFQEQAWUEAAAAAAAAAAABFgEQAWUEAAAAAAAAAAAYHAFlBAAAAAAAAAAACDABZQQAAAAAAAAAAAAAAAA=</t>
        </r>
      </text>
    </comment>
    <comment ref="A20" authorId="0" shapeId="0" xr:uid="{A64EE4D1-FACD-4A8D-8461-69C82E177727}">
      <text>
        <r>
          <rPr>
            <sz val="9"/>
            <color indexed="81"/>
            <rFont val="MS P ゴシック"/>
            <family val="3"/>
            <charset val="128"/>
          </rPr>
          <t>Insight iXlW00001C0000020R0585476093S00000038P01832LAocjBAQBF1NjaVRlZ2ljLmRhdGEuTW9sZWN1bGUBbwF/ARJTY2lUZWdpYy5Nb2xlY3VsZQAAAQFkAv5qAQAAAAIAAgEYHAAEAPz8APwAAgAAAAAAAPC/Au4NvjCZKgxAAoC3QILix9S/AAAAABgAAAD8/AD8AAIAAAAAAADwvwLtDb4wmSoIQALDZKpgVFLhPwAAAAAYAAAA/PwA/AACAAAAAAAA8L8C7Q2+MJkqAEACw2SqYFRS4T8AAAAAGAAAAPz8APwAAgAAAAAAAPC/AhPyQc9m1QPAAkVpb/CFydS/AAAAABwAAAD8/AD8AAIAAAAAAADwvwIm5IOezar3vwJFaW/whcnUvwAAAAAgAAAA/PwA/AACAAAAAAAA8L8CE/JBz2bVB8ACkzoBTYQN878AAAAAIAAAAPz8APwAAgAAAAAAAPC/AtsbfGEyVfg/AkVpb/CFydS/AAAAACAA/AD8/AD8AAIAAAAAAADwvwLtDb4wmSoIQAKTOgFNhA3zvwAAAAAgAAAA/PwA/AACAAAAAAAA8L8C9wZfmEwVEkACgLdAguLH1L8AAAAAGAAAAPz8APwAAgAAAAAAAPC/AkzIBz2bVfg/AqOSOgFNhPY/AAAAACAAAAD8/AD8AAIAAAAAAADwvwIT8kHPZtUHwALDZKpgVFLhPwAAAAAYAAAA/PwA/AACAAAAAAAA8L8CTMgHPZtV778CkzoBTYQN878AAAAAGAAAAPz8APwAAgAAAAAAAPC/AkzIBz2bVe+/AuELk6mCUeE/AAAAABgAAAD8/AD8AAIAAAAAAADwvwIT8kHPZtUPwAKTOgFNhA3zvwAAAAAYAAAA/PwA/AACAAAAAAAA8L8ClfYGX5hMlT8C4QuTqYJR4T8AAAAAGAAAAPz8APwAAgAAAAAAAPC/ApX2Bl+YTJU/ApM6AU2EDfO/AAAAABgAAAD8/AD8AAIAAAAAAADwvwK1N/jCZKrgPwJFaW/whcnUvwAAAAAYAAAA/PwA/AACAAAAAAAA8L8C7g2+MJkqDEACo5I6AU2E9j8AAAAAJAAAAPz8APwAAgAAAAAAAPC/ApeQD3o2q+A/AqOSOgFNhPY/AAAAABgAAAD8/AD8AAIAAAAAAADwvwLtDb4wmSoIQAJz+Q/pty8CQAAAAAAYAAAA/PwA/AACAAAAAAAA8L8CJuSDns0qAEACc/kP6bcvAkAAAAAAGAAAAPz8APwAAgAAAAAAAPC/AhPyQc9m1Q/AAkqdgCbChgHAAAAAABgAAAD8/AD8AAIAAAAAAADwvwIK+aBns+oTwAKTOgFNhA3zvwAAAAAYAAAA/PwA/AACAAAAAAAA8L8CE/JBz2bVD8ACldQJaCJsyL8AAAAAARkEAAFlBAAAAAAAAAAACAQBZQgIAAAAAAAAAAwQAWUEAAAAAAAAAAAQMAFlBAAAAAAAAAAAFAwBZQQAAAAAAAAAABgIAWUEAAAAAAAAAAAcAAFlBAAAAAAAAAAAIAABZQgAAAAAAAAAACQIAWUEAAAAAAAAAAAoDAFlCAAAAAAAAAAALDwBZQQAAAAAAAAAADA4AWUEAAAAAAAAAAA0FAFlBAAAAAAAAAAAOAEQAWUEAAAAAAAAAAA8ARABZQQAAAAAAAAAAAEQGAFlBAAAAAAAAAAAAREEAWUEAAAAAAAAAAABEiQBZQQAAAAAAAAAAAETAREBZQgIAAAAAAAAAAEUARMBZQQAAAAAAAAAAAEVNAFlBAAAAAAAAAAAARY0AWUEAAAAAAAAAAABFzQBZQQAAAAAAAAAAAEUJAFlCAgAAAAAAAAAECwBZQQAAAAAAAAAAAAAAAA=</t>
        </r>
      </text>
    </comment>
    <comment ref="A21" authorId="0" shapeId="0" xr:uid="{02C9AC0E-057A-4C3B-830E-94428E68E3E6}">
      <text>
        <r>
          <rPr>
            <sz val="9"/>
            <color indexed="81"/>
            <rFont val="MS P ゴシック"/>
            <family val="3"/>
            <charset val="128"/>
          </rPr>
          <t>Insight iXlW00001C0000021R0585476093S00000040P01756LAocjBAQBF1NjaVRlZ2ljLmRhdGEuTW9sZWN1bGUBbwF/ARJTY2lUZWdpYy5Nb2xlY3VsZQAAAQFkAv5qAQAAAAIBAgEXHAAEAPz8APwAAgAAAAAAAPC/AtPe4AuTKQpAAnyDL0ymCuI/AAAAABgAAAD8/AD8AAIAAAAAAADwvwKyLm6jATwDQAK+wRcmUwXxPwAAAAAYAAAA/PwA/AACAAAAAAAA8L8CIv32deCc+D8CfIMvTKYK4j8AAAAAGAAAAPz8APwAAgAAAAAAAPC/AgpoImx4ev6/AuSlm8QgsPK/AAAAABwAAAD8/AD8AAIAAAAAAADwvwKo6Egu/yHtvwLNO07RkVz0vwAAAAAgAAAA/PwA/AACAAAAAAAA8L8CPE7RkVx+AsACfT81XrpJ0L8AAAAAIAAAAPz8APwAAgAAAAAAAPC/AiL99nXgnPg/Agr5oGez6tu/AAAAACAA/AD8/AD8AAIAAAAAAADwvwLT3uALkykKQAIK+aBns+rbvwAAAAAYAAAA/PwA/AACAAAAAAAA8L8CLpCg+DHmzr8CqRPQRNjw4L8AAAAAIAAAAPz8APwAAgAAAAAAAPC/AnrHKTqSixBAAr7BFyZTBfE/AAAAABgAAAD8/AD8AAIAAAAAAADwvwLBOSNKe4PlPwK+wRcmUwXxPwAAAAAYAAAA/PwA/AACAAAAAAAA8L8CE4PAyqFF2r8CCM4ZUdobAcAAAAAAIAAAAPz8APwAAgAAAAAAAPC/AuLplbIM8QPAAm8Sg8DKof+/AAAAABgMAAD8/AD8AAIAAAAAAADwvwLf4AuTqYLlPwKFfNCzWfXtvwAAAAAYAAAA/PwA/AACAAAAAAAA8L8CF0hQ/BhzCsACq8/VVuwvw78AAAAAGAAAAPz8APwAAgAAAAAAAPC/Au0NvjCZKuI/Avkx5q4l5P6/AAAAABgAAAD8/AD8AAIAAAAAAADwvwKyLm6jATwDQALf4AuTqYIAQAAAAAAkAAAA/PwA/AACAAAAAAAA8L8CkX77OnDOyL8CfIMvTKYK4j8AAAAAGAAAAPz8APwAAgAAAAAAAPC/AiL99nXgnPg/At/gC5OpggRAAAAAABgAAAD8/AD8AAIAAAAAAADwvwLBOSNKe4PlPwLf4AuTqYIAQAAAAAAYAAAA/PwA/AACAAAAAAAA8L8C1LzjFB1JC8ACrK3YX3ZP8r8AAAAAGAAAAPz8APwAAgAAAAAAAPC/AvmgZ7PqMxHAApEPejarPqe/AAAAABgAAAD8/AD8AAIAAAAAAADwvwIi/fZ14JwJwAKCc0aU9gbrPwAAAAABGAQAAWUEAAAAAAAAAAAIBAFlCAgAAAAAAAAADBABZQQAAAAAAAAAABAgAWUEAAAAAAAAAAAUDAFlBAAAAAAAAAAAGAgBZQQAAAAAAAAAABwAAWUEAAAAAAAAAAAgNAFlBAAAAAAAAAAAJAABZQgAAAAAAAAAACgIAWUEAAAAAAAAAAAsPAFlBAAAAAAAAAAAMAwBZQgAAAAAAAAAADQYAWUEFAAAAAAAAAA4FAFlBAAAAAAAAAAAPDQBZQQAAAAAAAAAAAEQBAFlBAAAAAAAAAAAAREoAWUEAAAAAAAAAAABEgEQAWUICAAAAAAAAAABEygBZQgIAAAAAAAAAAEUOAFlBAAAAAAAAAAAARU4AWUEAAAAAAAAAAABFjgBZQQAAAAAAAAAAAESARMBZQQAAAAAAAAAABAsAWUEAAAAAAAAAAAAAAAA</t>
        </r>
      </text>
    </comment>
    <comment ref="A22" authorId="0" shapeId="0" xr:uid="{13B00AA3-5434-410C-A629-F0B2951CCFD4}">
      <text>
        <r>
          <rPr>
            <sz val="9"/>
            <color indexed="81"/>
            <rFont val="MS P ゴシック"/>
            <family val="3"/>
            <charset val="128"/>
          </rPr>
          <t>Insight iXlW00001C0000022R0585476093S00000042P01756LAocjBAQBF1NjaVRlZ2ljLmRhdGEuTW9sZWN1bGUBbwF/ARJTY2lUZWdpYy5Nb2xlY3VsZQAAAQFkAv5qAQAAAAIBAgEXHAAEAPz8APwAAgAAAAAAAPC/AtPe4AuTKQpAAnyDL0ymCuI/AAAAABgAAAD8/AD8AAIAAAAAAADwvwKyLm6jATwDQAK+wRcmUwXxPwAAAAAYAAAA/PwA/AACAAAAAAAA8L8CIv32deCc+D8CfIMvTKYK4j8AAAAAGAAAAPz8APwAAgAAAAAAAPC/AgpoImx4ev6/AuSlm8QgsPK/AAAAABwAAAD8/AD8AAIAAAAAAADwvwKo6Egu/yHtvwLNO07RkVz0vwAAAAAgAAAA/PwA/AACAAAAAAAA8L8CPE7RkVx+AsACfT81XrpJ0L8AAAAAIAAAAPz8APwAAgAAAAAAAPC/AiL99nXgnPg/Agr5oGez6tu/AAAAACAA/AD8/AD8AAIAAAAAAADwvwLT3uALkykKQAIK+aBns+rbvwAAAAAYAAAA/PwA/AACAAAAAAAA8L8CLpCg+DHmzr8CqRPQRNjw4L8AAAAAIAAAAPz8APwAAgAAAAAAAPC/AnrHKTqSixBAAr7BFyZTBfE/AAAAABgAAAD8/AD8AAIAAAAAAADwvwLBOSNKe4PlPwK+wRcmUwXxPwAAAAAYAAAA/PwA/AACAAAAAAAA8L8CE4PAyqFF2r8CCM4ZUdobAcAAAAAAIAAAAPz8APwAAgAAAAAAAPC/AuLplbIM8QPAAm8Sg8DKof+/AAAAABgIAAD8/AD8AAIAAAAAAADwvwLf4AuTqYLlPwKFfNCzWfXtvwAAAAAYAAAA/PwA/AACAAAAAAAA8L8CF0hQ/BhzCsACq8/VVuwvw78AAAAAGAAAAPz8APwAAgAAAAAAAPC/Au0NvjCZKuI/Avkx5q4l5P6/AAAAABgAAAD8/AD8AAIAAAAAAADwvwKyLm6jATwDQALf4AuTqYIAQAAAAAAkAAAA/PwA/AACAAAAAAAA8L8CkX77OnDOyL8CfIMvTKYK4j8AAAAAGAAAAPz8APwAAgAAAAAAAPC/AiL99nXgnPg/At/gC5OpggRAAAAAABgAAAD8/AD8AAIAAAAAAADwvwLBOSNKe4PlPwLf4AuTqYIAQAAAAAAYAAAA/PwA/AACAAAAAAAA8L8C1LzjFB1JC8ACrK3YX3ZP8r8AAAAAGAAAAPz8APwAAgAAAAAAAPC/AvmgZ7PqMxHAApEPejarPqe/AAAAABgAAAD8/AD8AAIAAAAAAADwvwIi/fZ14JwJwAKCc0aU9gbrPwAAAAABGAQAAWUEAAAAAAAAAAAIBAFlCAgAAAAAAAAADBABZQQAAAAAAAAAABAgAWUEAAAAAAAAAAAUDAFlBAAAAAAAAAAAGAgBZQQAAAAAAAAAABwAAWUEAAAAAAAAAAAgNAFlBAAAAAAAAAAAJAABZQgAAAAAAAAAACgIAWUEAAAAAAAAAAAsPAFlBAAAAAAAAAAAMAwBZQgAAAAAAAAAADQYAWUEEAAAAAAAAAA4FAFlBAAAAAAAAAAAPDQBZQQAAAAAAAAAAAEQBAFlBAAAAAAAAAAAAREoAWUEAAAAAAAAAAABEgEQAWUICAAAAAAAAAABEygBZQgIAAAAAAAAAAEUOAFlBAAAAAAAAAAAARU4AWUEAAAAAAAAAAABFjgBZQQAAAAAAAAAAAESARMBZQQAAAAAAAAAABAsAWUEAAAAAAAAAAAAAAAA</t>
        </r>
      </text>
    </comment>
    <comment ref="A23" authorId="0" shapeId="0" xr:uid="{D7B232C0-B5EE-4F04-8AAF-1B2FC6C2D2AD}">
      <text>
        <r>
          <rPr>
            <sz val="9"/>
            <color indexed="81"/>
            <rFont val="MS P ゴシック"/>
            <family val="3"/>
            <charset val="128"/>
          </rPr>
          <t>Insight iXlW00001C0000023R0585476093S00000044P01468LAocjBAQBF1NjaVRlZ2ljLmRhdGEuTW9sZWN1bGUBbwF/ARJTY2lUZWdpYy5Nb2xlY3VsZQAAAQFkAv5qAQAAAAIAAgETHAAEAPz8APwAAgAAAAAAAPC/ArYV+8vuyfM/AgisHFpkO/K/AAAAABgAAAD8/AD8AAIAAAAAAADwvwK2FfvL7sn7PwIbL90kBoHRvwAAAAAYAAAA/PwA/AACAAAAAAAA8L8CthX7y+7J8z8C9ihcj8L14j8AAAAAIAAAAPz8APwAAgAAAAAAAPC/Aqyt2F92T84/AvYoXI/C9eI/AAAAABwAAAD8/AD8AAIAAAAAAADwvwImdQKaCBsKwAIbL90kBoHRvwAAAAAgAPwA/PwA/AACAAAAAAAA8L8CrK3YX3ZPzj8CCKwcWmQ78r8AAAAAIAAAAPz8APwAAgAAAAAAAPC/AifChqdXyvs/AiUGgZVDCwDAAAAAABgAAAD8/AD8AAIAAAAAAADwvwK2FfvL7sn7PwK9dJMYBFb3PwAAAAAYAAAA/PwA/AACAAAAAAAA8L8CKqkT0ETY0L8CGy/dJAaB0b8AAAAAGAAAAPz8APwAAgAAAAAAAPC/AiZ1ApoIGwbAAvYoXI/C9eI/AAAAABgAAAD8/AD8AAIAAAAAAADwvwImdQKaCBsGwAIIrBxaZDvyvwAAAAAYAAAA/PwA/AACAAAAAAAA8L8C24r9ZffkBUACGy/dJAaB0b8AAAAAJAAAAPz8APwAAgAAAAAAAPC/ArYV+8vuyfM/ArhAguLHmAJAAAAAABgAAAD8/AD8AAIAAAAAAADwvwJL6gQ0ETb0vwIbL90kBoHRvwAAAAAYAAAA/PwA/AACAAAAAAAA8L8CS+oENBE2/L8C9ihcj8L14j8AAAAAGAAAAPz8APwAAgAAAAAAAPC/AkvqBDQRNvy/AgisHFpkO/K/AAAAABgAAAD8/AD8AAIAAAAAAADwvwKTOgFNhA0RwAIbL90kBoHRvwAAAAAYAAAA/PwA/AACAAAAAAAA8L8C24r9ZffkCUAC9ihcj8L14j8AAAAAGAAAAPz8APwAAgAAAAAAAPC/AtuK/WX35AVAAr10kxgEVvc/AAAAAAEUBAABZQQAAAAAAAAAAAgEAWUEAAAAAAAAAAAMCAFlBAAAAAAAAAAAECgBZQQAAAAAAAAAABQAAWUEAAAAAAAAAAAYAAFlCAAAAAAAAAAAHAgBZQgMAAAAAAAAACAMAWUEAAAAAAAAAAAkOAFlBAAAAAAAAAAAKDwBZQQAAAAAAAAAACwEAWUIDAAAAAAAAAAwHAFlBAAAAAAAAAAANCABZQQAAAAAAAAAADg0AWUEAAAAAAAAAAA8NAFlBAAAAAAAAAAAARAQAWUEAAAAAAAAAAABESwBZQQAAAAAAAAAAAESAREBZQgIAAAAAAAAAAESHAFlBAAAAAAAAAAAJBABZQQAAAAAAAAAAAAAAAA=</t>
        </r>
      </text>
    </comment>
    <comment ref="A24" authorId="0" shapeId="0" xr:uid="{9DE3CFD0-CC19-43E0-8A75-F769B563E050}">
      <text>
        <r>
          <rPr>
            <sz val="9"/>
            <color indexed="81"/>
            <rFont val="MS P ゴシック"/>
            <family val="3"/>
            <charset val="128"/>
          </rPr>
          <t>Insight iXlW00001C0000024R0585476093S00000046P01088LAocjBAQBF1NjaVRlZ2ljLmRhdGEuTW9sZWN1bGUBbwF/ARJTY2lUZWdpYy5Nb2xlY3VsZQAAAQFkAv5qAQAAAAIAAjgcAAQA/PwA/AACAAAAAAAA8L8Cm3ecoiO5+j8C1zTvOEVHoj8AAAAAGAAAAPz8APwAAgAAAAAAAPC/AtDVVuwvu+k/Ak7zjlN0JOE/AAAAABgAAAD8/AD8AAIAAAAAAADwvwI3qz5XW7GvvwLXNO84RUeiPwAAAAAgAAAA/PwA/AACAAAAAAAA8L8CN6s+V1uxr78CswxxrIvb7r8AAAAAIAD8APz8APwAAgAAAAAAAPC/Apt3nKIjufo/ArMMcayL2+6/AAAAACAAAAD8/AD8AAIAAAAAAADwvwLu68A5I0oEQAJO845TdCThPwAAAAAYAAAA/PwA/AACAAAAAAAA8L8CN6s+V1ux7b8CTvOOU3Qk4T8AAAAAGAAAAPz8APwAAgAAAAAAAPC/AtDVVuwvu+k/Aqd5xyk6kvg/AAAAACQAAAD8/AD8AAIAAAAAAADwvwLdtYR80LP8vwLXNO84RUeiPwAAAAAYAAAA/PwA/AACAAAAAAAA8L8CN6s+V1ux7b8CWoY41sVt978AAAAAGAAAAPz8APwAAgAAAAAAAPC/AjerPldbsa+/AtS84xQdSQBAAAAAABgAAAD8/AD8AAIAAAAAAADwvwI3qz5XW7HtvwKneccpOpL4PwAAAAAYAAAA/PwA/AACAAAAAAAA8L8CN6s+V1ux7b8CLUMc6+K2A8AAAAAAGAAAAPz8APwAAgAAAAAAAPC/At21hHzQs/y/ArMMcayL2+6/AAAAADgEAAFlBAAAAAAAAAAACAQBZQgIAAAAAAAAAAwIAWUEAAAAAAAAAAAQAAFlBAAAAAAAAAAAFAABZQgAAAAAAAAAABgIAWUEAAAAAAAAAAAcBAFlBAAAAAAAAAAAIBgBZQQAAAAAAAAAACQMAWUEAAAAAAAAAAAoHAFlCAgAAAAAAAAALBgBZQgIAAAAAAAAADAkAWUEAAAAAAAAAAA0JAFlBAAAAAAAAAAAKCwBZQQAAAAAAAAAAAAAAAA=</t>
        </r>
      </text>
    </comment>
    <comment ref="A25" authorId="0" shapeId="0" xr:uid="{607F171A-99FE-4000-A909-B9F8467626F9}">
      <text>
        <r>
          <rPr>
            <sz val="9"/>
            <color indexed="81"/>
            <rFont val="MS P ゴシック"/>
            <family val="3"/>
            <charset val="128"/>
          </rPr>
          <t>Insight iXlW00001C0000025R0585476093S00000048P01232LAocjBAQBF1NjaVRlZ2ljLmRhdGEuTW9sZWN1bGUBbwF/ARJTY2lUZWdpYy5Nb2xlY3VsZQAAAQFkAv5qAQAAAAIAAgEQHAAEAPz8APwAAgAAAAAAAPC/AkVpb/CFycQ/AsgpOpLLf/Q/AAAAABgAAAD8/AD8AAIAAAAAAADwvwIUP8bctYTmvwKPU3Qkl//oPwAAAAAYAAAA/PwA/AACAAAAAAAA8L8CMuauJeSD5r8CPE7RkVz+y78AAAAAIAAAAPz8APwAAgAAAAAAAPC/AkVpb/CFycQ/Ao9TdCSX/+a/AAAAACAA/AD8/AD8AAIAAAAAAADwvwJqTfOOU3TwPwKPU3Qkl//oPwAAAAAgAAAA/PwA/AACAAAAAAAA8L8CRWlv8IXJxD8C5BQdyeU/AkAAAAAAGAAAAPz8APwAAgAAAAAAAPC/Asx/SL99Hfm/Ao9TdCSX/+a/AAAAABgAAAD8/AD8AAIAAAAAAADwvwKsrdhfdk/+PwKPU3Qkl//mvwAAAAAYAAAA/PwA/AACAAAAAAAA8L8Cak3zjlN08D8CPE7RkVz+y78AAAAAGAAAAPz8APwAAgAAAAAAAPC/Asx/SL99Hfm/AsgpOpLLf/Q/AAAAACQAAAD8/AD8AAIAAAAAAADwvwLMf0i/fR35vwLIKTqSy3/7vwAAAAAYAAAA/PwA/AACAAAAAAAA8L8CB/AWSFB8A8ACcayL22gA6T8AAAAAGAAAAPz8APwAAgAAAAAAAPC/AgfwFkhQfAPAAjxO0ZFc/su/AAAAABgAAAD8/AD8AAIAAAAAAADwvwLWVuwvuycDQALRs1n1udrCPwAAAAAYAAAA/PwA/AACAAAAAAAA8L8CL90kBoEVBkACyCk6kst/878AAAAAGAAAAPz8APwAAgAAAAAAAPC/Aqyt2F92T/Y/Ano2qz5XW/m/AAAAAAEQBAABZQQAAAAAAAAAAAgEAWUICAAAAAAAAAAMCAFlBAAAAAAAAAAAEAABZQQAAAAAAAAAABQAAWUIAAAAAAAAAAAYCAFlBAAAAAAAAAAAHCABZQQAAAAAAAAAACAMAWUEAAAAAAAAAAAkBAFlBAAAAAAAAAAAKBgBZQQAAAAAAAAAACwkAWUICAAAAAAAAAAwGAFlCAgAAAAAAAAANBwBZQQAAAAAAAAAADgcAWUEAAAAAAAAAAA8HAFlBAAAAAAAAAAALDABZQQAAAAAAAAAAAAAAAA=</t>
        </r>
      </text>
    </comment>
    <comment ref="A26" authorId="0" shapeId="0" xr:uid="{3CC30E64-2593-41B9-A1CC-9B605887B6F7}">
      <text>
        <r>
          <rPr>
            <sz val="9"/>
            <color indexed="81"/>
            <rFont val="MS P ゴシック"/>
            <family val="3"/>
            <charset val="128"/>
          </rPr>
          <t>Insight iXlW00001C0000026R0585476093S00000050P01324LAocjBAQBF1NjaVRlZ2ljLmRhdGEuTW9sZWN1bGUBbwF/ARJTY2lUZWdpYy5Nb2xlY3VsZQAAAQFkAv5qAQAAAAIAAgERHAAEAPz8APwAAgAAAAAAAPC/Ak+vlGWIY72/AjC7Jw8LtfY/AAAAABgAAAD8/AD8AAIAAAAAAADwvwJtVn2utmLvvwJgdk8eFmrtPwAAAAAYAAAA/PwA/AACAAAAAAAA8L8CbVZ9rrZi778CAk2EDU+vtL8AAAAAIAAAAPz8APwAAgAAAAAAAPC/Ak+vlGWIY72/AqCJsOHpleK/AAAAACAA/AD8/AD8AAIAAAAAAADwvwKaKhiV1AnoPwJgdk8eFmrtPwAAAAAgAAAA/PwA/AACAAAAAAAA8L8CT6+UZYhjvb8CmN2Th4VaA0AAAAAAGAAAAPz8APwAAgAAAAAAAPC/AngLJCh+jP2/AqCJsOHpleK/AAAAACAAAAD8/AD8AAIAAAAAAADwvwICvAUSFD8EQAKb5h2n6EjGvwAAAAAYAAAA/PwA/AACAAAAAAAA8L8CmioYldQJ6D8CAk2EDU+vtL8AAAAAGAAAAPz8APwAAgAAAAAAAPC/AngLJCh+jP2/AjC7Jw8LtfY/AAAAACQAAAD8/AD8AAIAAAAAAADwvwJ4CyQofoz9vwLQRNjw9Er5vwAAAAAYAAAA/PwA/AACAAAAAAAA8L8CACL99nXg+T8CoImw4emV4r8AAAAAGAAAAPz8APwAAgAAAAAAAPC/AhaMSuoEtAXAAmB2Tx4Wau0/AAAAABgAAAD8/AD8AAIAAAAAAADwvwLdtYR80LMFwAICTYQNT6+0vwAAAAAYAAAA/PwA/AACAAAAAAAA8L8CYcPTK2WZCUAC1CtlGeJY7b8AAAAAGAAAAPz8APwAAgAAAAAAAPC/AngLJCh+jPs/Aoc41sVtNPm/AAAAABgAAAD8/AD8AAIAAAAAAADwvwKamZmZmZkFQAKdoiO5/If8vwAAAAABEgQAAWUEAAAAAAAAAAAIBAFlCAgAAAAAAAAADAgBZQQAAAAAAAAAABAAAWUEAAAAAAAAAAAUAAFlCAAAAAAAAAAAGAgBZQQAAAAAAAAAABwsAWUEAAAAAAAAAAAgDAFlBAAAAAAAAAAAJAQBZQQAAAAAAAAAACgYAWUEAAAAAAAAAAAsIAFlBAAAAAAAAAAAMCQBZQgIAAAAAAAAADQYAWUICAAAAAAAAAA4HAFlBAAAAAAAAAAAPCwBZQQAAAAAAAAAAAEQPAFlBAAAAAAAAAAAMDQBZQQAAAAAAAAAADgBEAFlBAAAAAAAAAAAAAAAAA==</t>
        </r>
      </text>
    </comment>
    <comment ref="A27" authorId="0" shapeId="0" xr:uid="{89B21734-9B49-4EF9-B315-A1E64DE11566}">
      <text>
        <r>
          <rPr>
            <sz val="9"/>
            <color indexed="81"/>
            <rFont val="MS P ゴシック"/>
            <family val="3"/>
            <charset val="128"/>
          </rPr>
          <t>Insight iXlW00001C0000027R0585476093S00000052P01612LAocjBAQBF1NjaVRlZ2ljLmRhdGEuTW9sZWN1bGUBbwF/ARJTY2lUZWdpYy5Nb2xlY3VsZQAAAQFkAv5qAQAAAAIAAgEVHAAAAPz8APwAAgAAAAAAAPC/Aibkg57NqvK/AtZW7C+7J+G/AAAAABgAAAD8/AD8AAIAAAAAAADwvwLtDb4wmaoCQAJb07zjFB3VPwAAAAAYAAAA/PwA/AACAAAAAAAA8L8CE/JBz2ZVAcAC1lbsL7sn4b8AAAAAHAAAAPz8APwAAgAAAAAAAPC/AhPyQc9mVQXAAlvTvOMUHdU/AAAAABwAAAD8/AD8AAIAAAAAAADwvwLbG3xhMlX9PwLWVuwvuyfhvwAAAAAgAAAA/PwA/AACAAAAAAAA8L8C7g2+MJmqCkACW9O84xQd1T8AAAAAGAAAAPz8APwAAgAAAAAAAPC/AkzIBz2bVeW/Aq2L22gAb/a/AAAAABgAAAD8/AD8AAIAAAAAAADwvwJMyAc9m1XlvwJb07zjFB3VPwAAAAAgAAAA/PwA/AACAAAAAAAA8L8C2xt8YTJV/T8CGJXUCWgi8z8AAAAAGAAAAPz8APwAAgAAAAAAAPC/AhPyQc9mVQXAAq2L22gAb/a/AAAAABgAAAD8/AD8AAIAAAAAAADwvwLuDb4wmaoOQAKJQWDl0CLzPwAAAAAYAAAA/PwA/AACAAAAAAAA8L8Cam/whclU1T8CW9O84xQd1T8AAAAAGAAAAPz8APwAAgAAAAAAAPC/Ampv8IXJVNU/Aq2L22gAb/a/AAAAABgAAAD8/AD8AAIAAAAAAADwvwK1N/jCZKrqPwLWVuwvuyfhvwAAAAAYAAAA/PwA/AACAAAAAAAA8L8C2xt8YTJVDcACW9O84xQd1T8AAAAAGAAAAPz8APwAAgAAAAAAAPC/Au0NvjCZqhDAAtZW7C+7J+G/AAAAABwAAAD8/AD8AAIAAAAAAADwvwLtDb4wmaoUwALWVuwvuyfhvwAAAAAYAAAA/PwA/AACAAAAAAAA8L8C2xt8YTJVDcACHjhnRGlv9r8AAAAAGAAAAPz8APwAAgAAAAAAAPC/As1dS8gHvQdAAhmV1AloIvs/AAAAABgAAAD8/AD8AAIAAAAAAADwvwL3Bl+YTFURQALm0CLb+X4AQAAAAAAYAAAA/PwA/AACAAAAAAAA8L8CB1+YTBXMEkACE4PAyqFF5j8AAAAAARYEEAFlBAAAAAAAAAAACAABZQQAAAAAAAAAAAwIAWUIDAAAAAAAAAAQNAFlBAAAAAAAAAAAFAQBZQQAAAAAAAAAABgAAWUEAAAAAAAAAAAcAAFlBAAAAAAAAAAAIAQBZQgAAAAAAAAAACQIAWUEAAAAAAAAAAAoFAFlBAAAAAAAAAAALBwBZQQAAAAAAAAAADAYAWUEAAAAAAAAAAA0LAFlBAAAAAAAAAAAOAwBZQQAAAAAAAAAADwBEQFlBAAAAAAAAAAAARA8AWUEAAAAAAAAAAABESQBZQgIAAAAAAAAAAESKAFlBAAAAAAAAAAAARMoAWUEAAAAAAAAAAABFCgBZQQAAAAAAAAAADA0AWUEAAAAAAAAAAA8OAFlCAgAAAAAAAAAAAAAAA==</t>
        </r>
      </text>
    </comment>
    <comment ref="A28" authorId="0" shapeId="0" xr:uid="{9075950A-6DFE-4AF2-A576-53F5152E498D}">
      <text>
        <r>
          <rPr>
            <sz val="9"/>
            <color indexed="81"/>
            <rFont val="MS P ゴシック"/>
            <family val="3"/>
            <charset val="128"/>
          </rPr>
          <t>Insight iXlW00001C0000028R0585476093S00000054P01540LAocjBAQBF1NjaVRlZ2ljLmRhdGEuTW9sZWN1bGUBbwF/ARJTY2lUZWdpYy5Nb2xlY3VsZQAAAQFkAv5qAQAAAAIBAgEUHAAAAPz8APwAAgAAAAAAAPC/AvCnxks3ie+/AkQc6+I2Guo/AAAAABgAAAD8/AD8AAIAAAAAAADwvwLwOEVHcvn/PwJsmnecoiPBPwAAAAAYAAAA/PwA/AACAAAAAAAA8L8COrTIdr6f/b8ChzjWxW001D8AAAAAHAAAAPz8APwAAgAAAAAAAPC/Aj4K16NwvQXAAkQc6+I2Guo/AAAAABwAAAD8/AD8AAIAAAAAAADwvwLzsFBrmnf5PwLD9Shcj8LwPwAAAAAYAAAA/PwA/AACAAAAAAAA8L8CPN9PjZdusr8C0GbV52or2j8AAAAAIAAAAPz8APwAAgAAAAAAAPC/AlOWIY518QdAAiZ1ApoIG54/AAAAABgAAAD8/AD8AAIAAAAAAADwvwL+1HjpJjHsvwJn1edqK/b8PwAAAAAgAAAA/PwA/AACAAAAAAAA8L8CNs07TtGR9j8CfPKwUGua5b8AAAAAGAgAAPz8APwAAgAAAAAAAPC/Anl6pSxDHOM/AjzfT42XbvI/AAAAABgAAAD8/AD8AAIAAAAAAADwvwI6tMh2vp/9vwK94xQdyeXlvwAAAAAYAAAA/PwA/AACAAAAAAAA8L8CxNMrZRniuD8C93XgnBElAEAAAAAAGAAAAPz8APwAAgAAAAAAAPC/AlHaG3xhMgtAAkLxY8xdS+y/AAAAABgAAAD8/AD8AAIAAAAAAADwvwJfukkMAqsMwAKHONbFbTTUPwAAAAAYAAAA/PwA/AACAAAAAAAA8L8CX7pJDAKrDMACveMUHcnl5b8AAAAAHAAAAPz8APwAAgAAAAAAAPC/AkA1XrpJzBHAAt9xio7k8vK/AAAAABgAAAD8/AD8AAIAAAAAAADwvwI+CtejcL0FwALfcYqO5PLyvwAAAAAYAAAA/PwA/AACAAAAAAAA8L8Cxm00gLdAEUACzBDHuriN3r8AAAAAGAAAAPz8APwAAgAAAAAAAPC/Aoj029eBcw5AAqVOQBNhw/y/AAAAABgAAAD8/AD8AAIAAAAAAADwvwJPr5RliOMDQAKegCbChqf0vwAAAAABFQQQAWUEAAAAAAAAAAAIAAFlBAAAAAAAAAAADAgBZQgMAAAAAAAAACQQAWUEEAAAAAAAAAAUAAFlBAAAAAAAAAAAGAQBZQQAAAAAAAAAABwAAWUEAAAAAAAAAAAgBAFlCAAAAAAAAAAAJBQBZQQAAAAAAAAAACgIAWUEAAAAAAAAAAAsHAFlBAAAAAAAAAAAMBgBZQQAAAAAAAAAADQMAWUEAAAAAAAAAAA4ARABZQQAAAAAAAAAADw4AWUEAAAAAAAAAAABECgBZQgIAAAAAAAAAAERMAFlBAAAAAAAAAAAARIwAWUEAAAAAAAAAAABEzABZQQAAAAAAAAAACQsAWUEAAAAAAAAAAA4NAFlCAgAAAAAAAAAAAAAAA==</t>
        </r>
      </text>
    </comment>
    <comment ref="A29" authorId="0" shapeId="0" xr:uid="{47184824-F254-445C-82E7-03A5FF494E9F}">
      <text>
        <r>
          <rPr>
            <sz val="9"/>
            <color indexed="81"/>
            <rFont val="MS P ゴシック"/>
            <family val="3"/>
            <charset val="128"/>
          </rPr>
          <t>Insight iXlW00001C0000029R0585476093S00000056P01248LAocjBAQBF1NjaVRlZ2ljLmRhdGEuTW9sZWN1bGUBbwF/ARJTY2lUZWdpYy5Nb2xlY3VsZQAAAQFkAv5qAQAAAAIBAgEQGAAAAPz8APwAAgAAAAAAAPC/AgXFjzF3Le8/AgAAAAAAANQ/AAAAABgAAAD8/AD8AAIAAAAAAADwvwIFxY8xdy3vPwIAAAAAAADmvwAAAAAcAAAA/PwA/AACAAAAAAAA8L8C+1xtxf6yuz8CAAAAAAAA878AAAAAGAAAAPz8APwAAgAAAAAAAPC/AsRCrWnecf0/AgAAAAAAAOo/AAAAABwAAAD8/AD8AAIAAAAAAADwvwIMJCh+jLm7PwIAAAAAAADqPwAAAAAYDAAA/PwA/AACAAAAAAAA8L8C5BQdyeU/6L8CAAAAAAAA5r8AAAAAJAAAAPz8APwAAgAAAAAAAPC/AsRCrWnecf0/AgAAAAAAAP0/AAAAABgMAAD8/AD8AAIAAAAAAADwvwJ7pSxDHOsDwAIAAAAAAADUPwAAAAAYAAAA/PwA/AACAAAAAAAA8L8C5BQdyeU/6L8CAAAAAAAA1D8AAAAAGAAAAPz8APwAAgAAAAAAAPC/ArTqc7UV+/m/AgAAAAAAAPO/AAAAABgAAAD8/AD8AAIAAAAAAADwvwJ7pSxDHOsDwAIAAAAAAADmvwAAAAAYAAAA/PwA/AACAAAAAAAA8L8CtOpztRX7+b8CAAAAAAAA6j8AAAAAGAAAAPz8APwAAgAAAAAAAPC/AsRCrWnecf0/AgAAAAAAAPO/AAAAACAAAAD8/AD8AAIAAAAAAADwvwKcVZ+rrdgKwAIAAAAAAADqPwAAAAAYAAAA/PwA/AACAAAAAAAA8L8Cg1FJnYCmBUACAAAAAAAA5r8AAAAAGAAAAPz8APwAAgAAAAAAAPC/AoNRSZ2ApgVAAgAAAAAAANQ/AAAAAAERBAABZQQAAAAAAAAAAAgEAWUEAAAAAAAAAAAMAAFlCAwAAAAAAAAAEAABZQQAAAAAAAAAABQIAWUEEAAAAAAAAAAYDAFlBAAAAAAAAAAAHCgBZQQAAAAAAAAAACAUAWUEAAAAAAAAAAAkFAFlBAAAAAAAAAAAKCQBZQQAAAAAAAAAACwgAWUEAAAAAAAAAAAwBAFlCAgAAAAAAAAAHDQBZQQUAAAAAAAAADg8AWUICAAAAAAAAAA8DAFlBAAAAAAAAAAAMDgBZQQAAAAAAAAAABwsAWUEAAAAAAAAAAAAAAAA</t>
        </r>
      </text>
    </comment>
    <comment ref="A30" authorId="0" shapeId="0" xr:uid="{6CC6B2BC-BC0B-4E4F-AA2C-4935C97039D5}">
      <text>
        <r>
          <rPr>
            <sz val="9"/>
            <color indexed="81"/>
            <rFont val="MS P ゴシック"/>
            <family val="3"/>
            <charset val="128"/>
          </rPr>
          <t>Insight iXlW00001C0000030R0585476093S00000058P01064LAocjBAQBF1NjaVRlZ2ljLmRhdGEuTW9sZWN1bGUBbwF/ARJTY2lUZWdpYy5Nb2xlY3VsZQAAAQFkAv5qAQAAAAIAAjgYAAAA/PwA/AACAAAAAAAA8L8CyzLEsS5u278AAAAAABwAAAD8/AD8AAIAAAAAAADwvwKb5h2n6EjiPwAAAAAAGAAAAPz8APwAAgAAAAAAAPC/AmYZ4lgXt+2/AoPAyqFFtuu/AAAAABgAAAD8/AD8AAIAAAAAAADwvwJmGeJYF7ftvwKDwMqhRbbrPwAAAAAcAAAA/PwA/AACAAAAAAAA8L8CyzLEsS5u278Cg8DKoUW2+78AAAAAJAAAAPz8APwAAgAAAAAAAPC/AssyxLEubtu/AoPAyqFFtvs/AAAAABgAAAD8/AD8AAIAAAAAAADwvwJO845TdCTxPwKDwMqhRbbrvwAAAAAYAAAA/PwA/AACAAAAAAAA8L8CTvOOU3Qk8T8Cg8DKoUW26z8AAAAAGAAAAPz8APwAAgAAAAAAAPC/AlqGONbFbQPAAAAAAAAYAAAA/PwA/AACAAAAAAAA8L8CswxxrIvb/r8Cg8DKoUW2678AAAAAGAAAAPz8APwAAgAAAAAAAPC/ArMMcayL2/6/AoPAyqFFtus/AAAAABgAAAD8/AD8AAIAAAAAAADwvwKneccpOpIAQAKDwMqhRbbrPwAAAAAYAAAA/PwA/AACAAAAAAAA8L8Cp3nHKTqSAEACg8DKoUW2678AAAAAGAAAAPz8APwAAgAAAAAAAPC/Aqd5xyk6kgRAAAAAAAA8BAABZQQAAAAAAAAAAAgAAWUICAAAAAAAAAAMAAFlBAAAAAAAAAAAEAgBZQQAAAAAAAAAABQMAWUEAAAAAAAAAAAYBAFlBAAAAAAAAAAAHAQBZQQAAAAAAAAAACAoAWUEAAAAAAAAAAAkCAFlBAAAAAAAAAAAKAwBZQgIAAAAAAAAACwcAWUEAAAAAAAAAAAwGAFlBAAAAAAAAAAANCwBZQQAAAAAAAAAACAkAWUICAAAAAAAAAA0MAFlBAAAAAAAAAAAAAAAAA==</t>
        </r>
      </text>
    </comment>
    <comment ref="A31" authorId="0" shapeId="0" xr:uid="{F626DD01-109C-419E-98F3-083457E99CDB}">
      <text>
        <r>
          <rPr>
            <sz val="9"/>
            <color indexed="81"/>
            <rFont val="MS P ゴシック"/>
            <family val="3"/>
            <charset val="128"/>
          </rPr>
          <t>Insight iXlW00001C0000031R0585476093S00000060P01684LAocjBAQBF1NjaVRlZ2ljLmRhdGEuTW9sZWN1bGUBbwF/ARJTY2lUZWdpYy5Nb2xlY3VsZQAAAQFkAv5qAQAAAAIAAgEWHAAAAPz8APwAAgAAAAAAAPC/AixlGeJYF/G/Akw3iUFg5eK/AAAAABgAAAD8/AD8AAIAAAAAAADwvwJqTfOOU3QDQAIzxLEubqPRPwAAAAAYAAAA/PwA/AACAAAAAAAA8L8ClrIMcayLAMACTDeJQWDl4r8AAAAAGAAAAPz8APwAAgAAAAAAAPC/ApayDHGsiwTAAm8Sg8DKodE/AAAAABgAAAD8/AD8AAIAAAAAAADwvwKWsgxxrIsMwAJvEoPAyqHRPwAAAAAcAAAA/PwA/AACAAAAAAAA8L8C1ZrmHafo/j8CTDeJQWDl4r8AAAAAGAAAAPz8APwAAgAAAAAAAPC/ApayDHGsiwTAAuj7qfHSTfe/AAAAACAAAAD8/AD8AAIAAAAAAADwvwJqTfOOU3QLQAIzxLEubqPRPwAAAAAYAAAA/PwA/AACAAAAAAAA8L8CWMoyxLEu4r8C6Pup8dJN978AAAAAGAAAAPz8APwAAgAAAAAAAPC/AljKMsSxLuK/Am8Sg8DKodE/AAAAACAAAAD8/AD8AAIAAAAAAADwvwLVmuYdp+j+PwJO0ZFc/kPyPwAAAAAYAAAA/PwA/AACAAAAAAAA8L8Ca03zjlN0D0ACTtGRXP5D8j8AAAAAGAAAAPz8APwAAgAAAAAAAPC/AlFrmnecots/Am8Sg8DKodE/AAAAABgAAAD8/AD8AAIAAAAAAADwvwJRa5p3nKLbPwLo+6nx0k33vwAAAAAYAAAA/PwA/AACAAAAAAAA8L8CL26jAbxFEMACTDeJQWDl4r8AAAAAGAAAAPz8APwAAgAAAAAAAPC/Aqk1zTtO0e0/Akw3iUFg5eK/AAAAABwAAAD8/AD8AAIAAAAAAADwvwKWsgxxrIsAwAJO0ZFc/kPyPwAAAAAYAAAA/PwA/AACAAAAAAAA8L8ClrIMcayLDMAC6Pup8dJN978AAAAAJAAAAPz8APwAAgAAAAAAAPC/Ai9uowG8RRTAAkw3iUFg5eK/AAAAABgAAAD8/AD8AAIAAAAAAADwvwJKnYAmwoYIQAJP0ZFc/kP6PwAAAAAYAAAA/PwA/AACAAAAAAAA8L8CtaZ5xym6EUACyJi7lpAPAEAAAAAAGAAAAPz8APwAAgAAAAAAAPC/Asb+snvyMBNAAp2iI7n8h+Q/AAAAAAEXBBQBZQQAAAAAAAAAAAgAAWUEAAAAAAAAAAAMCAFlCAwAAAAAAAAAEAwBZQQAAAAAAAAAABQ8AWUEAAAAAAAAAAAYCAFlBAAAAAAAAAAAHAQBZQQAAAAAAAAAACAAAWUEAAAAAAAAAAAkAAFlBAAAAAAAAAAAKAQBZQgAAAAAAAAAACwcAWUEAAAAAAAAAAAwJAFlBAAAAAAAAAAANCABZQQAAAAAAAAAADgBEQFlBAAAAAAAAAAAPDABZQQAAAAAAAAAAAEQDAFlBAAAAAAAAAAAAREYAWUICAAAAAAAAAABEjgBZQQAAAAAAAAAAAETLAFlBAAAAAAAAAAAARQsAWUEAAAAAAAAAAABFSwBZQQAAAAAAAAAADQ8AWUEAAAAAAAAAAA4EAFlCAgAAAAAAAAAAAAAAA==</t>
        </r>
      </text>
    </comment>
    <comment ref="A32" authorId="0" shapeId="0" xr:uid="{94AADFBD-BB07-41AC-B741-117ECF734111}">
      <text>
        <r>
          <rPr>
            <sz val="9"/>
            <color indexed="81"/>
            <rFont val="MS P ゴシック"/>
            <family val="3"/>
            <charset val="128"/>
          </rPr>
          <t>Insight iXlW00001C0000032R0585476093S00000062P01540LAocjBAQBF1NjaVRlZ2ljLmRhdGEuTW9sZWN1bGUBbwF/ARJTY2lUZWdpYy5Nb2xlY3VsZQAAAQFkAv5qAQAAAAIBAgEUHAAAAPz8APwAAgAAAAAAAPC/AmWqYFRSJ/E/ApX2Bl+YTOW/AAAAABgAAAD8/AD8AAIAAAAAAADwvwKnCkYldQL/PwJR2ht8YTLFvwAAAAAYAAAA/PwA/AACAAAAAAAA8L8Cg+LHmLuW/r8C/Knx0k1ikD8AAAAAHAAAAPz8APwAAgAAAAAAAPC/AoZa07zjFPi/ArkehetRuOy/AAAAABgAAAD8/AD8AAIAAAAAAADwvwIGo5I6AU3EPwI2zTtO0ZHQvwAAAAAcAAAA/PwA/AACAAAAAAAA8L8CpwpGJXUC/z8CirDh6ZWy6j8AAAAAGAAAAPz8APwAAgAAAAAAAPC/AtiBc0aU9u4/AgFvgQTFj/q/AAAAACAAAAD8/AD8AAIAAAAAAADwvwId6+I2GkAHwAIdyeU/pN++PwAAAAAYAAAA/PwA/AACAAAAAAAA8L8CdLUV+8tuBkAClfYGX5hM5b8AAAAAIAAAAPz8APwAAgAAAAAAAPC/Asl2vp8aL/W/Akm/fR04Z+o/AAAAABgIAAD8/AD8AAIAAAAAAADwvwK9dJMYBFbgvwLVeOkmMQjwvwAAAAAYAAAA/PwA/AACAAAAAAAA8L8CGy/dJAaBhb8CiIVa07zj/b8AAAAAGAAAAPz8APwAAgAAAAAAAPC/Ahsv3SQGgQrAApayDHGsi/A/AAAAABwAAAD8/AD8AAIAAAAAAADwvwJ0tRX7y24GQAJKe4MvTKb6vwAAAAAYAAAA/PwA/AACAAAAAAAA8L8CdLUV+8tuBkACRdjw9EpZ9T8AAAAAGAAAAPz8APwAAgAAAAAAAPC/ApVliGNdXA1AAto9eVioNcW/AAAAABgAAAD8/AD8AAIAAAAAAADwvwIrGJXUCegQwAIzVTAqqRPkPwAAAAAYAAAA/PwA/AACAAAAAAAA8L8CUkmdgCbCDcACC7Wmeccp/z8AAAAAGAAAAPz8APwAAgAAAAAAAPC/AhkEVg4tMgPAAgTnjCjtDfc/AAAAABgAAAD8/AD8AAIAAAAAAADwvwKVZYhjXVwNQAKKsOHplbLqPwAAAAABFQQAAWUEAAAAAAAAAAAIDAFlBAAAAAAAAAAAKAwBZQQQAAAAAAAAABAAAWUEAAAAAAAAAAAUBAFlBAAAAAAAAAAAGAABZQQAAAAAAAAAABwIAWUEAAAAAAAAAAAgBAFlCAgAAAAAAAAAJAgBZQgAAAAAAAAAACgQAWUEAAAAAAAAAAAsGAFlBAAAAAAAAAAAMBwBZQQAAAAAAAAAADQgAWUEAAAAAAAAAAA4FAFlCAgAAAAAAAAAPCABZQQAAAAAAAAAAAEQMAFlBAAAAAAAAAAAAREwAWUEAAAAAAAAAAABEjABZQQAAAAAAAAAAAETPAFlCAgAAAAAAAAAKCwBZQQAAAAAAAAAAAETOAFlBAAAAAAAAAAAAAAAAA==</t>
        </r>
      </text>
    </comment>
    <comment ref="A33" authorId="0" shapeId="0" xr:uid="{05948035-35B1-42FE-A902-C656DD2C8059}">
      <text>
        <r>
          <rPr>
            <sz val="9"/>
            <color indexed="81"/>
            <rFont val="MS P ゴシック"/>
            <family val="3"/>
            <charset val="128"/>
          </rPr>
          <t>Insight iXlW00001C0000033R0585476093S00000064P01684LAocjBAQBF1NjaVRlZ2ljLmRhdGEuTW9sZWN1bGUBbwF/ARJTY2lUZWdpYy5Nb2xlY3VsZQAAAQFkAv5qAQAAAAIAAgEWGAAAAPz8APwAAgAAAAAAAPC/ArWmeccpugTAAqH4MeauJbS/AAAAABwAAAD8/AD8AAIAAAAAAADwvwJqTfOOU3T5vwKh+DHmriW0vwAAAAAYAAAA/PwA/AACAAAAAAAA8L8CS1mGONZFB0ACb4EExY8x6T8AAAAAIAAAAPz8APwAAgAAAAAAAPC/ArWmeccpugjAAnpYqDXNO+6/AAAAABwAAAD8/AD8AAIAAAAAAADwvwKWsgxxrIv+PwJvgQTFjzHpPwAAAAAcAAAA/PwA/AACAAAAAAAA8L8CS1mGONZFC0AC+aBns+pz+j8AAAAAIAAAAPz8APwAAgAAAAAAAPC/ArWmeccpugjAAm+BBMWPMek/AAAAABgAAAD8/AD8AAIAAAAAAADwvwJqTfOOU3TxvwKY/5B++zruvwAAAAAYAAAA/PwA/AACAAAAAAAA8L8Cak3zjlN08b8Cb4EExY8x6T8AAAAAGAAAAPz8APwAAgAAAAAAAPC/AktZhjjWRQtAAqH4MeauJbS/AAAAABgAAAD8/AD8AAIAAAAAAADwvwJb07zjFF0QwAJ6WKg1zTvuvwAAAAAYAAAA/PwA/AACAAAAAAAA8L8ClrIMcayL9j8Cofgx5q4ltL8AAAAAHAAAAPz8APwAAgAAAAAAAPC/AktZhjjWRQdAApj/kH77Ou6/AAAAABgAAAD8/AD8AAIAAAAAAADwvwKi1jTvOEW3vwJvgQTFjzHpPwAAAAAYAAAA/PwA/AACAAAAAAAA8L8CotY07zhFt78CmP+Qfvs67r8AAAAAGAAAAPz8APwAAgAAAAAAAPC/AljKMsSxLto/AqH4MeauJbS/AAAAABgAAAD8/AD8AAIAAAAAAADwvwKmLEMc66IRQAL5oGez6nP6PwAAAAAYAAAA/PwA/AACAAAAAAAA8L8CW9O84xRdEMACPSzUmuYd/78AAAAAGAAAAPz8APwAAgAAAAAAAPC/AlvTvOMUXRTAAnpYqDXNO+6/AAAAABgAAAD8/AD8AAIAAAAAAADwvwJb07zjFF0QwAJteHqlLEOsPwAAAAAYAAAA/PwA/AACAAAAAAAA8L8CpixDHOuiEUACofgx5q4ltL8AAAAAGAAAAPz8APwAAgAAAAAAAPC/AqYsQxzrohNAAm+BBMWPMek/AAAAAAEXBAABZQQAAAAAAAAAAAgQAWUEAAAAAAAAAAAMAAFlBAAAAAAAAAAAECwBZQQAAAAAAAAAABQIAWUEAAAAAAAAAAAYAAFlCAAAAAAAAAAAHAQBZQQAAAAAAAAAACAEAWUEAAAAAAAAAAAkCAFlCAgAAAAAAAAAKAwBZQQAAAAAAAAAACw8AWUEAAAAAAAAAAAwJAFlBAAAAAAAAAAANCABZQQAAAAAAAAAADgcAWUEAAAAAAAAAAA8NAFlBAAAAAAAAAAAARAUAWUICAAAAAAAAAABESgBZQQAAAAAAAAAAAESKAFlBAAAAAAAAAAAARMoAWUEAAAAAAAAAAABFCQBZQQAAAAAAAAAAAEVARQBZQgIAAAAAAAAADw4AWUEAAAAAAAAAAABFQEQAWUEAAAAAAAAAAAAAAAA</t>
        </r>
      </text>
    </comment>
    <comment ref="A34" authorId="0" shapeId="0" xr:uid="{5E61CFAD-34AE-4086-81CE-2AA59F3CD5F0}">
      <text>
        <r>
          <rPr>
            <sz val="9"/>
            <color indexed="81"/>
            <rFont val="MS P ゴシック"/>
            <family val="3"/>
            <charset val="128"/>
          </rPr>
          <t>Insight iXlW00001C0000034R0585476093S00000066P01016LAocjBAQBF1NjaVRlZ2ljLmRhdGEuTW9sZWN1bGUBbwF/ARJTY2lUZWdpYy5Nb2xlY3VsZQAAAQFkAv5qAQAAAAIAAjQYAAAA/PwA/AACAAAAAAAA8L8CBOeMKO0N8b8Ck6mCUUmd2L8AAAAAGAAAAPz8APwAAgAAAAAAAPC/AhI2PL1Slsm/ArRZ9bnair0/AAAAABgAAAD8/AD8AAIAAAAAAADwvwJGR3L5D+n+vwK0WfW52oq9PwAAAAAgAAAA/PwA/AACAAAAAAAA8L8C4QuTqYJR5T8Ck6mCUUmd2L8AAAAAHAAAAPz8APwAAgAAAAAAAPC/AgTnjCjtDfG/AmWqYFRSJ/a/AAAAACQAAAD8/AD8AAIAAAAAAADwvwLE0ytlGWIGwAKTqYJRSZ3YvwAAAAAYAAAA/PwA/AACAAAAAAAA8L8CMuauJeSD+D8CtFn1udqKvT8AAAAAGAAAAPz8APwAAgAAAAAAAPC/AgTnjCjtDfG/ApxVn6ut2Pk/AAAAABgAAAD8/AD8AAIAAAAAAADwvwISNjy9UpbJvwKbVZ+rrdjxPwAAAAAYAAAA/PwA/AACAAAAAAAA8L8CRkdy+Q/p/r8Cm1Wfq63Y8T8AAAAAGAAAAPz8APwAAgAAAAAAAPC/AjojSnuDLwNAApOpglFJndi/AAAAABgAAAD8/AD8AAIAAAAAAADwvwJb07zjFB0KQAK0WfW52oq9PwAAAAAYAAAA/PwA/AACAAAAAAAA8L8COiNKe4MvA0ACZapgVFIn9r8AAAAANAQAAWUIDAAAAAAAAAAIAAFlBAAAAAAAAAAADAQBZQQAAAAAAAAAABAAAWUEAAAAAAAAAAAUCAFlBAAAAAAAAAAAGAwBZQQAAAAAAAAAABwkAWUEAAAAAAAAAAAgBAFlBAAAAAAAAAAAJAgBZQgIAAAAAAAAACgYAWUEAAAAAAAAAAAsKAFlBAAAAAAAAAAAMCgBZQQAAAAAAAAAACAcAWUICAAAAAAAAAAAAAAA</t>
        </r>
      </text>
    </comment>
    <comment ref="A35" authorId="0" shapeId="0" xr:uid="{DFEB4D8E-0C46-4302-81D5-4B18D32FF2E0}">
      <text>
        <r>
          <rPr>
            <sz val="9"/>
            <color indexed="81"/>
            <rFont val="MS P ゴシック"/>
            <family val="3"/>
            <charset val="128"/>
          </rPr>
          <t>Insight iXlW00001C0000035R0585476093S00000068P01176LAocjBAQBF1NjaVRlZ2ljLmRhdGEuTW9sZWN1bGUBbwF/ARJTY2lUZWdpYy5Nb2xlY3VsZQAAAQFkAv5qAQAAAAIAAjwYAAAA/PwA/AACAAAAAAAA8L8ClBgEVg4t+b8CRWlv8IXJzL8AAAAAGAAAAPz8APwAAgAAAAAAAPC/AqRwPQrXo+a/Al5LyAc9m9E/AAAAABgAAAD8/AD8AAIAAAAAAADwvwJrvHSTGIQDwAJeS8gHPZvRPwAAAAAgAAAA/PwA/AACAAAAAAAA8L8CBqOSOgFNxD8CRWlv8IXJzL8AAAAAIAAAAPz8APwAAgAAAAAAAPC/AnS1FfvLbgZAAqLWNO84Rcc/AAAAABwAAAD8/AD8AAIAAAAAAADwvwKUGARWDi35vwIp7Q2+MJnzvwAAAAAkAAAA/PwA/AACAAAAAAAA8L8CjGzn+6lxCsACRWlv8IXJzL8AAAAAGAAAAPz8APwAAgAAAAAAAPC/AqK0N/jCZPA/Al5LyAc9m9E/AAAAABgAAAD8/AD8AAIAAAAAAADwvwLkFB3J5T/+PwJFaW/whcnMvwAAAAAYAAAA/PwA/AACAAAAAAAA8L8ClBgEVg4t+b8C2BLyQc9m/D8AAAAAGAAAAPz8APwAAgAAAAAAAPC/AqRwPQrXo+a/AtgS8kHPZvQ/AAAAABgAAAD8/AD8AAIAAAAAAADwvwJrvHSTGIQDwALYEvJBz2b0PwAAAAAYAAAA/PwA/AACAAAAAAAA8L8CDJOpglHJC0AChXzQs1n14b8AAAAAGAAAAPz8APwAAgAAAAAAAPC/As6qz9VW7P8/At/gC5OpgvO/AAAAABgAAAD8/AD8AAIAAAAAAADwvwIMk6mCUckHQAL1SlmGONb2vwAAAAABEAQAAWUIDAAAAAAAAAAIAAFlBAAAAAAAAAAADAQBZQQAAAAAAAAAABAgAWUEAAAAAAAAAAAUAAFlBAAAAAAAAAAAGAgBZQQAAAAAAAAAABwMAWUEAAAAAAAAAAAgHAFlBAAAAAAAAAAAJCwBZQQAAAAAAAAAACgEAWUEAAAAAAAAAAAsCAFlCAgAAAAAAAAAMBABZQQAAAAAAAAAADQgAWUEAAAAAAAAAAA4NAFlBAAAAAAAAAAAKCQBZQgIAAAAAAAAADA4AWUEAAAAAAAAAAAAAAAA</t>
        </r>
      </text>
    </comment>
    <comment ref="A36" authorId="0" shapeId="0" xr:uid="{431B1E35-0CE7-4FE7-AAB5-70270E0AF347}">
      <text>
        <r>
          <rPr>
            <sz val="9"/>
            <color indexed="81"/>
            <rFont val="MS P ゴシック"/>
            <family val="3"/>
            <charset val="128"/>
          </rPr>
          <t>Insight iXlW00001C0000036R0585476093S00000070P01016LAocjBAQBF1NjaVRlZ2ljLmRhdGEuTW9sZWN1bGUBbwF/ARJTY2lUZWdpYy5Nb2xlY3VsZQAAAQFkAv5qAQAAAAIAAjQYAAAA/PwA/AACAAAAAAAA8L8CuvyH9NvX3b8CXf5D+u3r5D8AAAAAGAAAAPz8APwAAgAAAAAAAPC/AnBfB84ZUfW/Ai//If32dfI/AAAAABgAAAD8/AD8AAIAAAAAAADwvwK6/If029fdvwKDUUmdgCbWvwAAAAAYAAAA/PwA/AACAAAAAAAA8L8C4QuTqYJR9b8CwqikTkAT678AAAAAGAAAAPz8APwAAgAAAAAAAPC/AhE2PL1SlgHAAl3+Q/rt6+Q/AAAAABwAAAD8/AD8AAIAAAAAAADwvwJNhA1Pr5TZPwIv/yH99nXyPwAAAAAYAAAA/PwA/AACAAAAAAAA8L8CETY8vVKWAcACRwN4CyQo1r8AAAAAJAAAAPz8APwAAgAAAAAAAPC/AjLmriXkgwjAAi//If32dfI/AAAAACAAAAD8/AD8AAIAAAAAAADwvwJNhA1Pr5TZPwLCqKROQBPrvwAAAAAgAAAA/PwA/AACAAAAAAAA8L8CJZf/kH77B0ACRwN4CyQo1r8AAAAAGAAAAPz8APwAAgAAAAAAAPC/AlXBqKROQPQ/AoNRSZ2AJta/AAAAABgAAAD8/AD8AAIAAAAAAADwvwLLEMe6uA0BQALCqKROQBPrvwAAAAAYAAAA/PwA/AACAAAAAAAA8L8CRkdy+Q/pDkACpAG8BRIU678AAAAANAQAAWUEAAAAAAAAAAAIAAFlCAgAAAAAAAAADAgBZQQAAAAAAAAAABAEAWUIDAAAAAAAAAAUAAFlBAAAAAAAAAAAGAwBZQgIAAAAAAAAABwQAWUEAAAAAAAAAAAgCAFlBAAAAAAAAAAAJCwBZQQAAAAAAAAAACggAWUEAAAAAAAAAAAsKAFlBAAAAAAAAAAAMCQBZQQAAAAAAAAAABgQAWUEAAAAAAAAAAAAAAAA</t>
        </r>
      </text>
    </comment>
    <comment ref="A37" authorId="0" shapeId="0" xr:uid="{92AECDC4-64B2-4CA9-B743-BC05E93DB889}">
      <text>
        <r>
          <rPr>
            <sz val="9"/>
            <color indexed="81"/>
            <rFont val="MS P ゴシック"/>
            <family val="3"/>
            <charset val="128"/>
          </rPr>
          <t>Insight iXlW00001C0000037R0585476093S00000072P01104LAocjBAQBF1NjaVRlZ2ljLmRhdGEuTW9sZWN1bGUBbwF/ARJTY2lUZWdpYy5Nb2xlY3VsZQAAAQFkAv5qAQAAAAIAAjgYAAAA/PwA/AACAAAAAAAA8L8C18VtNIC33L8CyzLEsS5u4b8AAAAAGAAAAPz8APwAAgAAAAAAAPC/AtfFbTSAt9y/AqjoSC7/Id0/AAAAABgAAAD8/AD8AAIAAAAAAADwvwK30QDeAgn1vwJUdCSX/5DuPwAAAAAgAAAA/PwA/AACAAAAAAAA8L8CMLsnDwu12j8CZRniWBe38L8AAAAAGAAAAPz8APwAAgAAAAAAAPC/ArfRAN4CCfW/AmUZ4lgXt/C/AAAAABgAAAD8/AD8AAIAAAAAAADwvwL9GHPXEnIBwAKo6Egu/yHdPwAAAAAcAAAA/PwA/AACAAAAAAAA8L8CMLsnDwu12j8CVHQkl/+Q7j8AAAAAGAAAAPz8APwAAgAAAAAAAPC/Av0Yc9cScgHAAq2L22gAb+G/AAAAACQAAAD8/AD8AAIAAAAAAADwvwIdyeU/pF8IwAJUdCSX/5DuPwAAAAAYAAAA/PwA/AACAAAAAAAA8L8Cf/s6cM6I9D8CyzLEsS5u4b8AAAAAGAAAAPz8APwAAgAAAAAAAPC/AvjkYaHWNPY/AkVpb/CFydw/AAAAABgAAAD8/AD8AAIAAAAAAADwvwLCqKROQJMBQAKmm8QgsHLuvwAAAAAYAAAA/PwA/AACAAAAAAAA8L8CIbByaJHtBkACW0I+6Nmsyr8AAAAAGAAAAPz8APwAAgAAAAAAAPC/AlqGONbF7QJAAu0vuycPC+U/AAAAADwEAAFlCAwAAAAAAAAACAQBZQQAAAAAAAAAAAwAAWUEAAAAAAAAAAAQAAFlBAAAAAAAAAAAFBwBZQQAAAAAAAAAABgEAWUEAAAAAAAAAAAcEAFlCAgAAAAAAAAAIBQBZQQAAAAAAAAAACQMAWUEAAAAAAAAAAAoJAFlBAAAAAAAAAAALCQBZQQAAAAAAAAAADAsAWUEAAAAAAAAAAA0KAFlBAAAAAAAAAAAFAgBZQgIAAAAAAAAADA0AWUEAAAAAAAAAAAAAAAA</t>
        </r>
      </text>
    </comment>
    <comment ref="A38" authorId="0" shapeId="0" xr:uid="{B7A0AAE1-1B98-4997-8A99-97895CF9D7FD}">
      <text>
        <r>
          <rPr>
            <sz val="9"/>
            <color indexed="81"/>
            <rFont val="MS P ゴシック"/>
            <family val="3"/>
            <charset val="128"/>
          </rPr>
          <t>Insight iXlW00001C0000038R0585476093S00000074P01176LAocjBAQBF1NjaVRlZ2ljLmRhdGEuTW9sZWN1bGUBbwF/ARJTY2lUZWdpYy5Nb2xlY3VsZQAAAQFkAv5qAQAAAAIAAjwYAAAA/PwA/AACAAAAAAAA8L8CHA3gLZCg4D8CZF3cRgN4178AAAAAGAAAAPz8APwAAgAAAAAAAPC/AtBm1edqK/Y/ArIubqMBvOu/AAAAABgAAAD8/AD8AAIAAAAAAADwvwKJY13cRgMCQAJkXdxGA3jXvwAAAAAgAAAA/PwA/AACAAAAAAAA8L8C0GbV52or1r8Csi5uowG8678AAAAAGAAAAPz8APwAAgAAAAAAAPC/AhwN4C2QoOA/Ak/RkVz+Q+Q/AAAAABgAAAD8/AD8AAIAAAAAAADwvwKJY13cRgMCQAJP0ZFc/kPkPwAAAAAcAAAA/PwA/AACAAAAAAAA8L8C0GbV52or9j8CWRe30QDe/b8AAAAAGAAAAPz8APwAAgAAAAAAAPC/AtBm1edqK/Y/AqfoSC7/IfI/AAAAACQAAAD8/AD8AAIAAAAAAADwvwKqE9BE2PAIQAKn6Egu/yHyPwAAAAAYAAAA/PwA/AACAAAAAAAA8L8C9rnaiv1l878CZF3cRgN4178AAAAAGAAAAPz8APwAAgAAAAAAAPC/Ava52or9ZfO/Ak/RkVz+Q+Q/AAAAABgAAAD8/AD8AAIAAAAAAADwvwIcDeAtkKAAwALQ1VbsL7vrvwAAAAAYAAAA/PwA/AACAAAAAAAA8L8CdZMYBFaOB8ACoKut2F92178AAAAAGAAAAPz8APwAAgAAAAAAAPC/AlTjpZvEoADAAqfoSC7/IfI/AAAAABgAAAD8/AD8AAIAAAAAAADwvwJ1kxgEVo4HwAJP0ZFc/kPkPwAAAAABEAQAAWUIDAAAAAAAAAAIBAFlBAAAAAAAAAAADAABZQQAAAAAAAAAABAAAWUEAAAAAAAAAAAUHAFlBAAAAAAAAAAAGAQBZQQAAAAAAAAAABwQAWUICAAAAAAAAAAgFAFlBAAAAAAAAAAAJAwBZQQAAAAAAAAAACgkAWUEAAAAAAAAAAAsJAFlBAAAAAAAAAAAMCwBZQQAAAAAAAAAADQoAWUEAAAAAAAAAAA4MAFlBAAAAAAAAAAAFAgBZQgIAAAAAAAAADg0AWUEAAAAAAAAAAAAAAAA</t>
        </r>
      </text>
    </comment>
    <comment ref="A39" authorId="0" shapeId="0" xr:uid="{EF20DFC2-B392-4482-B604-9F7BF4D9381A}">
      <text>
        <r>
          <rPr>
            <sz val="9"/>
            <color indexed="81"/>
            <rFont val="MS P ゴシック"/>
            <family val="3"/>
            <charset val="128"/>
          </rPr>
          <t>Insight iXlW00001C0000039R0585476093S00000076P01208LAocjBAQBF1NjaVRlZ2ljLmRhdGEuTW9sZWN1bGUBbwF/ARJTY2lUZWdpYy5Nb2xlY3VsZQAAAQFkAv5qAQAAAAIAAgERHAAAAPz8APwAAgAAAAAAAPC/AgAAAAAAABBAAAAAAAAYAAAA/PwA/AACAAAAAAAA8L8CAAAAAAAACEAAAAAAABgAAAD8/AD8AAIAAAAAAADwvwIAAAAAAAAEQAKDwMqhRbbrPwAAAAAYAAAA/PwA/AACAAAAAAAA8L8CAAAAAAAA+D8Cg8DKoUW26z8AAAAAHAAAAPz8APwAAgAAAAAAAPC/AQAAAAAAGAAAAPz8APwAAgAAAAAAAPC/AgAAAAAAAPg/AoPAyqFFtuu/AAAAABgAAAD8/AD8AAIAAAAAAADwvwIAAAAAAAAEQAKDwMqhRbbrvwAAAAAYAAAA/PwA/AACAAAAAAAA8L8AAAAAAAAYAAAA/PwA/AACAAAAAAAA8L8CAAAAAAAA4L8Cg8DKoUW2678AAAAAGAAAAPz8APwAAgAAAAAAAPC/AgAAAAAAAPi/AoPAyqFFtuu/AAAAABgAAAD8/AD8AAIAAAAAAADwvwIAAAAAAAAAwAAAAAAAGAAAAPz8APwAAgAAAAAAAPC/AgAAAAAAAPi/AoPAyqFFtus/AAAAABwAAAD8/AD8AAIAAAAAAADwvwIAAAAAAADgvwKDwMqhRbbrPwAAAAAcAAQA/PwA/AACAAAAAAAA8L8CAAAAAAAACMAAAAAAACAAAAD8/AD8AAIAAAAAAADwvwIAAAAAAAAMwAJmGeJYF7frvwAAAAAgAPwA/PwA/AACAAAAAAAA8L8CAAAAAAAADMACg8DKoUW26z8AAAAAAREAAAD8/AD8AAIAAAAAAADwvwIzMzMzMzMTQAAAAAAAAREABAFlBAAAAAAAAAAABAgBZQQAAAAAAAAAAAgMAWUEAAAAAAAAAAAMEAFlBAAAAAAAAAAAEBQBZQQAAAAAAAAAABQYAWUEAAAAAAAAAAAYBAFlBAAAAAAAAAAAEBwBZQQAAAAAAAAAABwgAWUIDAAAAAAAAAAgJAFlBAAAAAAAAAAAJCgBZQgIAAAAAAAAACgsAWUEAAAAAAAAAAAsMAFlCAgAAAAAAAAAMBwBZQQAAAAAAAAAACg0AWUEAAAAAAAAAAA0OAFlCAAAAAAAAAAANDwBZQQAAAAAAAAAAAAAAAA=</t>
        </r>
      </text>
    </comment>
    <comment ref="A40" authorId="0" shapeId="0" xr:uid="{00FC6D86-9B06-4452-8336-4FEE0AE3D6B5}">
      <text>
        <r>
          <rPr>
            <sz val="9"/>
            <color indexed="81"/>
            <rFont val="MS P ゴシック"/>
            <family val="3"/>
            <charset val="128"/>
          </rPr>
          <t>Insight iXlW00001C0000040R0585476093S00000078P01232LAocjBAQBF1NjaVRlZ2ljLmRhdGEuTW9sZWN1bGUBbwF/ARJTY2lUZWdpYy5Nb2xlY3VsZQAAAQFkAv5qAQAAAAIBAgEQHAAAAPz8APwAAgAAAAAAAPC/AkeU9gZfmAzAApEPejarPvA/AAAAABgMAAD8/AD8AAIAAAAAAADwvwIB3gIJih8GwAJdj8L1KFzbPwAAAAAYAAAA/PwA/AACAAAAAAAA8L8CAd4CCYofBsACUrgehetR4r8AAAAAGAAAAPz8APwAAgAAAAAAAPC/AvMf0m9fB/2/AmmR7Xw/Ney/AAAAABwAAAD8/AD8AAIAAAAAAADwvwKrYFRSJ6DzvwKQwvUoXI+yvwAAAAAYAAAA/PwA/AACAAAAAAAA8L8C8x/Sb18H/b8CxSCwcmiR5z8AAAAAGAAAAPz8APwAAgAAAAAAAPC/AlQFo5I6Ac2/ApDC9Shcj7K/AAAAABgAAAD8/AD8AAIAAAAAAADwvwJXfa62Yn/RPwIxCKwcWmTpPwAAAAAYAAAA/PwA/AACAAAAAAAA8L8CVp+rrdhf9D8CMQisHFpk6T8AAAAAGAAAAPz8APwAAgAAAAAAAPC/Alafq63YX/w/ApDC9Shcj7K/AAAAABgAAAD8/AD8AAIAAAAAAADwvwJWn6ut2F/0PwLVeOkmMQjuvwAAAAAcAAAA/PwA/AACAAAAAAAA8L8CV32utmJ/0T8C1XjpJjEI7r8AAAAAHAAEAPz8APwAAgAAAAAAAPC/AqvP1VbsLwZAApDC9Shcj7K/AAAAACAAAAD8/AD8AAIAAAAAAADwvwKrz9VW7C8KQAIxCKwcWmTpPwAAAAAgAPwA/PwA/AACAAAAAAAA8L8Cq8/VVuwvCkAC1XjpJjEI7r8AAAAAAREAAAD8/AD8AAIAAAAAAADwvwIJG55eKUsQQAJiMlUwKqmjPwAAAAABEAQAAWUEEAAAAAAAAAAECAFlBAAAAAAAAAAACAwBZQQAAAAAAAAAAAwQAWUEAAAAAAAAAAAQFAFlBAAAAAAAAAAAFAQBZQQAAAAAAAAAABAYAWUEAAAAAAAAAAAYHAFlCAwAAAAAAAAAHCABZQQAAAAAAAAAACAkAWUICAAAAAAAAAAkKAFlBAAAAAAAAAAAKCwBZQgIAAAAAAAAACwYAWUEAAAAAAAAAAAkMAFlBAAAAAAAAAAAMDQBZQgAAAAAAAAAADA4AWUEAAAAAAAAAAAAAAAA</t>
        </r>
      </text>
    </comment>
    <comment ref="A41" authorId="0" shapeId="0" xr:uid="{2CB14774-3221-45CF-9565-28C30A995A4F}">
      <text>
        <r>
          <rPr>
            <sz val="9"/>
            <color indexed="81"/>
            <rFont val="MS P ゴシック"/>
            <family val="3"/>
            <charset val="128"/>
          </rPr>
          <t>Insight iXlW00001C0000041R0585476093S00000080P01376LAocjBAQBF1NjaVRlZ2ljLmRhdGEuTW9sZWN1bGUBbwF/ARJTY2lUZWdpYy5Nb2xlY3VsZQAAAQFkAv5qAQAAAAIAAgESIAD8APz8APwAAgAAAAAAAPC/AmAHzhlRWgZAAm+BBMWPMeU/AAAAABwABAD8/AD8AAIAAAAAAADwvwK/DpwzorT8PwJvgQTFjzHlPwAAAAAgAAAA/PwA/AACAAAAAAAA8L8Cvw6cM6K09D8C+aBns+pz+D8AAAAAGAAAAPz8APwAAgAAAAAAAPC/Ar8OnDOitPQ/Atlfdk8eFsq/AAAAABgAAAD8/AD8AAIAAAAAAADwvwK/DpwzorT8PwI9LNSa5h3xvwAAAAAkAAAA/PwA/AACAAAAAAAA8L8CYAfOGVFaBkACPSzUmuYd8b8AAAAAGAAAAPz8APwAAgAAAAAAAPC/Ar8OnDOitPQ/An+MuWsJ+f6/AAAAABgAAAD8/AD8AAIAAAAAAADwvwL8OnDOiNLSPwJ/jLlrCfn+vwAAAAAYAAAA/PwA/AACAAAAAAAA8L8CCYofY+5ayr8CPSzUmuYd8b8AAAAAGAAAAPz8APwAAgAAAAAAAPC/Avw6cM6I0tI/Atlfdk8eFsq/AAAAABwAAAD8/AD8AAIAAAAAAADwvwIJih9j7lrKvwJvgQTFjzHlPwAAAAAYAAAA/PwA/AACAAAAAAAA8L8CQfFjzF1L878CjSjtDb4w5T8AAAAAGAAAAPz8APwAAgAAAAAAAPC/AkHxY8xdS/u/Atlfdk8eFsq/AAAAABgAAAD8/AD8AAIAAAAAAADwvwKh+DHmrqUFwALZX3ZPHhbKvwAAAAAcAAAA/PwA/AACAAAAAAAA8L8Cofgx5q6lCcACjSjtDb4w5T8AAAAAGAAAAPz8APwAAgAAAAAAAPC/AqH4MeaupQXAAoj029eBc/g/AAAAABgAAAD8/AD8AAIAAAAAAADwvwJB8WPMXUv7vwKI9NvXgXP4PwAAAAABEQAAAPz8APwAAgAAAAAAAPC/AsZtNIC3wAxAAtlfdk8eFsq/AAAAAAESAAQBZQQAAAAAAAAAAAQIAWUIAAAAAAAAAAAEDAFlBAAAAAAAAAAADBABZQgIAAAAAAAAABAUAWUEAAAAAAAAAAAQGAFlBAAAAAAAAAAAGBwBZQgIAAAAAAAAABwgAWUEAAAAAAAAAAAgJAFlCAgAAAAAAAAAJAwBZQQAAAAAAAAAACQoAWUEAAAAAAAAAAAoLAFlBAAAAAAAAAAALDABZQQAAAAAAAAAADA0AWUEAAAAAAAAAAA0OAFlBAAAAAAAAAAAODwBZQQAAAAAAAAAADwBEAFlBAAAAAAAAAAAARAsAWUEAAAAAAAAAAAAAAAA</t>
        </r>
      </text>
    </comment>
    <comment ref="A42" authorId="0" shapeId="0" xr:uid="{57175805-D8C2-46A2-8C36-A9320BF082A6}">
      <text>
        <r>
          <rPr>
            <sz val="9"/>
            <color indexed="81"/>
            <rFont val="MS P ゴシック"/>
            <family val="3"/>
            <charset val="128"/>
          </rPr>
          <t>Insight iXlW00001C0000042R0585476093S00000082P01272LAocjBAQBF1NjaVRlZ2ljLmRhdGEuTW9sZWN1bGUBbwF/ARJTY2lUZWdpYy5Nb2xlY3VsZQAAAQFkAv5qAQAAAAIAAgERIAD8APz8APwAAgAAAAAAAPC/AvRsVn2utvu/AgAAAAAAAPe/AAAAABwABAD8/AD8AAIAAAAAAADwvwKDwMqhRbbrvwIAAAAAAADuvwAAAAAgAAAA/PwA/AACAAAAAAAA8L8AAgAAAAAAAPe/AAAAABgAAAD8/AD8AAIAAAAAAADwvwKDwMqhRbbrvwIAAAAAAACwPwAAAAAYAAAA/PwA/AACAAAAAAAA8L8Cg8DKoUW2+78CAAAAAAAA4j8AAAAAJAAAAPz8APwAAgAAAAAAAPC/AmMQWDm0yATAAgAAAAAAALA/AAAAABgAAAD8/AD8AAIAAAAAAADwvwKDwMqhRbb7vwIAAAAAAAD5PwAAAAAYAAAA/PwA/AACAAAAAAAA8L8Cg8DKoUW2678CAAAAAACAAEAAAAAAGAAAAPz8APwAAgAAAAAAAPC/AAIAAAAAAAD5PwAAAAAYAAAA/PwA/AACAAAAAAAA8L8AAgAAAAAAAOI/AAAAABwAAAD8/AD8AAIAAAAAAADwvwKDwMqhRbbrPwIAAAAAAACwPwAAAAAYAAAA/PwA/AACAAAAAAAA8L8Cg8DKoUW2+z8CAAAAAAAA4j8AAAAAGAAAAPz8APwAAgAAAAAAAPC/AmMQWDm0yARAAgAAAAAAALA/AAAAABwAAAD8/AD8AAIAAAAAAADwvwKb5h2n6MgEQAIAAAAAAADuvwAAAAAYAAAA/PwA/AACAAAAAAAA8L8Cg8DKoUW2+z8CAAAAAAAA978AAAAAGAAAAPz8APwAAgAAAAAAAPC/AoPAyqFFtus/AgAAAAAAAO6/AAAAAAERAAAA/PwA/AACAAAAAAAA8L8CAk2EDU8vC0ACAAAAAAAA1D8AAAAAAREABAFlBAAAAAAAAAAABAgBZQgAAAAAAAAAAAQMAWUEAAAAAAAAAAAMEAFlCAgAAAAAAAAAEBQBZQQAAAAAAAAAABAYAWUEAAAAAAAAAAAYHAFlCAgAAAAAAAAAHCABZQQAAAAAAAAAACAkAWUICAAAAAAAAAAkDAFlBAAAAAAAAAAAJCgBZQQAAAAAAAAAACgsAWUEAAAAAAAAAAAsMAFlBAAAAAAAAAAAMDQBZQQAAAAAAAAAADQ4AWUEAAAAAAAAAAA4PAFlBAAAAAAAAAAAPCgBZQQAAAAAAAAAAAAAAAA=</t>
        </r>
      </text>
    </comment>
    <comment ref="A43" authorId="0" shapeId="0" xr:uid="{C3A2DD4F-CB7C-4B89-A397-33E6E660D317}">
      <text>
        <r>
          <rPr>
            <sz val="9"/>
            <color indexed="81"/>
            <rFont val="MS P ゴシック"/>
            <family val="3"/>
            <charset val="128"/>
          </rPr>
          <t>Insight iXlW00001C0000043R0585476093S00000084P01304LAocjBAQBF1NjaVRlZ2ljLmRhdGEuTW9sZWN1bGUBbwF/ARJTY2lUZWdpYy5Nb2xlY3VsZQAAAQFkAv5qAQAAAAIBAgERHAAAAPz8APwAAgAAAAAAAPC/AgmKH2Pu2gJAAiL99nXgnP+/AAAAABgIAAD8/AD8AAIAAAAAAADwvwKl374OnDP/PwIep+hILv/wvwAAAAAYAAAA/PwA/AACAAAAAAAA8L8C0m9fB86ZA0ACW9O84xQdyb8AAAAAGAAAAPz8APwAAgAAAAAAAPC/AnUkl/+Qfvw/AjnWxW00gOE/AAAAABwAAAD8/AD8AAIAAAAAAADwvwLD9Shcj8LrPwL9GHPXEvLBPwAAAAAYAAAA/PwA/AACAAAAAAAA8L8Ctch2vp8a7z8CLiEf9GxW678AAAAAGAAAAPz8APwAAgAAAAAAAPC/Avp+arx0k1g/Al1txf6ye+Q/AAAAABgAAAD8/AD8AAIAAAAAAADwvwL6fmq8dJNYPwKvtmJ/2T36PwAAAAAYAAAA/PwA/AACAAAAAAAA8L8CRIts5/up678CV1uxv+weAUAAAAAAGAAAAPz8APwAAgAAAAAAAPC/AuSlm8QgsPu/Aq+2Yn/ZPfo/AAAAABgAAAD8/AD8AAIAAAAAAADwvwLkpZvEILD7vwJdbcX+snvkPwAAAAAkAAAA/PwA/AACAAAAAAAA8L8CS1mGONbFBMAC/Rhz1xLywT8AAAAAGAAAAPz8APwAAgAAAAAAAPC/AkSLbOf7qeu/AnS1FfvL7sE/AAAAABwABAD8/AD8AAIAAAAAAADwvwJEi2zn+6nrvwKjkjoBTYTrvwAAAAAgAAAA/PwA/AACAAAAAAAA8L8C+n5qvHSTWD8CUkmdgCbC9b8AAAAAIAD8APz8APwAAgAAAAAAAPC/AlVSJ6CJsPu/AlJJnYAmwvW/AAAAAAERAAAA/PwA/AACAAAAAAAA8L8COdbFbTQACkAC7S+7Jw8LtT8AAAAAAREEAAFlBBQAAAAAAAAABAgBZQQAAAAAAAAAAAgMAWUEAAAAAAAAAAAMEAFlBAAAAAAAAAAAEBQBZQQAAAAAAAAAABQEAWUEAAAAAAAAAAAQGAFlBAAAAAAAAAAAGBwBZQgMAAAAAAAAABwgAWUEAAAAAAAAAAAgJAFlCAgAAAAAAAAAJCgBZQQAAAAAAAAAACgsAWUEAAAAAAAAAAAoMAFlCAgAAAAAAAAAMBgBZQQAAAAAAAAAADA0AWUEAAAAAAAAAAA0OAFlCAAAAAAAAAAANDwBZQQAAAAAAAAAAAAAAAA=</t>
        </r>
      </text>
    </comment>
    <comment ref="A44" authorId="0" shapeId="0" xr:uid="{F3B19E30-6959-434F-A188-4747B8A72849}">
      <text>
        <r>
          <rPr>
            <sz val="9"/>
            <color indexed="81"/>
            <rFont val="MS P ゴシック"/>
            <family val="3"/>
            <charset val="128"/>
          </rPr>
          <t>Insight iXlW00001C0000044R0585476093S00000086P01304LAocjBAQBF1NjaVRlZ2ljLmRhdGEuTW9sZWN1bGUBbwF/ARJTY2lUZWdpYy5Nb2xlY3VsZQAAAQFkAv5qAQAAAAIBAgERHAAAAPz8APwAAgAAAAAAAPC/AgmKH2Pu2gJAAiL99nXgnP+/AAAAABgMAAD8/AD8AAIAAAAAAADwvwKl374OnDP/PwIep+hILv/wvwAAAAAYAAAA/PwA/AACAAAAAAAA8L8C0m9fB86ZA0ACW9O84xQdyb8AAAAAGAAAAPz8APwAAgAAAAAAAPC/AnUkl/+Qfvw/AjnWxW00gOE/AAAAABwAAAD8/AD8AAIAAAAAAADwvwLD9Shcj8LrPwL9GHPXEvLBPwAAAAAYAAAA/PwA/AACAAAAAAAA8L8Ctch2vp8a7z8CLiEf9GxW678AAAAAGAAAAPz8APwAAgAAAAAAAPC/Avp+arx0k1g/Al1txf6ye+Q/AAAAABgAAAD8/AD8AAIAAAAAAADwvwL6fmq8dJNYPwKvtmJ/2T36PwAAAAAYAAAA/PwA/AACAAAAAAAA8L8CRIts5/up678CV1uxv+weAUAAAAAAGAAAAPz8APwAAgAAAAAAAPC/AuSlm8QgsPu/Aq+2Yn/ZPfo/AAAAABgAAAD8/AD8AAIAAAAAAADwvwLkpZvEILD7vwJdbcX+snvkPwAAAAAkAAAA/PwA/AACAAAAAAAA8L8CS1mGONbFBMAC/Rhz1xLywT8AAAAAGAAAAPz8APwAAgAAAAAAAPC/AkSLbOf7qeu/AnS1FfvL7sE/AAAAABwABAD8/AD8AAIAAAAAAADwvwJEi2zn+6nrvwKjkjoBTYTrvwAAAAAgAAAA/PwA/AACAAAAAAAA8L8C+n5qvHSTWD8CUkmdgCbC9b8AAAAAIAD8APz8APwAAgAAAAAAAPC/AlVSJ6CJsPu/AlJJnYAmwvW/AAAAAAERAAAA/PwA/AACAAAAAAAA8L8COdbFbTQACkAC7S+7Jw8LtT8AAAAAAREEAAFlBBAAAAAAAAAABAgBZQQAAAAAAAAAAAgMAWUEAAAAAAAAAAAMEAFlBAAAAAAAAAAAEBQBZQQAAAAAAAAAABQEAWUEAAAAAAAAAAAQGAFlBAAAAAAAAAAAGBwBZQgMAAAAAAAAABwgAWUEAAAAAAAAAAAgJAFlCAgAAAAAAAAAJCgBZQQAAAAAAAAAACgsAWUEAAAAAAAAAAAoMAFlCAgAAAAAAAAAMBgBZQQAAAAAAAAAADA0AWUEAAAAAAAAAAA0OAFlCAAAAAAAAAAANDwBZQQAAAAAAAAAAAAAAAA=</t>
        </r>
      </text>
    </comment>
    <comment ref="A45" authorId="0" shapeId="0" xr:uid="{50917F65-6F21-43F8-BD93-3E630558CAC5}">
      <text>
        <r>
          <rPr>
            <sz val="9"/>
            <color indexed="81"/>
            <rFont val="MS P ゴシック"/>
            <family val="3"/>
            <charset val="128"/>
          </rPr>
          <t>Insight iXlW00001C0000045R0585476093S00000088P01452LAocjBAQBF1NjaVRlZ2ljLmRhdGEuTW9sZWN1bGUBbwF/ARJTY2lUZWdpYy5Nb2xlY3VsZQAAAQFkAv5qAQAAAAIAAgETIAD8APz8APwAAgAAAAAAAPC/AsWPMXctoQNAAj29UpYhjvc/AAAAABwABAD8/AD8AAIAAAAAAADwvwJJv30dOGf5PwJ5eqUsQxzvPwAAAAAgAAAA/PwA/AACAAAAAAAA8L8CDr4wmSoY5z8CPb1SliGO9z8AAAAAGAAAAPz8APwAAgAAAAAAAPC/Akm/fR04Z/k/AvOwUGuad5y/AAAAABgAAAD8/AD8AAIAAAAAAADwvwLFjzF3LaEDQAKIhVrTvOPgvwAAAAAkAAAA/PwA/AACAAAAAAAA8L8C5j+k376OCkAC87BQa5p3nL8AAAAAGAAAAPz8APwAAgAAAAAAAPC/AsWPMXctoQNAAsRCrWnecfi/AAAAABgAAAD8/AD8AAIAAAAAAADwvwJJv30dOGf5PwJiodY07zgAwAAAAAAYAAAA/PwA/AACAAAAAAAA8L8CDr4wmSoY5z8CxEKtad5x+L8AAAAAGAAAAPz8APwAAgAAAAAAAPC/Ag6+MJkqGOc/AoiFWtO84+C/AAAAABwAAAD8/AD8AAIAAAAAAADwvwLVCWgibHjCvwLzsFBrmnecvwAAAAAYAAAA/PwA/AACAAAAAAAA8L8CfGEyVTAq8L8CiIVa07zj4L8AAAAAGAAAAPz8APwAAgAAAAAAAPC/Ai9uowG8Bf6/AvOwUGuad5y/AAAAABgAAAD8/AD8AAIAAAAAAADwvwI4Z0Rpb/AFwAKIhVrTvOPgvwAAAAAYAAAA/PwA/AACAAAAAAAA8L8CWRe30QDeDMAC87BQa5p3nL8AAAAAHAAAAPz8APwAAgAAAAAAAPC/AlkXt9EA3gzAAnl6pSxDHO8/AAAAABgAAAD8/AD8AAIAAAAAAADwvwI4Z0Rpb/AFwAI9vVKWIY73PwAAAAAYAAAA/PwA/AACAAAAAAAA8L8CL26jAbwF/r8CeXqlLEMc7z8AAAAAAREAAAD8/AD8AAIAAAAAAADwvwImUwWjknoQQAIPC7WmecfRvwAAAAABEwAEAWUEAAAAAAAAAAAECAFlCAAAAAAAAAAABAwBZQQAAAAAAAAAAAwQAWUICAAAAAAAAAAQFAFlBAAAAAAAAAAAEBgBZQQAAAAAAAAAABgcAWUICAAAAAAAAAAcIAFlBAAAAAAAAAAAICQBZQgIAAAAAAAAACQMAWUEAAAAAAAAAAAkKAFlBAAAAAAAAAAAKCwBZQQAAAAAAAAAACwwAWUEAAAAAAAAAAAwNAFlBAAAAAAAAAAANDgBZQQAAAAAAAAAADg8AWUEAAAAAAAAAAA8ARABZQQAAAAAAAAAAAEQAREBZQQAAAAAAAAAAAERMAFlBAAAAAAAAAAAAAAAAA==</t>
        </r>
      </text>
    </comment>
    <comment ref="A46" authorId="0" shapeId="0" xr:uid="{E9A46AAF-9093-4500-B23B-B5F51BD25CEB}">
      <text>
        <r>
          <rPr>
            <sz val="9"/>
            <color indexed="81"/>
            <rFont val="MS P ゴシック"/>
            <family val="3"/>
            <charset val="128"/>
          </rPr>
          <t>Insight iXlW00001C0000046R0585476093S00000090P01376LAocjBAQBF1NjaVRlZ2ljLmRhdGEuTW9sZWN1bGUBbwF/ARJTY2lUZWdpYy5Nb2xlY3VsZQAAAQFkAv5qAQAAAAIAAgESIAD8APz8APwAAgAAAAAAAPC/AtUJaCJsePg/AvmgZ7Pqc/i/AAAAABwABAD8/AD8AAIAAAAAAADwvwLrBDQRNjwAQAKNKO0NvjDlvwAAAAAgAAAA/PwA/AACAAAAAAAA8L8C6wQ0ETY8CEACjSjtDb4w5b8AAAAAGAAAAPz8APwAAgAAAAAAAPC/AtUJaCJsePg/Atlfdk8eFso/AAAAABgAAAD8/AD8AAIAAAAAAADwvwLrBDQRNjwAQAI9LNSa5h3xPwAAAAAYAAAA/PwA/AACAAAAAAAA8L8C1QloImx4+D8Cf4y5awn5/j8AAAAAGAAAAPz8APwAAgAAAAAAAPC/AqkT0ETY8OA/An+MuWsJ+f4/AAAAABgAAAD8/AD8AAIAAAAAAADwvwImdQKaCBuePwI9LNSa5h3xPwAAAAAkAAAA/PwA/AACAAAAAAAA8L8CV+wvuycP778CPSzUmuYd8T8AAAAAGAAAAPz8APwAAgAAAAAAAPC/AqkT0ETY8OA/Atlfdk8eFso/AAAAABwAAAD8/AD8AAIAAAAAAADwvwImdQKaCBuePwJvgQTFjzHlvwAAAAAYAAAA/PwA/AACAAAAAAAA8L8CV+wvuycP778Cb4EExY8x5b8AAAAAGAAAAPz8APwAAgAAAAAAAPC/Aiz2l92Th/e/AvmgZ7Pqc/i/AAAAABgAAAD8/AD8AAIAAAAAAADwvwIW+8vuycMDwAL5oGez6nP4vwAAAAAcAAAA/PwA/AACAAAAAAAA8L8CFvvL7snDB8ACb4EExY8x5b8AAAAAGAAAAPz8APwAAgAAAAAAAPC/Ahb7y+7JwwPAAlH8GHPXEso/AAAAABgAAAD8/AD8AAIAAAAAAADwvwIs9pfdk4f3vwJR/Bhz1xLKPwAAAAABEQAAAPz8APwAAgAAAAAAAPC/AlFrmnecog5AAtlfdk8eFso/AAAAAAESAAQBZQQAAAAAAAAAAAQIAWUIAAAAAAAAAAAEDAFlBAAAAAAAAAAADBABZQgMAAAAAAAAABAUAWUEAAAAAAAAAAAUGAFlCAgAAAAAAAAAGBwBZQQAAAAAAAAAABwgAWUEAAAAAAAAAAAcJAFlCAgAAAAAAAAAJAwBZQQAAAAAAAAAACQoAWUEAAAAAAAAAAAoLAFlBAAAAAAAAAAALDABZQQAAAAAAAAAADA0AWUEAAAAAAAAAAA0OAFlBAAAAAAAAAAAODwBZQQAAAAAAAAAADwBEAFlBAAAAAAAAAAAARAsAWUEAAAAAAAAAAAAAAAA</t>
        </r>
      </text>
    </comment>
    <comment ref="A47" authorId="0" shapeId="0" xr:uid="{93D673E8-9DE9-4DE8-8043-203249C6F369}">
      <text>
        <r>
          <rPr>
            <sz val="9"/>
            <color indexed="81"/>
            <rFont val="MS P ゴシック"/>
            <family val="3"/>
            <charset val="128"/>
          </rPr>
          <t>Insight iXlW00001C0000047R0585476093S00000092P01376LAocjBAQBF1NjaVRlZ2ljLmRhdGEuTW9sZWN1bGUBbwF/ARJTY2lUZWdpYy5Nb2xlY3VsZQAAAQFkAv5qAQAAAAIAAgESIAD8APz8APwAAgAAAAAAAPC/Avw6cM6I0tY/Ar8OnDOitADAAAAAABwABAD8/AD8AAIAAAAAAADwvwIBb4EExY/zPwJ+HThnRGn5vwAAAAAgAAAA/PwA/AACAAAAAAAA8L8C2j15WKi1AEACvw6cM6K0AMAAAAAAGAAAAPz8APwAAgAAAAAAAPC/AgFvgQTFj/M/Avw6cM6I0uK/AAAAABgAAAD8/AD8AAIAAAAAAADwvwKhZ7Pqc7UAQALc14FzRpS2vwAAAAAYAAAA/PwA/AACAAAAAAAA8L8CoWez6nO1AEACBcWPMXct7T8AAAAAJAAAAPz8APwAAgAAAAAAAPC/AsIXJlMFowdAAoPix5i7lvY/AAAAABgAAAD8/AD8AAIAAAAAAADwvwIBb4EExY/zPwKD4seYu5b2PwAAAAAYAAAA/PwA/AACAAAAAAAA8L8C/DpwzojS1j8CBcWPMXct7T8AAAAAGAAAAPz8APwAAgAAAAAAAPC/Avw6cM6I0tY/AtzXgXNGlLa/AAAAABwAAAD8/AD8AAIAAAAAAADwvwIGo5I6AU3gvwL8OnDOiNLivwAAAAAYAAAA/PwA/AACAAAAAAAA8L8CxLEubqMB9r8C3NeBc0aUtr8AAAAAGAAAAPz8APwAAgAAAAAAAPC/AgMJih9j7gHAAvw6cM6I0uK/AAAAABgAAAD8/AD8AAIAAAAAAADwvwJcj8L1KNwIwALc14FzRpS2vwAAAAAcAAAA/PwA/AACAAAAAAAA8L8CXI/C9SjcCMACBcWPMXct7T8AAAAAGAAAAPz8APwAAgAAAAAAAPC/AjzfT42X7gHAAhI2PL1SlvY/AAAAABgAAAD8/AD8AAIAAAAAAADwvwLEsS5uowH2vwIjbHh6pSztPwAAAAABEQAAAPz8APwAAgAAAAAAAPC/Ail+jLlrCQ5AAvd14JwRpdW/AAAAAAESAAQBZQQAAAAAAAAAAAQIAWUIAAAAAAAAAAAEDAFlBAAAAAAAAAAADBABZQgMAAAAAAAAABAUAWUEAAAAAAAAAAAUGAFlBAAAAAAAAAAAFBwBZQgIAAAAAAAAABwgAWUEAAAAAAAAAAAgJAFlCAgAAAAAAAAAJAwBZQQAAAAAAAAAACQoAWUEAAAAAAAAAAAoLAFlBAAAAAAAAAAALDABZQQAAAAAAAAAADA0AWUEAAAAAAAAAAA0OAFlBAAAAAAAAAAAODwBZQQAAAAAAAAAADwBEAFlBAAAAAAAAAAAARAsAWUEAAAAAAAAAAAAAAAA</t>
        </r>
      </text>
    </comment>
    <comment ref="A48" authorId="0" shapeId="0" xr:uid="{4152E6D2-1722-4368-A86F-045F477FFD7B}">
      <text>
        <r>
          <rPr>
            <sz val="9"/>
            <color indexed="81"/>
            <rFont val="MS P ゴシック"/>
            <family val="3"/>
            <charset val="128"/>
          </rPr>
          <t>Insight iXlW00001C0000048R0585476093S00000094P01304LAocjBAQBF1NjaVRlZ2ljLmRhdGEuTW9sZWN1bGUBbwF/ARJTY2lUZWdpYy5Nb2xlY3VsZQAAAQFkAv5qAQAAAAIAAgERIAD8APz8APwAAgAAAAAAAPC/Ao9TdCSX/+g/ArsnDwu1pvU/AAAAABwABAD8/AD8AAIAAAAAAADwvwLFsS5uowHMvwK7Jw8Ltab1PwAAAAAgAAAA/PwA/AACAAAAAAAA8L8CcayL22gA578C/0P67evAAUAAAAAAGAAAAPz8APwAAgAAAAAAAPC/Ao9TdCSX/+a/AiNseHqlLN8/AAAAABgAAAD8/AD8AAIAAAAAAADwvwLIKTqSy3/7vwIjbHh6pSzfPwAAAAAYAAAA/PwA/AACAAAAAAAA8L8C5BQdyeW/AcAC5BQdyeU/2L8AAAAAJAAAAPz8APwAAgAAAAAAAPC/AuQUHcnlvwnAAuQUHcnlP9i/AAAAABgAAAD8/AD8AAIAAAAAAADwvwLIKTqSy3/7vwJ7pSxDHOvzvwAAAAAYAAAA/PwA/AACAAAAAAAA8L8CcayL22gA578Ce6UsQxzr878AAAAAGAAAAPz8APwAAgAAAAAAAPC/AsWxLm6jAcy/AuQUHcnlP9i/AAAAABwAAAD8/AD8AAIAAAAAAADwvwKPU3Qkl//oPwLkFB3J5T/YvwAAAAAYAAAA/PwA/AACAAAAAAAA8L8CyCk6kst/9D8CI2x4eqUs3z8AAAAAGAAAAPz8APwAAgAAAAAAAPC/AuQUHcnlPwJAAiNseHqlLN8/AAAAABwAAAD8/AD8AAIAAAAAAADwvwLkFB3J5T8GQALkFB3J5T/YvwAAAAAYAAAA/PwA/AACAAAAAAAA8L8C5BQdyeU/AkACe6UsQxzr878AAAAAGAAAAPz8APwAAgAAAAAAAPC/AsgpOpLLf/Q/AnulLEMc6/O/AAAAAAERAAAA/PwA/AACAAAAAAAA8L8CS3uDL0ymDEACI2x4eqUs3z8AAAAAAREABAFlBAAAAAAAAAAABAgBZQgAAAAAAAAAAAQMAWUEAAAAAAAAAAAMEAFlCAwAAAAAAAAAEBQBZQQAAAAAAAAAABQYAWUEAAAAAAAAAAAUHAFlCAgAAAAAAAAAHCABZQQAAAAAAAAAACAkAWUICAAAAAAAAAAkDAFlBAAAAAAAAAAAJCgBZQQAAAAAAAAAACgsAWUEAAAAAAAAAAAsMAFlBAAAAAAAAAAAMDQBZQQAAAAAAAAAADQ4AWUEAAAAAAAAAAA4PAFlBAAAAAAAAAAAPCgBZQQAAAAAAAAAAAAAAAA=</t>
        </r>
      </text>
    </comment>
    <comment ref="A49" authorId="0" shapeId="0" xr:uid="{0E2BBD2F-CE84-4463-8CE7-9A670DCCDAD7}">
      <text>
        <r>
          <rPr>
            <sz val="9"/>
            <color indexed="81"/>
            <rFont val="MS P ゴシック"/>
            <family val="3"/>
            <charset val="128"/>
          </rPr>
          <t>Insight iXlW00001C0000049R0585476093S00000096P01232LAocjBAQBF1NjaVRlZ2ljLmRhdGEuTW9sZWN1bGUBbwF/ARJTY2lUZWdpYy5Nb2xlY3VsZQAAAQFkAv5qAQAAAAIBAgEQHAAAAPz8APwAAgAAAAAAAPC/AmU730+NlwnAAjq0yHa+n8q/AAAAABgMAAD8/AD8AAIAAAAAAADwvwKJQWDl0KIBwAIAAAAAAADUvwAAAAAYAAAA/PwA/AACAAAAAAAA8L8CE4PAyqFF+78CQmDl0CLb8r8AAAAAGAAAAPz8APwAAgAAAAAAAPC/Aq+2Yn/ZPee/AlfsL7snD++/AAAAABwAAAD8/AD8AAIAAAAAAADwvwKfPCzUmubjvwK3Yn/ZPXmYPwAAAAAYAAAA/PwA/AACAAAAAAAA8L8C48eYu5aQ+L8C48eYu5aQ2z8AAAAAGAAAAPz8APwAAgAAAAAAAPC/Ahlz1xLyQc8/Ahb7y+7Jw+A/AAAAABwAAAD8/AD8AAIAAAAAAADwvwKRD3o2qz7PPwKL/WX35GH4PwAAAAAYAAAA/PwA/AACAAAAAAAA8L8CpU5AE2HD8T8Cxv6ye/IwAEAAAAAAGAAAAPz8APwAAgAAAAAAAPC/AueuJeSDnv8/Aov9ZffkYfg/AAAAABgAAAD8/AD8AAIAAAAAAADwvwLnriXkg57/PwIW+8vuycPgPwAAAAAYAAAA/PwA/AACAAAAAAAA8L8CpU5AE2HD8T8Ct2J/2T15mD8AAAAAHAAEAPz8APwAAgAAAAAAAPC/AqVOQBNhw/E/AusENBE2PO+/AAAAACAAAAD8/AD8AAIAAAAAAADwvwLnriXkg57/PwJ1ApoIG573vwAAAAAgAPwA/PwA/AACAAAAAAAA8L8CkQ96Nqs+zz8CdQKaCBue978AAAAAAREAAAD8/AD8AAIAAAAAAADwvwLaPXlYqDUGQAIs9pfdk4fRPwAAAAABEAQAAWUEEAAAAAAAAAAECAFlBAAAAAAAAAAACAwBZQQAAAAAAAAAAAwQAWUEAAAAAAAAAAAQFAFlBAAAAAAAAAAAFAQBZQQAAAAAAAAAABAYAWUEAAAAAAAAAAAYHAFlCAwAAAAAAAAAHCABZQQAAAAAAAAAACAkAWUICAAAAAAAAAAkKAFlBAAAAAAAAAAAKCwBZQgIAAAAAAAAACwYAWUEAAAAAAAAAAAsMAFlBAAAAAAAAAAAMDQBZQgAAAAAAAAAADA4AWUEAAAAAAAAAAAAAAAA</t>
        </r>
      </text>
    </comment>
    <comment ref="A50" authorId="0" shapeId="0" xr:uid="{CB32DA8C-5DC7-4FEC-9D46-D78AFB23F2AB}">
      <text>
        <r>
          <rPr>
            <sz val="9"/>
            <color indexed="81"/>
            <rFont val="MS P ゴシック"/>
            <family val="3"/>
            <charset val="128"/>
          </rPr>
          <t>Insight iXlW00001C0000050R0585476093S00000098P01232LAocjBAQBF1NjaVRlZ2ljLmRhdGEuTW9sZWN1bGUBbwF/ARJTY2lUZWdpYy5Nb2xlY3VsZQAAAQFkAv5qAQAAAAIAAgEQHAAEAPz8APwAAgAAAAAAAPC/AuQUHcnlvwZAAkVpb/CFycQ/AAAAABgAAAD8/AD8AAIAAAAAAADwvwLIKTqSy3/9PwJFaW/whcnEPwAAAAAYAAAA/PwA/AACAAAAAAAA8L8CyCk6kst/9T8Cak3zjlN08D8AAAAAGAAAAPz8APwAAgAAAAAAAPC/AuJYF7fRANY/AmpN845TdPA/AAAAACAA/AD8/AD8AAIAAAAAAADwvwLkFB3J5b8KQAIy5q4l5IPmvwAAAAAgAAAA/PwA/AACAAAAAAAA8L8C5BQdyeW/CkACak3zjlN08D8AAAAAGAAAAPz8APwAAgAAAAAAAPC/AjxO0ZFc/sO/AkVpb/CFycQ/AAAAACAAAAD8/AD8AAIAAAAAAADwvwLIKTqSy3/yvwJFaW/whcnEPwAAAAAYAAAA/PwA/AACAAAAAAAA8L8CyCk6kst/9T8CMuauJeSD5r8AAAAAGAAAAPz8APwAAgAAAAAAAPC/Ah6n6Egu/9U/AjLmriXkg+a/AAAAABgAAAD8/AD8AAIAAAAAAADwvwLkFB3J5T8FwAIy5q4l5IPmvwAAAAAYAAAA/PwA/AACAAAAAAAA8L8CyCk6kst/+r8CFD/G3LWE5r8AAAAAJAAAAPz8APwAAgAAAAAAAPC/AjxO0ZFc/sO/Aqyt2F92T/4/AAAAABgAAAD8/AD8AAIAAAAAAADwvwLkFB3J5T8FwAIZc9cS8kH7vwAAAAAYAAAA/PwA/AACAAAAAAAA8L8C5BQdyeU/DcACMuauJeSD5r8AAAAAGAAAAPz8APwAAgAAAAAAAPC/AuQUHcnlPwXAApwzorQ3+NI/AAAAAAEQBAABZQQAAAAAAAAAAAgEAWUIDAAAAAAAAAAMCAFlBAAAAAAAAAAAEAABZQQAAAAAAAAAABQAAWUIAAAAAAAAAAAYDAFlCAwAAAAAAAAAHBgBZQQAAAAAAAAAACAEAWUEAAAAAAAAAAAkIAFlCAgAAAAAAAAAKCwBZQQAAAAAAAAAACwcAWUEAAAAAAAAAAAwDAFlBAAAAAAAAAAANCgBZQQAAAAAAAAAADgoAWUEAAAAAAAAAAA8KAFlBAAAAAAAAAAAJBgBZQQAAAAAAAAAAAAAAAA=</t>
        </r>
      </text>
    </comment>
    <comment ref="A51" authorId="0" shapeId="0" xr:uid="{815A7127-9465-4E2B-970D-7041A0E6B535}">
      <text>
        <r>
          <rPr>
            <sz val="9"/>
            <color indexed="81"/>
            <rFont val="MS P ゴシック"/>
            <family val="3"/>
            <charset val="128"/>
          </rPr>
          <t>Insight iXlW00001C0000051R0585476093S00000100P01016LAocjBAQBF1NjaVRlZ2ljLmRhdGEuTW9sZWN1bGUBbwF/ARJTY2lUZWdpYy5Nb2xlY3VsZQAAAQFkAv5qAQAAAAIAAjQcAAQA/PwA/AACAAAAAAAA8L8CTYQNT6+U6b8CzqrP1Vbs9L8AAAAAGAAAAPz8APwAAgAAAAAAAPC/Ak2EDU+vlOm/AjerPldbsdO/AAAAABgAAAD8/AD8AAIAAAAAAADwvwKx4emVsgyxPwKTqYJRSZ3IPwAAAAAgAPwA/PwA/AACAAAAAAAA8L8CaCJseHql+r8CzqrP1Vbs/L8AAAAAIAAAAPz8APwAAgAAAAAAAPC/ArHh6ZWyDLE/As6qz9VW7Py/AAAAACAAAAD8/AD8AAIAAAAAAADwvwK6/If029ftPwI3qz5XW7HTvwAAAAAYAAAA/PwA/AACAAAAAAAA8L8CaCJseHql+r8Ck6mCUUmdyD8AAAAAGAAAAPz8APwAAgAAAAAAAPC/AhALtaZ5x/w/ApOpglFJncg/AAAAABgAAAD8/AD8AAIAAAAAAADwvwKx4emVsgyxPwIzVTAqqRPzPwAAAAAYAAAA/PwA/AACAAAAAAAA8L8Cnl4pyxDH/D8CM1UwKqkT8z8AAAAAGAAAAPz8APwAAgAAAAAAAPC/Aqk1zTtOUQVAAjerPldbsdO/AAAAABgAAAD8/AD8AAIAAAAAAADwvwJoImx4eqX6vwIzVTAqqRPzPwAAAAAYAAAA/PwA/AACAAAAAAAA8L8CTYQNT6+U6b8CM1UwKqkT+z8AAAAANAQAAWUEAAAAAAAAAAAIBAFlCAgAAAAAAAAADAABZQQAAAAAAAAAABAAAWUIAAAAAAAAAAAUCAFlBAAAAAAAAAAAGAQBZQQAAAAAAAAAABwUAWUEAAAAAAAAAAAgCAFlBAAAAAAAAAAAJBwBZQQAAAAAAAAAACgcAWUEAAAAAAAAAAAsGAFlCAgAAAAAAAAAMCABZQgIAAAAAAAAACwwAWUEAAAAAAAAAAAAAAAA</t>
        </r>
      </text>
    </comment>
    <comment ref="A52" authorId="0" shapeId="0" xr:uid="{060EC43B-5A0C-4D94-BD49-8C10D7D27CA4}">
      <text>
        <r>
          <rPr>
            <sz val="9"/>
            <color indexed="81"/>
            <rFont val="MS P ゴシック"/>
            <family val="3"/>
            <charset val="128"/>
          </rPr>
          <t>Insight iXlW00001C0000052R0585476093S00000102P01160LAocjBAQBF1NjaVRlZ2ljLmRhdGEuTW9sZWN1bGUBbwF/ARJTY2lUZWdpYy5Nb2xlY3VsZQAAAQFkAv5qAQAAAAIAAjwcAAQA/PwA/AACAAAAAAAA8L8C9rnaiv1l878CdLUV+8vu9r8AAAAAGAAAAPz8APwAAgAAAAAAAPC/Ava52or9ZfO/AtDVVuwvu9u/AAAAABgAAAD8/AD8AAIAAAAAAADwvwLQZtXnaivWvwLCqKROQBOxPwAAAAAgAPwA/PwA/AACAAAAAAAA8L8CVOOlm8SgAMACdLUV+8vu/r8AAAAAIAAAAPz8APwAAgAAAAAAAPC/AtBm1edqK9a/AnS1FfvL7v6/AAAAACAAAAD8/AD8AAIAAAAAAADwvwIcDeAtkKDgPwLQ1VbsL7vbvwAAAAAYAAAA/PwA/AACAAAAAAAA8L8CHA3gLZCgAMACwqikTkATsT8AAAAAGAAAAPz8APwAAgAAAAAAAPC/AtBm1edqK/Y/AsKopE5AE7E/AAAAABgAAAD8/AD8AAIAAAAAAADwvwLQZtXnaivWvwKMSuoENBHxPwAAAAAYAAAA/PwA/AACAAAAAAAA8L8CwTkjSnsDAkAC0NVW7C+7278AAAAAGAAAAPz8APwAAgAAAAAAAPC/AtBm1edqK/Y/AoxK6gQ0EfE/AAAAABgAAAD8/AD8AAIAAAAAAADwvwIcDeAtkKAAwAKMSuoENBHxPwAAAAAYAAAA/PwA/AACAAAAAAAA8L8C9rnaiv1l878CjErqBDQR+T8AAAAAGAAAAPz8APwAAgAAAAAAAPC/AoljXdxGAwJAAoxK6gQ0Efk/AAAAABgAAAD8/AD8AAIAAAAAAADwvwLi6ZWyDPEIQALCqKROQBOxPwAAAAA8BAABZQQAAAAAAAAAAAgEAWUICAAAAAAAAAAMAAFlBAAAAAAAAAAAEAABZQgAAAAAAAAAABQIAWUEAAAAAAAAAAAYBAFlBAAAAAAAAAAAHBQBZQQAAAAAAAAAACAIAWUEAAAAAAAAAAAkHAFlBAAAAAAAAAAAKBwBZQQAAAAAAAAAACwYAWUICAAAAAAAAAAwIAFlCAgAAAAAAAAANCgBZQQAAAAAAAAAADgkAWUEAAAAAAAAAAAsMAFlBAAAAAAAAAAAAAAAAA==</t>
        </r>
      </text>
    </comment>
    <comment ref="A53" authorId="0" shapeId="0" xr:uid="{2842FF03-044D-499C-A282-741E5C5573A8}">
      <text>
        <r>
          <rPr>
            <sz val="9"/>
            <color indexed="81"/>
            <rFont val="MS P ゴシック"/>
            <family val="3"/>
            <charset val="128"/>
          </rPr>
          <t>Insight iXlW00001C0000053R0585476093S00000104P01248LAocjBAQBF1NjaVRlZ2ljLmRhdGEuTW9sZWN1bGUBbwF/ARJTY2lUZWdpYy5Nb2xlY3VsZQAAAQFkAv5qAQAAAAIAAgEQHAAEAPz8APwAAgAAAAAAAPC/AsgpOpLLf/8/ApM6AU2EDeM/AAAAABgAAAD8/AD8AAIAAAAAAADwvwLIKTqSy3/3PwLhC5OpglHRvwAAAAAYAAAA/PwA/AACAAAAAAAA8L8C41gXt9EA3j8C4QuTqYJR0b8AAAAAIAD8APz8APwAAgAAAAAAAPC/AuQUHcnlvwdAApM6AU2EDeM/AAAAACAAAAD8/AD8AAIAAAAAAADwvwLfcYqO5PKfvwKTOgFNhA3jPwAAAAAgAAAA/PwA/AACAAAAAAAA8L8COdbFbTSA9z8Ci/1l9+Rh9z8AAAAAIAAAAPz8APwAAgAAAAAAAPC/AuQUHcnlPwjAApM6AU2EDeM/AAAAABgAAAD8/AD8AAIAAAAAAADwvwLIKTqSy3/wvwKTOgFNhA3jPwAAAAAYAAAA/PwA/AACAAAAAAAA8L8CyCk6kst//z8COiNKe4Mv8r8AAAAAGAAAAPz8APwAAgAAAAAAAPC/AsgpOpLLf/i/Aov9ZffkYfc/AAAAABgAAAD8/AD8AAIAAAAAAADwvwLIKTqSy3/4vwLhC5OpglHRvwAAAAAYAAAA/PwA/AACAAAAAAAA8L8C33GKjuTyn78Cq8/VVuwv8r8AAAAAGAAAAPz8APwAAgAAAAAAAPC/AuQUHcnlPwTAAuELk6mCUdG/AAAAABgAAAD8/AD8AAIAAAAAAADwvwLkFB3J5T8EwAKL/WX35GH3PwAAAAAYAAAA/PwA/AACAAAAAAAA8L8CyCk6kst/9z8C9pfdk4cFAMAAAAAAGAAAAPz8APwAAgAAAAAAAPC/Ah6n6Egu/90/AvaX3ZOHBQDAAAAAAAERBAABZQQAAAAAAAAAAAgEAWUICAAAAAAAAAAMAAFlBAAAAAAAAAAAEAgBZQQAAAAAAAAAABQAAWUIAAAAAAAAAAAYMAFlBAAAAAAAAAAAHBABZQQAAAAAAAAAACAEAWUEAAAAAAAAAAAkHAFlBAAAAAAAAAAAKBwBZQQAAAAAAAAAACwIAWUEAAAAAAAAAAAwKAFlBAAAAAAAAAAANCQBZQQAAAAAAAAAADggAWUICAAAAAAAAAA8LAFlCAgAAAAAAAAAODwBZQQAAAAAAAAAADQYAWUEAAAAAAAAAAAAAAAA</t>
        </r>
      </text>
    </comment>
    <comment ref="A54" authorId="0" shapeId="0" xr:uid="{81020ABC-7D66-4C1E-8E0F-79C97B802EE6}">
      <text>
        <r>
          <rPr>
            <sz val="9"/>
            <color indexed="81"/>
            <rFont val="MS P ゴシック"/>
            <family val="3"/>
            <charset val="128"/>
          </rPr>
          <t>Insight iXlW00001C0000054R0585476093S00000106P01168LAocjBAQBF1NjaVRlZ2ljLmRhdGEuTW9sZWN1bGUBbwF/ARJTY2lUZWdpYy5Nb2xlY3VsZQAAAQFkAv5qAQAAAAIBAjwcAAAA/PwA/AACAAAAAAAA8L8Cg8DKoUW2+z8CjErqBDQR8b8AAAAAGAAAAPz8APwAAgAAAAAAAPC/AoPAyqFFtus/AhiV1AloIuK/AAAAABwAAAD8/AD8AAIAAAAAAADwvwACjErqBDQR8b8AAAAAGAAAAPz8APwAAgAAAAAAAPC/AmMQWDm0yARAAhiV1AloIuK/AAAAABgAAAD8/AD8AAIAAAAAAADwvwJjEFg5tMgEQALQ1VbsL7vbPwAAAAAYDAAA/PwA/AACAAAAAAAA8L8Cg8DKoUW2678CGJXUCWgi4r8AAAAAGAAAAPz8APwAAgAAAAAAAPC/AoPAyqFFtus/AtDVVuwvu9s/AAAAABwAAAD8/AD8AAIAAAAAAADwvwK8lpAPerYLQALoaiv2l93tPwAAAAAYAAAA/PwA/AACAAAAAAAA8L8Cg8DKoUW2+z8C6Gor9pfd7T8AAAAAGAwAAPz8APwAAgAAAAAAAPC/AmMQWDm0yATAAtDVVuwvu9s/AAAAABgAAAD8/AD8AAIAAAAAAADwvwKDwMqhRbbrvwLQ1VbsL7vbPwAAAAAYAAAA/PwA/AACAAAAAAAA8L8Cg8DKoUW2+78CjErqBDQR8b8AAAAAGAAAAPz8APwAAgAAAAAAAPC/ApvmHafoyATAAhiV1AloIuK/AAAAABgAAAD8/AD8AAIAAAAAAADwvwKDwMqhRbb7vwLoaiv2l93tPwAAAAAgAAAA/PwA/AACAAAAAAAA8L8CvJaQD3q2C8AC6Gor9pfd7T8AAAAAARAEAAFlCAwAAAAAAAAACAQBZQQAAAAAAAAAAAwAAWUEAAAAAAAAAAAQDAFlCAwAAAAAAAAAFAgBZQQQAAAAAAAAABgEAWUEAAAAAAAAAAAcEAFlBAAAAAAAAAAAIBABZQQAAAAAAAAAACQwAWUEAAAAAAAAAAAoFAFlBAAAAAAAAAAALBQBZQQAAAAAAAAAADAsAWUEAAAAAAAAAAA0KAFlBAAAAAAAAAAAJDgBZQQUAAAAAAAAABggAWUICAAAAAAAAAAkNAFlBAAAAAAAAAAAAAAAAA==</t>
        </r>
      </text>
    </comment>
    <comment ref="A55" authorId="0" shapeId="0" xr:uid="{B56EDDD0-9378-4AF1-8178-E38CBC6045DE}">
      <text>
        <r>
          <rPr>
            <sz val="9"/>
            <color indexed="81"/>
            <rFont val="MS P ゴシック"/>
            <family val="3"/>
            <charset val="128"/>
          </rPr>
          <t>Insight iXlW00001C0000055R0585476093S00000108P01036LAocjBAQBF1NjaVRlZ2ljLmRhdGEuTW9sZWN1bGUBbwF/ARJTY2lUZWdpYy5Nb2xlY3VsZQAAAQFkAv5qAQAAAAIBAjQcAAAA/PwA/AACAAAAAAAA8L8COdbFbTSA3z8CFGHD0ytlqb8AAAAAGAAAAPz8APwAAgAAAAAAAPC/AuQUHcnlP+C/AhRhw9MrZam/AAAAABgAAAD8/AD8AAIAAAAAAADwvwLXNO84RUfxPwIoDwu1pnnrvwAAAAAYAAAA/PwA/AACAAAAAAAA8L8C1zTvOEVH8T8CBqOSOgFN6D8AAAAAGAAAAPz8APwAAgAAAAAAAPC/AnKKjuTyH/C/AnKKjuTyH+o/AAAAABgAAAD8/AD8AAIAAAAAAADwvwJzaJHtfD8AQALek4eFWtPcPwAAAAAYCAAA/PwA/AACAAAAAAAA8L8Cc2iR7Xw/AEACETY8vVKW4b8AAAAAHAAAAPz8APwAAgAAAAAAAPC/AuQUHcnlP+C/AuxRuB6F6/o/AAAAACAAAAD8/AD8AAIAAAAAAADwvwLx9EpZhrgGQALChqdXyjLyvwAAAAAYAAAA/PwA/AACAAAAAAAA8L8CcoqO5PIf8L8ClfYGX5hM7b8AAAAAGAAAAPz8APwAAgAAAAAAAPC/AjlFR3L5DwDAAnKKjuTyH+o/AAAAABgAAAD8/AD8AAIAAAAAAADwvwI5RUdy+Q8AwAKV9gZfmEztvwAAAAAYAAAA/PwA/AACAAAAAAAA8L8COUVHcvkPBMACFGHD0ytlqb8AAAAAOAQAAWUEAAAAAAAAAAAIAAFlBAAAAAAAAAAADAABZQQAAAAAAAAAABAEAWUEAAAAAAAAAAAUDAFlBAAAAAAAAAAAGAgBZQQAAAAAAAAAABwQAWUEAAAAAAAAAAAYIAFlBBQAAAAAAAAAJAQBZQgMAAAAAAAAACgQAWUICAAAAAAAAAAsJAFlBAAAAAAAAAAAMCwBZQgIAAAAAAAAABgUAWUEAAAAAAAAAAAoMAFlBAAAAAAAAAAAAAAAAA==</t>
        </r>
      </text>
    </comment>
    <comment ref="A56" authorId="0" shapeId="0" xr:uid="{B3169BFA-65DE-42F2-826E-D734D4BA9120}">
      <text>
        <r>
          <rPr>
            <sz val="9"/>
            <color indexed="81"/>
            <rFont val="MS P ゴシック"/>
            <family val="3"/>
            <charset val="128"/>
          </rPr>
          <t>Insight iXlW00001C0000056R0585476093S00000110P01124LAocjBAQBF1NjaVRlZ2ljLmRhdGEuTW9sZWN1bGUBbwF/ARJTY2lUZWdpYy5Nb2xlY3VsZQAAAQFkAv5qAQAAAAIAAjwcAAAA/PwA/AACAAAAAAAA8L8Cam/whclU1T8AAAAAABgAAAD8/AD8AAIAAAAAAADwvwJMyAc9m1XlvwAAAAAAHAAAAPz8APwAAgAAAAAAAPC/Au0NvjCZqgJAAAAAAAAYAAAA/PwA/AACAAAAAAAA8L8CJuSDns2q8r8Cg8DKoUW2678AAAAAGAAAAPz8APwAAgAAAAAAAPC/Aibkg57NqvK/AoPAyqFFtus/AAAAABgAAAD8/AD8AAIAAAAAAADwvwK1N/jCZKrqPwKDwMqhRbbrvwAAAAAYAAAA/PwA/AACAAAAAAAA8L8CtTf4wmSq6j8Cg8DKoUW26z8AAAAAGAAAAPz8APwAAgAAAAAAAPC/AtsbfGEyVf0/AoPAyqFFtus/AAAAABgAAAD8/AD8AAIAAAAAAADwvwLbG3xhMlX9PwKDwMqhRbbrvwAAAAAcAAAA/PwA/AACAAAAAAAA8L8CTMgHPZtV5b8Cg8DKoUW2+78AAAAAJAAAAPz8APwAAgAAAAAAAPC/AkzIBz2bVeW/AoPAyqFFtvs/AAAAABgAAAD8/AD8AAIAAAAAAADwvwLuDb4wmaoKQAAAAAAAGAAAAPz8APwAAgAAAAAAAPC/AhPyQc9mVQXAAAAAAAAYAAAA/PwA/AACAAAAAAAA8L8CE/JBz2ZVAcACg8DKoUW2678AAAAAGAAAAPz8APwAAgAAAAAAAPC/AhPyQc9mVQHAAoPAyqFFtus/AAAAAAEQBAABZQQAAAAAAAAAAAgcAWUEAAAAAAAAAAAMBAFlBAAAAAAAAAAAEAQBZQgIAAAAAAAAABQAAWUEAAAAAAAAAAAYAAFlBAAAAAAAAAAAHBgBZQQAAAAAAAAAACAUAWUEAAAAAAAAAAAkDAFlBAAAAAAAAAAAKBABZQQAAAAAAAAAACwIAWUEAAAAAAAAAAAwOAFlCAgAAAAAAAAANAwBZQgIAAAAAAAAADgQAWUEAAAAAAAAAAAIIAFlBAAAAAAAAAAAMDQBZQQAAAAAAAAAAAAAAAA=</t>
        </r>
      </text>
    </comment>
    <comment ref="A57" authorId="0" shapeId="0" xr:uid="{9E526749-4670-49EF-83EC-BEE0CEDA1AB1}">
      <text>
        <r>
          <rPr>
            <sz val="9"/>
            <color indexed="81"/>
            <rFont val="MS P ゴシック"/>
            <family val="3"/>
            <charset val="128"/>
          </rPr>
          <t>Insight iXlW00001C0000057R0585476093S00000112P01104LAocjBAQBF1NjaVRlZ2ljLmRhdGEuTW9sZWN1bGUBbwF/ARJTY2lUZWdpYy5Nb2xlY3VsZQAAAQFkAv5qAQAAAAIBAjgcAAAA/PwA/AACAAAAAAAA8L8Cc9cS8kHP2j8Cnu+nxks31T8AAAAAGAAAAPz8APwAAgAAAAAAAPC/Alhbsb/snty/AsUgsHJokcW/AAAAABgAAAD8/AD8AAIAAAAAAADwvwJwXwfOGVH1PwJVwaikTkCzvwAAAAAYAAAA/PwA/AACAAAAAAAA8L8CyeU/pN++4D8Cnu+nxks39T8AAAAAGAAAAPz8APwAAgAAAAAAAPC/Alhbsb/snty/AqhXyjLEsfK/AAAAABgAAAD8/AD8AAIAAAAAAADwvwIYt9EA3gL1vwKe76fGSzfVPwAAAAAYAAAA/PwA/AACAAAAAAAA8L8CoBov3SQG+D8CJQaBlUOL+D8AAAAAGAgAAPz8APwAAgAAAAAAAPC/AlCNl24SAwBAAuXyH9JvX+U/AAAAABwAAAD8/AD8AAIAAAAAAADwvwKvJeSDns3aPwKoV8oyxLH6vwAAAAAkAAAA/PwA/AACAAAAAAAA8L8CGLfRAN4C9b8C6Pup8dJN9T8AAAAAIAAAAPz8APwAAgAAAAAAAPC/AiuHFtnO9wdAAvMf0m9fB+I/AAAAABgAAAD8/AD8AAIAAAAAAADwvwKti9toAG8BwAIZBFYOLbLyvwAAAAAYAAAA/PwA/AACAAAAAAAA8L8CGLfRAN4C9b8CqFfKMsSx+r8AAAAAGAAAAPz8APwAAgAAAAAAAPC/Aq2L22gAbwHAAsUgsHJokcW/AAAAADwEAAFlBAAAAAAAAAAACAABZQQAAAAAAAAAAAwAAWUEAAAAAAAAAAAQBAFlBAAAAAAAAAAAFAQBZQgIAAAAAAAAABgMAWUEAAAAAAAAAAAcCAFlBAAAAAAAAAAAIBABZQQAAAAAAAAAACQUAWUEAAAAAAAAAAAcKAFlBBQAAAAAAAAALDQBZQgIAAAAAAAAADAQAWUICAAAAAAAAAA0FAFlBAAAAAAAAAAAHBgBZQQAAAAAAAAAACwwAWUEAAAAAAAAAAAAAAAA</t>
        </r>
      </text>
    </comment>
    <comment ref="A58" authorId="0" shapeId="0" xr:uid="{625E7156-CD6A-4C48-A688-494821269B29}">
      <text>
        <r>
          <rPr>
            <sz val="9"/>
            <color indexed="81"/>
            <rFont val="MS P ゴシック"/>
            <family val="3"/>
            <charset val="128"/>
          </rPr>
          <t>Insight iXlW00001C0000058R0585476093S00000114P01248LAocjBAQBF1NjaVRlZ2ljLmRhdGEuTW9sZWN1bGUBbwF/ARJTY2lUZWdpYy5Nb2xlY3VsZQAAAQFkAv5qAQAAAAIBAgEQGAAAAPz8APwAAgAAAAAAAPC/AgXFjzF3Le8/AgAAAAAAANy/AAAAABwAAAD8/AD8AAIAAAAAAADwvwL7XG3F/rK7PwIAAAAAAADuvwAAAAAYAAAA/PwA/AACAAAAAAAA8L8CBcWPMXct7z8CAAAAAAAA4j8AAAAAGAAAAPz8APwAAgAAAAAAAPC/AsRCrWnecf0/AgAAAAAAAO6/AAAAABgMAAD8/AD8AAIAAAAAAADwvwLkFB3J5T/ovwIAAAAAAADcvwAAAAAcAAAA/PwA/AACAAAAAAAA8L8CDCQofoy5uz8CAAAAAAAA8T8AAAAAJAAAAPz8APwAAgAAAAAAAPC/AsRCrWnecf0/AgAAAAAAAP+/AAAAABgMAAD8/AD8AAIAAAAAAADwvwJ7pSxDHOsDwAIAAAAAAADiPwAAAAAYAAAA/PwA/AACAAAAAAAA8L8C5BQdyeU/6L8CAAAAAAAA4j8AAAAAGAAAAPz8APwAAgAAAAAAAPC/ArTqc7UV+/m/AgAAAAAAAO6/AAAAABgAAAD8/AD8AAIAAAAAAADwvwJ7pSxDHOsDwAIAAAAAAADcvwAAAAAYAAAA/PwA/AACAAAAAAAA8L8CtOpztRX7+b8CAAAAAAAA8T8AAAAAIAAAAPz8APwAAgAAAAAAAPC/ApxVn6ut2ArAAgAAAAAAAPE/AAAAABgAAAD8/AD8AAIAAAAAAADwvwKDUUmdgKYFQAIAAAAAAADiPwAAAAAYAAAA/PwA/AACAAAAAAAA8L8CxEKtad5x/T8CAAAAAAAA8T8AAAAAGAAAAPz8APwAAgAAAAAAAPC/AoNRSZ2ApgVAAgAAAAAAANy/AAAAAAERBAABZQQAAAAAAAAAAAgAAWUEAAAAAAAAAAAMAAFlCAgAAAAAAAAAEAQBZQQQAAAAAAAAABQIAWUEAAAAAAAAAAAYDAFlBAAAAAAAAAAAHCgBZQQAAAAAAAAAACAQAWUEAAAAAAAAAAAkEAFlBAAAAAAAAAAAKCQBZQQAAAAAAAAAACwgAWUEAAAAAAAAAAAcMAFlBBQAAAAAAAAANDwBZQgIAAAAAAAAADgIAWUICAAAAAAAAAA8DAFlBAAAAAAAAAAANDgBZQQAAAAAAAAAABwsAWUEAAAAAAAAAAAAAAAA</t>
        </r>
      </text>
    </comment>
    <comment ref="A59" authorId="0" shapeId="0" xr:uid="{868BACA6-A307-4AD2-BA6A-4AEF922BA3A4}">
      <text>
        <r>
          <rPr>
            <sz val="9"/>
            <color indexed="81"/>
            <rFont val="MS P ゴシック"/>
            <family val="3"/>
            <charset val="128"/>
          </rPr>
          <t>Insight iXlW00001C0000059R0585476093S00000116P01540LAocjBAQBF1NjaVRlZ2ljLmRhdGEuTW9sZWN1bGUBbwF/ARJTY2lUZWdpYy5Nb2xlY3VsZQAAAQFkAv5qAQAAAAIBAgEUHAAAAPz8APwAAgAAAAAAAPC/AmWqYFRSJ/E/ApX2Bl+YTOW/AAAAABgAAAD8/AD8AAIAAAAAAADwvwKnCkYldQL/PwJR2ht8YTLFvwAAAAAYAAAA/PwA/AACAAAAAAAA8L8Cg+LHmLuW/r8C/Knx0k1ikD8AAAAAHAAAAPz8APwAAgAAAAAAAPC/AoZa07zjFPi/ArkehetRuOy/AAAAABgAAAD8/AD8AAIAAAAAAADwvwIGo5I6AU3EPwI2zTtO0ZHQvwAAAAAcAAAA/PwA/AACAAAAAAAA8L8CpwpGJXUC/z8CirDh6ZWy6j8AAAAAGAAAAPz8APwAAgAAAAAAAPC/AtiBc0aU9u4/AgFvgQTFj/q/AAAAACAAAAD8/AD8AAIAAAAAAADwvwId6+I2GkAHwAIdyeU/pN++PwAAAAAYAAAA/PwA/AACAAAAAAAA8L8CdLUV+8tuBkAClfYGX5hM5b8AAAAAIAAAAPz8APwAAgAAAAAAAPC/Asl2vp8aL/W/Akm/fR04Z+o/AAAAABgMAAD8/AD8AAIAAAAAAADwvwK9dJMYBFbgvwLVeOkmMQjwvwAAAAAYAAAA/PwA/AACAAAAAAAA8L8CGy/dJAaBhb8CiIVa07zj/b8AAAAAGAAAAPz8APwAAgAAAAAAAPC/Ahsv3SQGgQrAApayDHGsi/A/AAAAABwAAAD8/AD8AAIAAAAAAADwvwJ0tRX7y24GQAJKe4MvTKb6vwAAAAAYAAAA/PwA/AACAAAAAAAA8L8CdLUV+8tuBkACRdjw9EpZ9T8AAAAAGAAAAPz8APwAAgAAAAAAAPC/ApVliGNdXA1AAto9eVioNcW/AAAAABgAAAD8/AD8AAIAAAAAAADwvwIrGJXUCegQwAIzVTAqqRPkPwAAAAAYAAAA/PwA/AACAAAAAAAA8L8CUkmdgCbCDcACC7Wmeccp/z8AAAAAGAAAAPz8APwAAgAAAAAAAPC/AhkEVg4tMgPAAgTnjCjtDfc/AAAAABgAAAD8/AD8AAIAAAAAAADwvwKVZYhjXVwNQAKKsOHplbLqPwAAAAABFQQAAWUEAAAAAAAAAAAIDAFlBAAAAAAAAAAAKAwBZQQUAAAAAAAAABAAAWUEAAAAAAAAAAAUBAFlBAAAAAAAAAAAGAABZQQAAAAAAAAAABwIAWUEAAAAAAAAAAAgBAFlCAgAAAAAAAAAJAgBZQgAAAAAAAAAACgQAWUEAAAAAAAAAAAsGAFlBAAAAAAAAAAAMBwBZQQAAAAAAAAAADQgAWUEAAAAAAAAAAA4FAFlCAgAAAAAAAAAPCABZQQAAAAAAAAAAAEQMAFlBAAAAAAAAAAAAREwAWUEAAAAAAAAAAABEjABZQQAAAAAAAAAAAETPAFlCAgAAAAAAAAAKCwBZQQAAAAAAAAAADgBEwFlBAAAAAAAAAAAAAAAAA==</t>
        </r>
      </text>
    </comment>
    <comment ref="A60" authorId="0" shapeId="0" xr:uid="{3BD967E2-33B7-4B92-818B-886D1771C182}">
      <text>
        <r>
          <rPr>
            <sz val="9"/>
            <color indexed="81"/>
            <rFont val="MS P ゴシック"/>
            <family val="3"/>
            <charset val="128"/>
          </rPr>
          <t>Insight iXlW00001C0000060R0585476093S00000118P01248LAocjBAQBF1NjaVRlZ2ljLmRhdGEuTW9sZWN1bGUBbwF/ARJTY2lUZWdpYy5Nb2xlY3VsZQAAAQFkAv5qAQAAAAIAAgEQGAAAAPz8APwAAgAAAAAAAPC/AsgpOpLLf/Y/AuQUHcnlP9i/AAAAABgAAAD8/AD8AAIAAAAAAADwvwLkFB3J5T8DQALkFB3J5T/YvwAAAAAYAAAA/PwA/AACAAAAAAAA8L8CcayL22gA7T8CI2x4eqUs3z8AAAAAIAAAAPz8APwAAgAAAAAAAPC/AnicoiO5/Le/AiNseHqlLN8/AAAAACAAAAD8/AD8AAIAAAAAAADwvwLkFB3J5b8MwALkFB3J5T/YvwAAAAAYAAAA/PwA/AACAAAAAAAA8L8COdbFbTSA9j8CuycPC7Wm9T8AAAAAGAAAAPz8APwAAgAAAAAAAPC/AuQUHcnlPwdAAucdp+hILt8/AAAAACQAAAD8/AD8AAIAAAAAAADwvwJxrIvbaADtPwJ7pSxDHOvzvwAAAAAYAAAA/PwA/AACAAAAAAAA8L8Cj1N0JJf/4r8C5BQdyeU/2L8AAAAAHAAAAPz8APwAAgAAAAAAAPC/AuQUHcnlPw9AAucdp+hILt8/AAAAABgAAAD8/AD8AAIAAAAAAADwvwLkFB3J5T8DQAK7Jw8Ltab1PwAAAAAYAAAA/PwA/AACAAAAAAAA8L8CyCk6kst/+b8C5BQdyeU/2L8AAAAAGAAAAPz8APwAAgAAAAAAAPC/AuQUHcnlvwjAAnulLEMc6/O/AAAAABgAAAD8/AD8AAIAAAAAAADwvwLkFB3J5b8IwAIjbHh6pSzfPwAAAAAYAAAA/PwA/AACAAAAAAAA8L8C5BQdyeW/AMACe6UsQxzr878AAAAAGAAAAPz8APwAAgAAAAAAAPC/AuQUHcnlvwDAAiNseHqlLN8/AAAAAAERBAABZQQAAAAAAAAAAAgAAWUIDAAAAAAAAAAMCAFlBAAAAAAAAAAAEDQBZQQAAAAAAAAAABQIAWUEAAAAAAAAAAAYBAFlCAwAAAAAAAAAHAABZQQAAAAAAAAAACAMAWUEAAAAAAAAAAAkGAFlBAAAAAAAAAAAKBQBZQgIAAAAAAAAACwgAWUEAAAAAAAAAAAwOAFlBAAAAAAAAAAANDwBZQQAAAAAAAAAADgsAWUEAAAAAAAAAAA8LAFlBAAAAAAAAAAAGCgBZQQAAAAAAAAAABAwAWUEAAAAAAAAAAAAAAAA</t>
        </r>
      </text>
    </comment>
    <comment ref="A61" authorId="0" shapeId="0" xr:uid="{847B2C3D-FA4F-40D9-843A-170819EF5E7C}">
      <text>
        <r>
          <rPr>
            <sz val="9"/>
            <color indexed="81"/>
            <rFont val="MS P ゴシック"/>
            <family val="3"/>
            <charset val="128"/>
          </rPr>
          <t>Insight iXlW00001C0000061R0585476093S00000120P01016LAocjBAQBF1NjaVRlZ2ljLmRhdGEuTW9sZWN1bGUBbwF/ARJTY2lUZWdpYy5Nb2xlY3VsZQAAAQFkAv5qAQAAAAIAAjQYAAAA/PwA/AACAAAAAAAA8L8CuvyH9NvX3b8CXf5D+u3r5D8AAAAAGAAAAPz8APwAAgAAAAAAAPC/AnBfB84ZUfW/Ai//If32dfI/AAAAABgAAAD8/AD8AAIAAAAAAADwvwK6/If029fdvwKDUUmdgCbWvwAAAAAYAAAA/PwA/AACAAAAAAAA8L8CETY8vVKWAcACXf5D+u3r5D8AAAAAGAAAAPz8APwAAgAAAAAAAPC/AuELk6mCUfW/AsKopE5AE+u/AAAAACQAAAD8/AD8AAIAAAAAAADwvwJNhA1Pr5TZPwIv/yH99nXyPwAAAAAcAAAA/PwA/AACAAAAAAAA8L8CMuauJeSDCMACL/8h/fZ18j8AAAAAGAAAAPz8APwAAgAAAAAAAPC/AhE2PL1SlgHAAkcDeAskKNa/AAAAACAAAAD8/AD8AAIAAAAAAADwvwJNhA1Pr5TZPwLCqKROQBPrvwAAAAAgAAAA/PwA/AACAAAAAAAA8L8CJZf/kH77B0ACRwN4CyQo1r8AAAAAGAAAAPz8APwAAgAAAAAAAPC/AlXBqKROQPQ/AoNRSZ2AJta/AAAAABgAAAD8/AD8AAIAAAAAAADwvwLLEMe6uA0BQALCqKROQBPrvwAAAAAYAAAA/PwA/AACAAAAAAAA8L8CRkdy+Q/pDkACpAG8BRIU678AAAAANAQAAWUEAAAAAAAAAAAIAAFlCAgAAAAAAAAADAQBZQgMAAAAAAAAABAIAWUEAAAAAAAAAAAUAAFlBAAAAAAAAAAAGAwBZQQAAAAAAAAAABwQAWUICAAAAAAAAAAgCAFlBAAAAAAAAAAAJCwBZQQAAAAAAAAAACggAWUEAAAAAAAAAAAsKAFlBAAAAAAAAAAAMCQBZQQAAAAAAAAAABwMAWUEAAAAAAAAAAAAAAAA</t>
        </r>
      </text>
    </comment>
    <comment ref="A62" authorId="0" shapeId="0" xr:uid="{70C88432-932D-4217-951F-980BC4CF217D}">
      <text>
        <r>
          <rPr>
            <sz val="9"/>
            <color indexed="81"/>
            <rFont val="MS P ゴシック"/>
            <family val="3"/>
            <charset val="128"/>
          </rPr>
          <t>Insight iXlW00001C0000062R0585476093S00000122P01176LAocjBAQBF1NjaVRlZ2ljLmRhdGEuTW9sZWN1bGUBbwF/ARJTY2lUZWdpYy5Nb2xlY3VsZQAAAQFkAv5qAQAAAAIAAjwYAAAA/PwA/AACAAAAAAAA8L8CHA3gLZCg4D8CZF3cRgN4178AAAAAGAAAAPz8APwAAgAAAAAAAPC/AtBm1edqK/Y/ArIubqMBvOu/AAAAABgAAAD8/AD8AAIAAAAAAADwvwKJY13cRgMCQAJkXdxGA3jXvwAAAAAgAAAA/PwA/AACAAAAAAAA8L8C0GbV52or1r8Csi5uowG8678AAAAAGAAAAPz8APwAAgAAAAAAAPC/AhwN4C2QoOA/Ak/RkVz+Q+Q/AAAAABgAAAD8/AD8AAIAAAAAAADwvwKJY13cRgMCQAJP0ZFc/kPkPwAAAAAkAAAA/PwA/AACAAAAAAAA8L8C0GbV52or9j8CWRe30QDe/b8AAAAAHAAAAPz8APwAAgAAAAAAAPC/AqoT0ETY8AhAAqfoSC7/IfI/AAAAABgAAAD8/AD8AAIAAAAAAADwvwLQZtXnaiv2PwKn6Egu/yHyPwAAAAAYAAAA/PwA/AACAAAAAAAA8L8C9rnaiv1l878CZF3cRgN4178AAAAAGAAAAPz8APwAAgAAAAAAAPC/Ava52or9ZfO/Ak/RkVz+Q+Q/AAAAABgAAAD8/AD8AAIAAAAAAADwvwIcDeAtkKAAwALQ1VbsL7vrvwAAAAAYAAAA/PwA/AACAAAAAAAA8L8CdZMYBFaOB8ACoKut2F92178AAAAAGAAAAPz8APwAAgAAAAAAAPC/AlTjpZvEoADAAqfoSC7/IfI/AAAAABgAAAD8/AD8AAIAAAAAAADwvwJ1kxgEVo4HwAJP0ZFc/kPkPwAAAAABEAQAAWUIDAAAAAAAAAAIBAFlBAAAAAAAAAAADAABZQQAAAAAAAAAABAAAWUEAAAAAAAAAAAUIAFlBAAAAAAAAAAAGAQBZQQAAAAAAAAAABwUAWUEAAAAAAAAAAAgEAFlCAgAAAAAAAAAJAwBZQQAAAAAAAAAACgkAWUEAAAAAAAAAAAsJAFlBAAAAAAAAAAAMCwBZQQAAAAAAAAAADQoAWUEAAAAAAAAAAA4MAFlBAAAAAAAAAAAFAgBZQgIAAAAAAAAADg0AWUEAAAAAAAAAAAAAAAA</t>
        </r>
      </text>
    </comment>
    <comment ref="A63" authorId="0" shapeId="0" xr:uid="{958828FC-74D2-4D75-913D-0B1BA8DAFE85}">
      <text>
        <r>
          <rPr>
            <sz val="9"/>
            <color indexed="81"/>
            <rFont val="MS P ゴシック"/>
            <family val="3"/>
            <charset val="128"/>
          </rPr>
          <t>Insight iXlW00001C0000063R0585476093S00000124P01176LAocjBAQBF1NjaVRlZ2ljLmRhdGEuTW9sZWN1bGUBbwF/ARJTY2lUZWdpYy5Nb2xlY3VsZQAAAQFkAv5qAQAAAAIAAjwYAAAA/PwA/AACAAAAAAAA8L8CVg4tsp3v8r8CBhIUP8bc2T8AAAAAGAAAAPz8APwAAgAAAAAAAPC/AiuHFtnOdwHAAgYSFD/G3Nk/AAAAABgAAAD8/AD8AAIAAAAAAADwvwKOdXEbDeDlvwIBb4EExY/dvwAAAAAgAAAA/PwA/AACAAAAAAAA8L8C5BQdyeU/1D8CAW+BBMWP3b8AAAAAIAAAAPz8APwAAgAAAAAAAPC/AnpYqDXNOwNAAg1xrIvbaPM/AAAAABgAAAD8/AD8AAIAAAAAAADwvwLHuriNBvDyvwICvAUSFD/1vwAAAAAYAAAA/PwA/AACAAAAAAAA8L8CK4cW2c53BcACAW+BBMWP3b8AAAAAJAAAAPz8APwAAgAAAAAAAPC/AqwcWmQ73+W/AjQRNjy9UvQ/AAAAABgAAAD8/AD8AAIAAAAAAADwvwJyio7k8h/qPwLKw0Ktad7ZPwAAAAAcAAAA/PwA/AACAAAAAAAA8L8CK4cW2c53DcACAW+BBMWP3b8AAAAAGAAAAPz8APwAAgAAAAAAAPC/AiuHFtnOdwHAAgK8BRIUP/W/AAAAABgAAAD8/AD8AAIAAAAAAADwvwI5RUdy+Q/9PwIGEhQ/xtzZPwAAAAAYAAAA/PwA/AACAAAAAAAA8L8CSFD8GHPXCkAC5WGh1jTv7D8AAAAAGAAAAPz8APwAAgAAAAAAAPC/ArIubqMBPANAAiigibDh6dm/AAAAABgAAAD8/AD8AAIAAAAAAADwvwKBJsKGp9cKQALZ8PRKWYa4vwAAAAABEAQAAWUEAAAAAAAAAAAIAAFlCAwAAAAAAAAADAgBZQQAAAAAAAAAABAsAWUEAAAAAAAAAAAUCAFlBAAAAAAAAAAAGAQBZQgMAAAAAAAAABwAAWUEAAAAAAAAAAAgDAFlBAAAAAAAAAAAJBgBZQQAAAAAAAAAACgUAWUICAAAAAAAAAAsIAFlBAAAAAAAAAAAMBABZQQAAAAAAAAAADQsAWUEAAAAAAAAAAA4NAFlBAAAAAAAAAAAKBgBZQQAAAAAAAAAADA4AWUEAAAAAAAAAAAAAAAA</t>
        </r>
      </text>
    </comment>
    <comment ref="A64" authorId="0" shapeId="0" xr:uid="{B62E1F6A-0780-4E68-B9FB-4BF851957284}">
      <text>
        <r>
          <rPr>
            <sz val="9"/>
            <color indexed="81"/>
            <rFont val="MS P ゴシック"/>
            <family val="3"/>
            <charset val="128"/>
          </rPr>
          <t>Insight iXlW00001C0000064R0585476093S00000126P01612LAocjBAQBF1NjaVRlZ2ljLmRhdGEuTW9sZWN1bGUBbwF/ARJTY2lUZWdpYy5Nb2xlY3VsZQAAAQFkAv5qAQAAAAIBAgEVGAAAAPz8APwAAgAAAAAAAPC/Ah8Wak3zjv6/Ak+vlGWIY62/AAAAABwAAAD8/AD8AAIAAAAAAADwvwKTqYJRSZ3xvwJ+jLlrCfngPwAAAAAYAAAA/PwA/AACAAAAAAAA8L8C4lgXt9GAB0AC7S+7Jw8LxT8AAAAAGAAAAPz8APwAAgAAAAAAAPC/AsWxLm6jAf8/Au0vuycPC8U/AAAAACAAAAD8/AD8AAIAAAAAAADwvwISNjy9UpYGwAIJih9j7lrWPwAAAAAgAAAA/PwA/AACAAAAAAAA8L8CxbEubqMB9z8CP8bctYR88D8AAAAAGAAAAPz8APwAAgAAAAAAAPC/AqvP1VbsL8O/Ap/Nqs/VVsw/AAAAABgAAAD8/AD8AAIAAAAAAADwvwIEVg4tsp3xvwI/xty1hHz4PwAAAAAgAAAA/PwA/AACAAAAAAAA8L8CNYC3QILi/L8CMZkqGJXU8L8AAAAAGAAAAPz8APwAAgAAAAAAAPC/AuJYF7fRgAtAAoj029eBc+a/AAAAABgMAAD8/AD8AAIAAAAAAADwvwIRx7q4jQbcPwI/xty1hHzwPwAAAAAYAAAA/PwA/AACAAAAAAAA8L8CV+wvuycPDcACu0kMAiuHzr8AAAAAGAAAAPz8APwAAgAAAAAAAPC/AqvP1VbsL8O/AssyxLEubv0/AAAAABwAAAD8/AD8AAIAAAAAAADwvwLiWBe30YALQAKwcmiR7XzwPwAAAAAkAAAA/PwA/AACAAAAAAAA8L8CcayL22jAEUACiPTb14Fz5r8AAAAAGAAAAPz8APwAAgAAAAAAAPC/AsWxLm6jAfc/Aoj029eBc+a/AAAAABgAAAD8/AD8AAIAAAAAAADwvwLFsS5uowH/PwKGWtO84xT5vwAAAAAYAAAA/PwA/AACAAAAAAAA8L8C4lgXt9GAB0AChlrTvOMU+b8AAAAAGAAAAPz8APwAAgAAAAAAAPC/Ano2qz5XWwjAAsP1KFyPwvC/AAAAABgAAAD8/AD8AAIAAAAAAADwvwJO0ZFc/sMRwALi6ZWyDHHqvwAAAAAYAAAA/PwA/AACAAAAAAAA8L8CGlHaG3zhEMACqMZLN4lB4j8AAAAAARYEAAFlBAAAAAAAAAAACAwBZQgMAAAAAAAAAAwUAWUEAAAAAAAAAAAQAAFlBAAAAAAAAAAAKBQBZQQUAAAAAAAAABgEAWUEAAAAAAAAAAAcBAFlBAAAAAAAAAAAIAABZQgAAAAAAAAAACQIAWUEAAAAAAAAAAAoGAFlBAAAAAAAAAAALBABZQQAAAAAAAAAADAcAWUEAAAAAAAAAAA0CAFlBAAAAAAAAAAAOCQBZQQAAAAAAAAAADwMAWUEAAAAAAAAAAABEDwBZQgIAAAAAAAAAAERARABZQQAAAAAAAAAAAESLAFlBAAAAAAAAAAAARMsAWUEAAAAAAAAAAABFCwBZQQAAAAAAAAAADAoAWUEAAAAAAAAAAAkAREBZQgIAAAAAAAAAAAAAAA=</t>
        </r>
      </text>
    </comment>
    <comment ref="A65" authorId="0" shapeId="0" xr:uid="{9C99E6CD-C395-40DD-A977-A65EF9406D04}">
      <text>
        <r>
          <rPr>
            <sz val="9"/>
            <color indexed="81"/>
            <rFont val="MS P ゴシック"/>
            <family val="3"/>
            <charset val="128"/>
          </rPr>
          <t>Insight iXlW00001C0000065R0585476093S00000128P00824LAocjBAQBF1NjaVRlZ2ljLmRhdGEuTW9sZWN1bGUBbwF/ARJTY2lUZWdpYy5Nb2xlY3VsZQAAAQFkAv5qAQAAAAIAAiwYAAAA/PwA/AACAAAAAAAA8L8CUWuad5yi4b8CAAAAAAAA4L8AAAAAGAAAAPz8APwAAgAAAAAAAPC/AuqVsgxxrPa/AAAAAAAYAAAA/PwA/AACAAAAAAAA8L8CZapgVFIn1D8AAAAAABwAAAD8/AD8AAIAAAAAAADwvwJRa5p3nKLhvwIAAAAAAAD4vwAAAAAkAAAA/PwA/AACAAAAAAAA8L8CFvvL7slDAsACAAAAAAAA4L8AAAAAIAAAAPz8APwAAgAAAAAAAPC/AtuK/WX35PI/AgAAAAAAAOC/AAAAABgAAAD8/AD8AAIAAAAAAADwvwJRa5p3nKLhvwIAAAAAAAD4PwAAAAAYAAAA/PwA/AACAAAAAAAA8L8C6pWyDHGs9r8BAAAAABgAAAD8/AD8AAIAAAAAAADwvwJlqmBUUifUPwEAAAAAGAAAAPz8APwAAgAAAAAAAPC/Ao51cRsNYABAAAAAAAAYAAAA/PwA/AACAAAAAAAA8L8C6Pup8dJNB0ACAAAAAAAA4L8AAAAALAQAAWUEAAAAAAAAAAAIAAFlCAwAAAAAAAAADAABZQQAAAAAAAAAABAEAWUEAAAAAAAAAAAUCAFlBAAAAAAAAAAAGCABZQgIAAAAAAAAABwEAWUICAAAAAAAAAAgCAFlBAAAAAAAAAAAJBQBZQQAAAAAAAAAACgkAWUEAAAAAAAAAAAYHAFlBAAAAAAAAAAAAAAAAA==</t>
        </r>
      </text>
    </comment>
    <comment ref="A66" authorId="0" shapeId="0" xr:uid="{7C87B344-0828-4EB8-8BD4-1FF6DB383F9D}">
      <text>
        <r>
          <rPr>
            <sz val="9"/>
            <color indexed="81"/>
            <rFont val="MS P ゴシック"/>
            <family val="3"/>
            <charset val="128"/>
          </rPr>
          <t>Insight iXlW00001C0000066R0585476093S00000130P01176LAocjBAQBF1NjaVRlZ2ljLmRhdGEuTW9sZWN1bGUBbwF/ARJTY2lUZWdpYy5Nb2xlY3VsZQAAAQFkAv5qAQAAAAIAAjwYAAAA/PwA/AACAAAAAAAA8L8CTRWMSuoE6D8CZF3cRgN41z8AAAAAGAAAAPz8APwAAgAAAAAAAPC/Ak0VjErqBOg/Ak/RkVz+Q+S/AAAAACAAAAD8/AD8AAIAAAAAAADwvwLFILByaJG9vwKn6Egu/yHyvwAAAAAYAAAA/PwA/AACAAAAAAAA8L8C6Gor9pfd+T8C0NVW7C+76z8AAAAAIAAAAPz8APwAAgAAAAAAAPC/AmmR7Xw/tQXAAmRd3EYDeNc/AAAAABwAAAD8/AD8AAIAAAAAAADwvwLFILByaJG9vwKyLm6jAbzrPwAAAAAYAAAA/PwA/AACAAAAAAAA8L8CnMQgsHJo778CT9GRXP5D5L8AAAAAJAAAAPz8APwAAgAAAAAAAPC/AuhqK/aX3fk/AuhqK/aX3f0/AAAAABgAAAD8/AD8AAIAAAAAAADwvwKcxCCwcmjvvwJkXdxGA3jXPwAAAAAYAAAA/PwA/AACAAAAAAAA8L8CkML1KFyP/b8Cp+hILv8h8r8AAAAAGAAAAPz8APwAAgAAAAAAAPC/AuhqK/aX3fk/AqfoSC7/IfK/AAAAABgAAAD8/AD8AAIAAAAAAADwvwJpke18P7UFwAJP0ZFc/kPkvwAAAAAYAAAA/PwA/AACAAAAAAAA8L8CkML1KFyP/b8Csi5uowG86z8AAAAAGAAAAPz8APwAAgAAAAAAAPC/ApVliGNd3ANAAk/RkVz+Q+S/AAAAABgAAAD8/AD8AAIAAAAAAADwvwKVZYhjXdwDQAKgq63YX3bXPwAAAAABEAQAAWUEAAAAAAAAAAAIBAFlBAAAAAAAAAAADAABZQgMAAAAAAAAABAsAWUEAAAAAAAAAAAUAAFlBAAAAAAAAAAAGAgBZQQAAAAAAAAAABwMAWUEAAAAAAAAAAAgGAFlBAAAAAAAAAAAJBgBZQQAAAAAAAAAACgEAWUICAAAAAAAAAAsJAFlBAAAAAAAAAAAMCABZQQAAAAAAAAAADQ4AWUICAAAAAAAAAA4DAFlBAAAAAAAAAAAKDQBZQQAAAAAAAAAABAwAWUEAAAAAAAAAAAAAAAA</t>
        </r>
      </text>
    </comment>
    <comment ref="A67" authorId="0" shapeId="0" xr:uid="{86C69EFA-280F-4F1D-9105-D1EE02D2BE11}">
      <text>
        <r>
          <rPr>
            <sz val="9"/>
            <color indexed="81"/>
            <rFont val="MS P ゴシック"/>
            <family val="3"/>
            <charset val="128"/>
          </rPr>
          <t>Insight iXlW00001C0000067R0585476093S00000132P01612LAocjBAQBF1NjaVRlZ2ljLmRhdGEuTW9sZWN1bGUBbwF/ARJTY2lUZWdpYy5Nb2xlY3VsZQAAAQFkAv5qAQAAAAIBAgEVGAAAAPz8APwAAgAAAAAAAPC/At/gC5Opgvs/ApayDHGsi7u/AAAAABwAAAD8/AD8AAIAAAAAAADwvwKo6Egu/yHtPwLGbTSAt0DmvwAAAAAgAAAA/PwA/AACAAAAAAAA8L8CqvHSTWIQBUACTKYKRiV14L8AAAAAGAAAAPz8APwAAgAAAAAAAPC/AoJzRpT2BgHAAsKopE5AE9W/AAAAABgAAAD8/AD8AAIAAAAAAADwvwIE54wo7Q36vwIjbHh6pSzhPwAAAAAYAAAA/PwA/AACAAAAAAAA8L8CgnNGlPYGAcACU5YhjnVx9j8AAAAAIAAAAPz8APwAAgAAAAAAAPC/AgTnjCjtDfq/AuM2GsBbIPO/AAAAABgAAAD8/AD8AAIAAAAAAADwvwJFaW/whcmkvwKbd5yiI7nYvwAAAAAYAAAA/PwA/AACAAAAAAAA8L8CikFg5dAi7T8CcoqO5PIf+78AAAAAIAAAAPz8APwAAgAAAAAAAPC/Amb35GGh1vk/AhpR2ht8Yew/AAAAABgIAAD8/AD8AAIAAAAAAADwvwIIzhlR2hvkvwLjNhrAWyDzvwAAAAAYAAAA/PwA/AACAAAAAAAA8L8C8KfGSzeJC0ACOIlBYOXQsj8AAAAAGAAAAPz8APwAAgAAAAAAAPC/AkVpb/CFyaS/ArfRAN4CCQDAAAAAABgAAAD8/AD8AAIAAAAAAADwvwKCc0aU9gYJwALCqKROQBPVvwAAAAAYAAAA/PwA/AACAAAAAAAA8L8CgnNGlPYGCcACU5YhjnVx9j8AAAAAHAAAAPz8APwAAgAAAAAAAPC/AgjOGVHaG+S/AiNseHqlLOE/AAAAABgAAAD8/AD8AAIAAAAAAADwvwKCc0aU9gYNwAIjbHh6pSzhPwAAAAAkAAAA/PwA/AACAAAAAAAA8L8CgnNGlPYGDcACSnuDL0wmAkAAAAAAGAAAAPz8APwAAgAAAAAAAPC/AhPyQc9m1QZAAj4K16NwPew/AAAAABgAAAD8/AD8AAIAAAAAAADwvwIbL90kBgERQAKaCBueXinlPwAAAAAYAAAA/PwA/AACAAAAAAAA8L8C5q4l5IMeEEAC8KfGSzeJ578AAAAAARYEAAFlBAAAAAAAAAAACAABZQQAAAAAAAAAAAwYAWUEAAAAAAAAAAAQDAFlCAwAAAAAAAAAFBABZQQAAAAAAAAAACgYAWUEEAAAAAAAAAAcBAFlBAAAAAAAAAAAIAQBZQQAAAAAAAAAACQAAWUIAAAAAAAAAAAoHAFlBAAAAAAAAAAALAgBZQQAAAAAAAAAADAgAWUEAAAAAAAAAAA0DAFlBAAAAAAAAAAAOAEQAWUEAAAAAAAAAAA8EAFlBAAAAAAAAAAAARA0AWUICAAAAAAAAAABETgBZQQAAAAAAAAAAAESLAFlBAAAAAAAAAAAARMsAWUEAAAAAAAAAAABFCwBZQQAAAAAAAAAADAoAWUEAAAAAAAAAAAUOAFlCAgAAAAAAAAAAAAAAA==</t>
        </r>
      </text>
    </comment>
    <comment ref="A68" authorId="0" shapeId="0" xr:uid="{C7C5FC66-7266-4EF4-A534-7B883D0734B4}">
      <text>
        <r>
          <rPr>
            <sz val="9"/>
            <color indexed="81"/>
            <rFont val="MS P ゴシック"/>
            <family val="3"/>
            <charset val="128"/>
          </rPr>
          <t>Insight iXlW00001C0000068R0585476093S00000134P00876LAocjBAQBF1NjaVRlZ2ljLmRhdGEuTW9sZWN1bGUBbwF/ARJTY2lUZWdpYy5Nb2xlY3VsZQAAAQFkAv5qAQAAAAIAAiwYAAAA/PwA/AACAAAAAAAA8L8CKVyPwvUoxD8C2/l+arx04T8AAAAAGAAAAPz8APwAAgAAAAAAAPC/AltCPujZrOa/An3Qs1n1ufA/AAAAABgAAAD8/AD8AAIAAAAAAADwvwKh+DHmriXEPwJKDAIrhxbdvwAAAAAYAAAA/PwA/AACAAAAAAAA8L8CW0I+6Nms5r8CJQaBlUOL7r8AAAAAGAAAAPz8APwAAgAAAAAAAPC/Am+BBMWPMfm/AvmgZ7Pqc+E/AAAAABwAAAD8/AD8AAIAAAAAAADwvwLHSzeJQWDwPwLufD81XrrwPwAAAAAYAAAA/PwA/AACAAAAAAAA8L8Cb4EExY8x+b8CSgwCK4cW3b8AAAAAJAAAAPz8APwAAgAAAAAAAPC/Atnw9EpZhgPAAn3Qs1n1ufA/AAAAACAAAAD8/AD8AAIAAAAAAADwvwLHSzeJQWDwPwIlBoGVQ4vuvwAAAAAYAAAA/PwA/AACAAAAAAAA8L8CCawcWmQ7/j8CSgwCK4cW3b8AAAAAGAAAAPz8APwAAgAAAAAAAPC/AiUGgZVDCwZAAiUGgZVDi+6/AAAAACwEAAFlBAAAAAAAAAAACAABZQgIAAAAAAAAAAwIAWUEAAAAAAAAAAAQBAFlCAwAAAAAAAAAFAABZQQAAAAAAAAAABgMAWUICAAAAAAAAAAcEAFlBAAAAAAAAAAAIAgBZQQAAAAAAAAAACQgAWUEAAAAAAAAAAAoJAFlBAAAAAAAAAAAGBABZQQAAAAAAAAAAAAAAAA=</t>
        </r>
      </text>
    </comment>
    <comment ref="A69" authorId="0" shapeId="0" xr:uid="{93C14A80-6129-415F-B640-F958111FAF31}">
      <text>
        <r>
          <rPr>
            <sz val="9"/>
            <color indexed="81"/>
            <rFont val="MS P ゴシック"/>
            <family val="3"/>
            <charset val="128"/>
          </rPr>
          <t>Insight iXlW00001C0000069R0585476093S00000136P01088LAocjBAQBF1NjaVRlZ2ljLmRhdGEuTW9sZWN1bGUBbwF/ARJTY2lUZWdpYy5Nb2xlY3VsZQAAAQFkAv5qAQAAAAIAAjgYAAAA/PwA/AACAAAAAAAA8L8Cm+Ydp+hI6r8Cg8DKoUW22z8AAAAAGAAAAPz8APwAAgAAAAAAAPC/Ak7zjlN0JP2/AoPAyqFFtts/AAAAABgAAAD8/AD8AAIAAAAAAADwvwI2zTtO0ZHUvwKDwMqhRbbbvwAAAAAgAAAA/PwA/AACAAAAAAAA8L8CZRniWBe35T8Cg8DKoUW2278AAAAAGAAAAPz8APwAAgAAAAAAAPC/ApvmHafoSOq/AmMQWDm0yPS/AAAAABgAAAD8/AD8AAIAAAAAAADwvwKneccpOpICwAKDwMqhRbbbvwAAAAAYAAAA/PwA/AACAAAAAAAA8L8CWoY41sVtAUACg8DKoUW22z8AAAAAHAAAAPz8APwAAgAAAAAAAPC/AjbNO07RkdS/AmMQWDm0yPQ/AAAAABgAAAD8/AD8AAIAAAAAAADwvwKzDHGsi9vyPwKDwMqhRbbbPwAAAAAYAAAA/PwA/AACAAAAAAAA8L8CTvOOU3Qk/b8CYxBYObTI9L8AAAAAJAAAAPz8APwAAgAAAAAAAPC/Aqd5xyk6kgrAAoPAyqFFttu/AAAAABgAAAD8/AD8AAIAAAAAAADwvwJahjjWxW0BQAIhsHJoke32PwAAAAAYAAAA/PwA/AACAAAAAAAA8L8CWoY41sVtCUACg8DKoUW22z8AAAAAGAAAAPz8APwAAgAAAAAAAPC/AlqGONbFbQFAAr+fGi/dJOK/AAAAADgEAAFlBAAAAAAAAAAACAABZQgMAAAAAAAAAAwIAWUEAAAAAAAAAAAQCAFlBAAAAAAAAAAAFAQBZQgMAAAAAAAAABggAWUEAAAAAAAAAAAcAAFlBAAAAAAAAAAAIAwBZQQAAAAAAAAAACQQAWUICAAAAAAAAAAoFAFlBAAAAAAAAAAALBgBZQQAAAAAAAAAADAYAWUEAAAAAAAAAAA0GAFlBAAAAAAAAAAAJBQBZQQAAAAAAAAAAAAAAAA=</t>
        </r>
      </text>
    </comment>
    <comment ref="A70" authorId="0" shapeId="0" xr:uid="{808511B4-7040-4319-8ADE-0F843ACE93A2}">
      <text>
        <r>
          <rPr>
            <sz val="9"/>
            <color indexed="81"/>
            <rFont val="MS P ゴシック"/>
            <family val="3"/>
            <charset val="128"/>
          </rPr>
          <t>Insight iXlW00001C0000070R0585476093S00000138P01304LAocjBAQBF1NjaVRlZ2ljLmRhdGEuTW9sZWN1bGUBbwF/ARJTY2lUZWdpYy5Nb2xlY3VsZQAAAQFkAv5qAQAAAAIBAgERIAD8APz8APwAAgAAAAAAAPC/Aiz2l92Th/6/AhwN4C2QoP6/AAAAABwABAD8/AD8AAIAAAAAAADwvwLqlbIMcazwvwIcDeAtkKD2vwAAAAAgAAAA/PwA/AACAAAAAAAA8L8CQ61p3nGKxr8CHA3gLZCg/r8AAAAAGAAAAPz8APwAAgAAAAAAAPC/AuqVsgxxrPC/Am40gLdAgtq/AAAAABgAAAD8/AD8AAIAAAAAAADwvwIs9pfdk4f+vwJJLv8h/fa1PwAAAAAkAAAA/PwA/AACAAAAAAAA8L8CN6s+V1sxBsACbjSAt0CC2r8AAAAAGAAAAPz8APwAAgAAAAAAAPC/Aiz2l92Th/6/AuXyH9JvX/E/AAAAABgAAAD8/AD8AAIAAAAAAADwvwLqlbIMcazwvwLl8h/Sb1/5PwAAAAAYAAAA/PwA/AACAAAAAAAA8L8CQ61p3nGKxr8C5fIf0m9f8T8AAAAAGAAAAPz8APwAAgAAAAAAAPC/AkOtad5xisa/Akku/yH99rU/AAAAACAAAAD8/AD8AAIAAAAAAADwvwIzVTAqqRPmPwJuNIC3QILavwAAAAAYDAAA/PwA/AACAAAAAAAA8L8C24r9Zffk+D8CSS7/If32tT8AAAAAGAAAAPz8APwAAgAAAAAAAPC/AsUgsHJokfo/AgyTqYJRSfE/AAAAABgAAAD8/AD8AAIAAAAAAADwvwJApN++DhwFQAKxUGuad5z0PwAAAAAcAAAA/PwA/AACAAAAAAAA8L8CCM4ZUdobCUACvsEXJlMF2z8AAAAAGAAAAPz8APwAAgAAAAAAAPC/AqjGSzeJwQNAAmFUUiegidS/AAAAAAERAAAA/PwA/AACAAAAAAAA8L8CbjSAt0CCD0AC3GgAb4EExb8AAAAAAREABAFlBAAAAAAAAAAABAgBZQgAAAAAAAAAAAQMAWUEAAAAAAAAAAAMEAFlCAgAAAAAAAAAEBQBZQQAAAAAAAAAABAYAWUEAAAAAAAAAAAYHAFlCAgAAAAAAAAAHCABZQQAAAAAAAAAACAkAWUICAAAAAAAAAAkDAFlBAAAAAAAAAAAJCgBZQQAAAAAAAAAACwoAWUEFAAAAAAAAAAsMAFlBAAAAAAAAAAAMDQBZQQAAAAAAAAAADQ4AWUEAAAAAAAAAAA4PAFlBAAAAAAAAAAAPCwBZQQAAAAAAAAAAAAAAAA=</t>
        </r>
      </text>
    </comment>
    <comment ref="A71" authorId="0" shapeId="0" xr:uid="{55703C76-2EEB-4FE1-A87C-AC45E4A6F451}">
      <text>
        <r>
          <rPr>
            <sz val="9"/>
            <color indexed="81"/>
            <rFont val="MS P ゴシック"/>
            <family val="3"/>
            <charset val="128"/>
          </rPr>
          <t>Insight iXlW00001C0000071R0585476093S00000140P01304LAocjBAQBF1NjaVRlZ2ljLmRhdGEuTW9sZWN1bGUBbwF/ARJTY2lUZWdpYy5Nb2xlY3VsZQAAAQFkAv5qAQAAAAIBAgERIAD8APz8APwAAgAAAAAAAPC/Aiz2l92Th/6/AhwN4C2QoP6/AAAAABwABAD8/AD8AAIAAAAAAADwvwLqlbIMcazwvwIcDeAtkKD2vwAAAAAgAAAA/PwA/AACAAAAAAAA8L8CQ61p3nGKxr8CHA3gLZCg/r8AAAAAGAAAAPz8APwAAgAAAAAAAPC/AuqVsgxxrPC/Am40gLdAgtq/AAAAABgAAAD8/AD8AAIAAAAAAADwvwIs9pfdk4f+vwJJLv8h/fa1PwAAAAAkAAAA/PwA/AACAAAAAAAA8L8CN6s+V1sxBsACbjSAt0CC2r8AAAAAGAAAAPz8APwAAgAAAAAAAPC/Aiz2l92Th/6/AuXyH9JvX/E/AAAAABgAAAD8/AD8AAIAAAAAAADwvwLqlbIMcazwvwLl8h/Sb1/5PwAAAAAYAAAA/PwA/AACAAAAAAAA8L8CQ61p3nGKxr8C5fIf0m9f8T8AAAAAGAAAAPz8APwAAgAAAAAAAPC/AkOtad5xisa/Akku/yH99rU/AAAAACAAAAD8/AD8AAIAAAAAAADwvwIzVTAqqRPmPwJuNIC3QILavwAAAAAYCAAA/PwA/AACAAAAAAAA8L8C24r9Zffk+D8CSS7/If32tT8AAAAAGAAAAPz8APwAAgAAAAAAAPC/AsUgsHJokfo/AgyTqYJRSfE/AAAAABgAAAD8/AD8AAIAAAAAAADwvwJApN++DhwFQAKxUGuad5z0PwAAAAAcAAAA/PwA/AACAAAAAAAA8L8CCM4ZUdobCUACvsEXJlMF2z8AAAAAGAAAAPz8APwAAgAAAAAAAPC/AqjGSzeJwQNAAmFUUiegidS/AAAAAAERAAAA/PwA/AACAAAAAAAA8L8CbjSAt0CCD0AC3GgAb4EExb8AAAAAAREABAFlBAAAAAAAAAAABAgBZQgAAAAAAAAAAAQMAWUEAAAAAAAAAAAMEAFlCAgAAAAAAAAAEBQBZQQAAAAAAAAAABAYAWUEAAAAAAAAAAAYHAFlCAgAAAAAAAAAHCABZQQAAAAAAAAAACAkAWUICAAAAAAAAAAkDAFlBAAAAAAAAAAAJCgBZQQAAAAAAAAAACwoAWUEEAAAAAAAAAAsMAFlBAAAAAAAAAAAMDQBZQQAAAAAAAAAADQ4AWUEAAAAAAAAAAA4PAFlBAAAAAAAAAAAPCwBZQQAAAAAAAAAAAAAAAA=</t>
        </r>
      </text>
    </comment>
    <comment ref="A72" authorId="0" shapeId="0" xr:uid="{C9EF68B3-3E7F-4F8B-9609-F20B4157E550}">
      <text>
        <r>
          <rPr>
            <sz val="9"/>
            <color indexed="81"/>
            <rFont val="MS P ゴシック"/>
            <family val="3"/>
            <charset val="128"/>
          </rPr>
          <t>Insight iXlW00001C0000072R0585476093S00000142P01376LAocjBAQBF1NjaVRlZ2ljLmRhdGEuTW9sZWN1bGUBbwF/ARJTY2lUZWdpYy5Nb2xlY3VsZQAAAQFkAv5qAQAAAAIAAgESIAD8APz8APwAAgAAAAAAAPC/AmAHzhlRWgZAAm+BBMWPMeU/AAAAABwABAD8/AD8AAIAAAAAAADwvwK/DpwzorT8PwJvgQTFjzHlPwAAAAAgAAAA/PwA/AACAAAAAAAA8L8Cvw6cM6K09D8C+aBns+pz+D8AAAAAGAAAAPz8APwAAgAAAAAAAPC/Ar8OnDOitPQ/Atlfdk8eFsq/AAAAABgAAAD8/AD8AAIAAAAAAADwvwK/DpwzorT8PwI9LNSa5h3xvwAAAAAkAAAA/PwA/AACAAAAAAAA8L8CYAfOGVFaBkACPSzUmuYd8b8AAAAAGAAAAPz8APwAAgAAAAAAAPC/Ar8OnDOitPQ/An+MuWsJ+f6/AAAAABgAAAD8/AD8AAIAAAAAAADwvwL8OnDOiNLSPwJ/jLlrCfn+vwAAAAAYAAAA/PwA/AACAAAAAAAA8L8CCYofY+5ayr8CPSzUmuYd8b8AAAAAGAAAAPz8APwAAgAAAAAAAPC/Avw6cM6I0tI/Atlfdk8eFsq/AAAAACAAAAD8/AD8AAIAAAAAAADwvwIJih9j7lrKvwJvgQTFjzHlPwAAAAAYAAAA/PwA/AACAAAAAAAA8L8CQfFjzF1L878CjSjtDb4w5T8AAAAAGAAAAPz8APwAAgAAAAAAAPC/AkHxY8xdS/u/Atlfdk8eFsq/AAAAABgAAAD8/AD8AAIAAAAAAADwvwKh+DHmrqUFwALZX3ZPHhbKvwAAAAAcAAAA/PwA/AACAAAAAAAA8L8Cofgx5q6lCcACjSjtDb4w5T8AAAAAGAAAAPz8APwAAgAAAAAAAPC/AqH4MeaupQXAAoj029eBc/g/AAAAABgAAAD8/AD8AAIAAAAAAADwvwJB8WPMXUv7vwKI9NvXgXP4PwAAAAABEQAAAPz8APwAAgAAAAAAAPC/AsZtNIC3wAxAAtlfdk8eFsq/AAAAAAESAAQBZQQAAAAAAAAAAAQIAWUIAAAAAAAAAAAEDAFlBAAAAAAAAAAADBABZQgIAAAAAAAAABAUAWUEAAAAAAAAAAAQGAFlBAAAAAAAAAAAGBwBZQgIAAAAAAAAABwgAWUEAAAAAAAAAAAgJAFlCAgAAAAAAAAAJAwBZQQAAAAAAAAAACQoAWUEAAAAAAAAAAAoLAFlBAAAAAAAAAAALDABZQQAAAAAAAAAADA0AWUEAAAAAAAAAAA0OAFlBAAAAAAAAAAAODwBZQQAAAAAAAAAADwBEAFlBAAAAAAAAAAAARAsAWUEAAAAAAAAAAAAAAAA</t>
        </r>
      </text>
    </comment>
    <comment ref="A73" authorId="0" shapeId="0" xr:uid="{845AA500-5FDF-4C7B-8B82-DD9DCD605B7A}">
      <text>
        <r>
          <rPr>
            <sz val="9"/>
            <color indexed="81"/>
            <rFont val="MS P ゴシック"/>
            <family val="3"/>
            <charset val="128"/>
          </rPr>
          <t>Insight iXlW00001C0000073R0585476093S00000144P01688LAocjBAQBF1NjaVRlZ2ljLmRhdGEuTW9sZWN1bGUBbwF/ARJTY2lUZWdpYy5Nb2xlY3VsZQAAAQFkAv5qAQAAAAIBAgEWHAAEAPz8APwAAgAAAAAAAPC/AvcGX5hMFQ9AAmHl0CLb+b6/AAAAABgAAAD8/AD8AAIAAAAAAADwvwKMbOf7qfH+vwIv3SQGgZXnvwAAAAAcAAAA/PwA/AACAAAAAAAA8L8Cj+TyH9Jv+L8C7Z48LNSaxj8AAAAAGAAAAPz8APwAAgAAAAAAAPC/AtZW7C+7JwhAAqjGSzeJQdg/AAAAACAAAAD8/AD8AAIAAAAAAADwvwJahjjWxW0HwAIhsHJoke3qvwAAAAAcAAAA/PwA/AACAAAAAAAA8L8CtaZ5xyk6AUACqvHSTWIQ/j8AAAAAIAD8APz8APwAAgAAAAAAAPC/AvcGX5hMFQ9AAlYOLbKd7/G/AAAAABgAAAD8/AD8AAIAAAAAAADwvwIp7Q2+MJn0PwKq8dJNYhD2PwAAAAAYAAAA/PwA/AACAAAAAAAA8L8CidLe4AuT4b8CC0YldQKa2D8AAAAAIAAAAPz8APwAAgAAAAAAAPC/AozbaABvARNAAqjGSzeJQdg/AAAAABgAAAD8/AD8AAIAAAAAAADwvwLWVuwvuycIQAKq8dJNYhD2PwAAAAAYAAAA/PwA/AACAAAAAAAA8L8CgEi/fR04AMACrkfhehSu8D8AAAAAIAAAAPz8APwAAgAAAAAAAPC/AtIA3gIJivW/AiPb+X5qvPi/AAAAABgMAAD8/AD8AAIAAAAAAADwvwIv/yH99nXcvwKq8dJNYhD2PwAAAAAYAAAA/PwA/AACAAAAAAAA8L8CtaZ5xyk6AUACYeXQItv5vr8AAAAAIAAAAPz8APwAAgAAAAAAAPC/AtiBc0aU9to/Aqrx0k1iEP4/AAAAABgAAAD8/AD8AAIAAAAAAADwvwJYyjLEsa4KwAKGWtO84xT8vwAAAAAYAAAA/PwA/AACAAAAAAAA8L8CQYLix5i79b8Cp3nHKTqS/D8AAAAAGAAAAPz8APwAAgAAAAAAAPC/AintDb4wmfQ/AqjGSzeJQdg/AAAAABgAAAD8/AD8AAIAAAAAAADwvwIdyeU/pF8DwAJB8WPMXUsBwAAAAAAYAAAA/PwA/AACAAAAAAAA8L8CVg4tsp3vDcACRdjw9EpZBcAAAAAAGAAAAPz8APwAAgAAAAAAAPC/Aq36XG3F/hDAAonS3uALk/W/AAAAAAEXBAgBZQQAAAAAAAAAAAggAWUEAAAAAAAAAAAMAAFlBAAAAAAAAAAAEAQBZQQAAAAAAAAAABQoAWUICAAAAAAAAAAYAAFlBAAAAAAAAAAAHAESAWUIDAAAAAAAAAAgNAFlBAAAAAAAAAAAJAABZQgAAAAAAAAAACgMAWUEAAAAAAAAAAAsAREBZQQAAAAAAAAAADAEAWUIAAAAAAAAAAA0PAFlBBAAAAAAAAAAOAwBZQgMAAAAAAAAADwcAWUEAAAAAAAAAAABEBABZQQAAAAAAAAAAAERNAFlBAAAAAAAAAAAARI4AWUEAAAAAAAAAAABEwEQAWUEAAAAAAAAAAABFAEQAWUEAAAAAAAAAAABFQEQAWUEAAAAAAAAAAAUHAFlBAAAAAAAAAAACCwBZQQAAAAAAAAAAAAAAAA=</t>
        </r>
      </text>
    </comment>
    <comment ref="A74" authorId="0" shapeId="0" xr:uid="{3AFBD391-3D24-4A60-8D85-E1726D3B6E84}">
      <text>
        <r>
          <rPr>
            <sz val="9"/>
            <color indexed="81"/>
            <rFont val="MS P ゴシック"/>
            <family val="3"/>
            <charset val="128"/>
          </rPr>
          <t>Insight iXlW00001C0000074R0585476093S00000146P01452LAocjBAQBF1NjaVRlZ2ljLmRhdGEuTW9sZWN1bGUBbwF/ARJTY2lUZWdpYy5Nb2xlY3VsZQAAAQFkAv5qAQAAAAIAAgETIAD8APz8APwAAgAAAAAAAPC/AsWPMXctoQNAAj29UpYhjvc/AAAAABwABAD8/AD8AAIAAAAAAADwvwJJv30dOGf5PwJ5eqUsQxzvPwAAAAAgAAAA/PwA/AACAAAAAAAA8L8CDr4wmSoY5z8CPb1SliGO9z8AAAAAGAAAAPz8APwAAgAAAAAAAPC/Akm/fR04Z/k/AvOwUGuad5y/AAAAABgAAAD8/AD8AAIAAAAAAADwvwLFjzF3LaEDQAKIhVrTvOPgvwAAAAAkAAAA/PwA/AACAAAAAAAA8L8C5j+k376OCkAC87BQa5p3nL8AAAAAGAAAAPz8APwAAgAAAAAAAPC/AsWPMXctoQNAAsRCrWnecfi/AAAAABgAAAD8/AD8AAIAAAAAAADwvwJJv30dOGf5PwJiodY07zgAwAAAAAAYAAAA/PwA/AACAAAAAAAA8L8CDr4wmSoY5z8CxEKtad5x+L8AAAAAGAAAAPz8APwAAgAAAAAAAPC/Ag6+MJkqGOc/AoiFWtO84+C/AAAAACAAAAD8/AD8AAIAAAAAAADwvwLVCWgibHjCvwLzsFBrmnecvwAAAAAYAAAA/PwA/AACAAAAAAAA8L8CfGEyVTAq8L8CiIVa07zj4L8AAAAAGAAAAPz8APwAAgAAAAAAAPC/Ai9uowG8Bf6/AvOwUGuad5y/AAAAABgAAAD8/AD8AAIAAAAAAADwvwI4Z0Rpb/AFwAKIhVrTvOPgvwAAAAAYAAAA/PwA/AACAAAAAAAA8L8CWRe30QDeDMAC87BQa5p3nL8AAAAAHAAAAPz8APwAAgAAAAAAAPC/AlkXt9EA3gzAAnl6pSxDHO8/AAAAABgAAAD8/AD8AAIAAAAAAADwvwI4Z0Rpb/AFwAI9vVKWIY73PwAAAAAYAAAA/PwA/AACAAAAAAAA8L8CL26jAbwF/r8CeXqlLEMc7z8AAAAAAREAAAD8/AD8AAIAAAAAAADwvwImUwWjknoQQAIPC7WmecfRvwAAAAABEwAEAWUEAAAAAAAAAAAECAFlCAAAAAAAAAAABAwBZQQAAAAAAAAAAAwQAWUICAAAAAAAAAAQFAFlBAAAAAAAAAAAEBgBZQQAAAAAAAAAABgcAWUICAAAAAAAAAAcIAFlBAAAAAAAAAAAICQBZQgIAAAAAAAAACQMAWUEAAAAAAAAAAAkKAFlBAAAAAAAAAAAKCwBZQQAAAAAAAAAACwwAWUEAAAAAAAAAAAwNAFlBAAAAAAAAAAANDgBZQQAAAAAAAAAADg8AWUEAAAAAAAAAAA8ARABZQQAAAAAAAAAAAEQAREBZQQAAAAAAAAAAAERMAFlBAAAAAAAAAAAAAAAAA==</t>
        </r>
      </text>
    </comment>
    <comment ref="A75" authorId="0" shapeId="0" xr:uid="{5E3D6814-607C-4347-BC13-006E16B6FED5}">
      <text>
        <r>
          <rPr>
            <sz val="9"/>
            <color indexed="81"/>
            <rFont val="MS P ゴシック"/>
            <family val="3"/>
            <charset val="128"/>
          </rPr>
          <t>Insight iXlW00001C0000075R0585476093S00000148P01688LAocjBAQBF1NjaVRlZ2ljLmRhdGEuTW9sZWN1bGUBbwF/ARJTY2lUZWdpYy5Nb2xlY3VsZQAAAQFkAv5qAQAAAAIAAgEWGAAAAPz8APwAAgAAAAAAAPC/AuELk6mC0QXAAilcj8L1KMS/AAAAABwAAAD8/AD8AAIAAAAAAADwvwLCFyZTBaP7vwIpXI/C9SjEvwAAAAAgAAAA/PwA/AACAAAAAAAA8L8C4QuTqYLRCcACx0s3iUFg8L8AAAAAHAAAAPz8APwAAgAAAAAAAPC/Ah/0bFZ9LgpAAqH4MeauJcS/AAAAABgAAAD8/AD8AAIAAAAAAADwvwIf9GxWfS4GQAJbQj7o2azmPwAAAAAgAAAA/PwA/AACAAAAAAAA8L8C4QuTqYLRCcACW0I+6Nms5j8AAAAAGAAAAPz8APwAAgAAAAAAAPC/AsIXJlMFo/O/AnnpJjEIrOY/AAAAABgAAAD8/AD8AAIAAAAAAADwvwLCFyZTBaPzvwLHSzeJQWDwvwAAAAAYAAAA/PwA/AACAAAAAAAA8L8C8YXJVMHoEMACx0s3iUFg8L8AAAAAIAAAAPz8APwAAgAAAAAAAPC/Aj/o2az6XPw/AltCPujZrOY/AAAAABgAAAD8/AD8AAIAAAAAAADwvwIQejarPhcRQAKh+DHmriXEvwAAAAAYAAAA/PwA/AACAAAAAAAA8L8CEHo2qz4XE0ACW0I+6Nms5j8AAAAAGAAAAPz8APwAAgAAAAAAAPC/Ah/0bFZ9LgpAAm+BBMWPMfk/AAAAABwAAAD8/AD8AAIAAAAAAADwvwIQejarPhcXQAJbQj7o2azmPwAAAAAYAAAA/PwA/AACAAAAAAAA8L8CP+jZrPpc9D8CKVyPwvUoxL8AAAAAGAAAAPz8APwAAgAAAAAAAPC/Ag6+MJkqGM2/AnnpJjEIrOY/AAAAABgAAAD8/AD8AAIAAAAAAADwvwIOvjCZKhjNvwLHSzeJQWDwvwAAAAAYAAAA/PwA/AACAAAAAAAA8L8C+aBns+pz0T8CKVyPwvUoxL8AAAAAGAAAAPz8APwAAgAAAAAAAPC/AhB6Nqs+FxFAAm+BBMWPMfk/AAAAABgAAAD8/AD8AAIAAAAAAADwvwLxhclUwegQwALkpZvEIDAAwAAAAAAYAAAA/PwA/AACAAAAAAAA8L8C8YXJVMHoFMACx0s3iUFg8L8AAAAAGAAAAPz8APwAAgAAAAAAAPC/AvGFyVTB6BDAAqrx0k1iEJi/AAAAAAEXBAABZQQAAAAAAAAAAAgAAWUEAAAAAAAAAAAMEAFlCAwAAAAAAAAAECQBZQQAAAAAAAAAABQAAWUIAAAAAAAAAAAYBAFlBAAAAAAAAAAAHAQBZQQAAAAAAAAAACAIAWUEAAAAAAAAAAAkOAFlBAAAAAAAAAAAKAwBZQQAAAAAAAAAACwBEgFlBAAAAAAAAAAAMBABZQQAAAAAAAAAADQsAWUEAAAAAAAAAAA4AREBZQQAAAAAAAAAADwYAWUEAAAAAAAAAAABEBwBZQQAAAAAAAAAAAERARABZQQAAAAAAAAAAAESMAFlCAgAAAAAAAAAARMgAWUEAAAAAAAAAAABFCABZQQAAAAAAAAAAAEVIAFlBAAAAAAAAAAAARE8AWUEAAAAAAAAAAAsKAFlCAgAAAAAAAAAAAAAAA==</t>
        </r>
      </text>
    </comment>
    <comment ref="A76" authorId="0" shapeId="0" xr:uid="{80AABA8F-AFC3-4088-9BA0-F8B4DB2097E8}">
      <text>
        <r>
          <rPr>
            <sz val="9"/>
            <color indexed="81"/>
            <rFont val="MS P ゴシック"/>
            <family val="3"/>
            <charset val="128"/>
          </rPr>
          <t>Insight iXlW00001C0000076R0585476093S00000150P01176LAocjBAQBF1NjaVRlZ2ljLmRhdGEuTW9sZWN1bGUBbwF/ARJTY2lUZWdpYy5Nb2xlY3VsZQAAAQFkAv5qAQAAAAIAAjwYAAAA/PwA/AACAAAAAAAA8L8CDk+vlGWI8L8CNBE2PL1S5L8AAAAAHAAAAPz8APwAAgAAAAAAAPC/AsrDQq1p3t0/Aj29UpYhjs0/AAAAABgAAAD8/AD8AAIAAAAAAADwvwIbnl4pyxDhvwI9vVKWIY7NPwAAAAAYAAAA/PwA/AACAAAAAAAA8L8Ch6dXyjJEAMACNBE2PL1S5L8AAAAAGAAAAPz8APwAAgAAAAAAAPC/AuVhodY07+4/Aum3rwPnjPE/AAAAABgAAAD8/AD8AAIAAAAAAADwvwLlYaHWNO/uPwI0ETY8vVLkvwAAAAAcAAAA/PwA/AACAAAAAAAA8L8CG55eKcsQ4b8C3GgAb4EE+L8AAAAAGAAAAPz8APwAAgAAAAAAAPC/AvOwUGuad/8/Aum3rwPnjPE/AAAAABgAAAD8/AD8AAIAAAAAAADwvwLzsFBrmnf/PwI0ETY8vVLkvwAAAAAYAAAA/PwA/AACAAAAAAAA8L8CelioNc27A0ACPb1SliGOzT8AAAAAJAAAAPz8APwAAgAAAAAAAPC/AoenV8oyRATAAtxoAG+BBPi/AAAAABgAAAD8/AD8AAIAAAAAAADwvwIOT6+UZYjwvwJaZDvfT43xPwAAAAAgAAAA/PwA/AACAAAAAAAA8L8CelioNc27C0ACPb1SliGOzT8AAAAAGAAAAPz8APwAAgAAAAAAAPC/AoenV8oyRADAAlpkO99PjfE/AAAAABgAAAD8/AD8AAIAAAAAAADwvwKHp1fKMkQEwALFILByaJHNPwAAAAABEAQIAWUEAAAAAAAAAAAIAAFlBAAAAAAAAAAADAABZQgMAAAAAAAAABAEAWUEAAAAAAAAAAAUBAFlBAAAAAAAAAAAGAABZQQAAAAAAAAAABwQAWUEAAAAAAAAAAAgFAFlBAAAAAAAAAAAJCABZQQAAAAAAAAAACgMAWUEAAAAAAAAAAAsCAFlCAwAAAAAAAAAMCQBZQQAAAAAAAAAADQ4AWUICAAAAAAAAAA4DAFlBAAAAAAAAAAALDQBZQQAAAAAAAAAACQcAWUEAAAAAAAAAAAAAAAA</t>
        </r>
      </text>
    </comment>
    <comment ref="A77" authorId="0" shapeId="0" xr:uid="{A573AD53-D276-4E56-90EF-DECF341943A7}">
      <text>
        <r>
          <rPr>
            <sz val="9"/>
            <color indexed="81"/>
            <rFont val="MS P ゴシック"/>
            <family val="3"/>
            <charset val="128"/>
          </rPr>
          <t>Insight iXlW00001C0000077R0585476093S00000152P01324LAocjBAQBF1NjaVRlZ2ljLmRhdGEuTW9sZWN1bGUBbwF/ARJTY2lUZWdpYy5Nb2xlY3VsZQAAAQFkAv5qAQAAAAIAAgERHAAEAPz8APwAAgAAAAAAAPC/AmHD0ytlmQVAAlfsL7snD+8/AAAAABgAAAD8/AD8AAIAAAAAAADwvwKBJsKGp1f9PwKu2F92Tx7ePwAAAAAYAAAA/PwA/AACAAAAAAAA8L8CgSbChqdX/T8CqRPQRNjw4L8AAAAAGAAAAPz8APwAAgAAAAAAAPC/An+MuWsJ+e4/AtUJaCJsePC/AAAAABgAAAD8/AD8AAIAAAAAAADwvwLZX3ZPHha6PwKpE9BE2PDgvwAAAAAgAPwA/PwA/AACAAAAAAAA8L8Cu0kMAiuHDEACrthfdk8e3j8AAAAAIAAAAPz8APwAAgAAAAAAAPC/AmHD0ytlmQVAAiz2l92Th/8/AAAAACAAAAD8/AD8AAIAAAAAAADwvwKI9NvXgXPovwLVCWgibHjwvwAAAAAYAAAA/PwA/AACAAAAAAAA8L8Cf4y5awn57j8CV+wvuycP7z8AAAAAGAAAAPz8APwAAgAAAAAAAPC/Atlfdk8eFro/Aq7YX3ZPHt4/AAAAACAAAAD8/AD8AAIAAAAAAADwvwK94xQdyeUKwAKu2F92Tx7ePwAAAAAkAAAA/PwA/AACAAAAAAAA8L8Cf4y5awn57j8C6wQ0ETY8AMAAAAAAGAAAAPz8APwAAgAAAAAAAPC/AoZa07zjFPq/AqkT0ETY8OC/AAAAABgAAAD8/AD8AAIAAAAAAADwvwL3Bl+YTBX6vwKu2F92Tx7ePwAAAAAYAAAA/PwA/AACAAAAAAAA8L8CnDOitDf4A8AC1QloImx48L8AAAAAGAAAAPz8APwAAgAAAAAAAPC/Ar3jFB3J5QrAAqkT0ETY8OC/AAAAABgAAAD8/AD8AAIAAAAAAADwvwKcM6K0N/gDwAJX7C+7Jw/vPwAAAAABEgQAAWUEAAAAAAAAAAAIBAFlBAAAAAAAAAAADAgBZQgMAAAAAAAAABAkAWUIDAAAAAAAAAAUAAFlBAAAAAAAAAAAGAABZQgAAAAAAAAAABwQAWUEAAAAAAAAAAAgBAFlCAwAAAAAAAAAJCABZQQAAAAAAAAAACg8AWUEAAAAAAAAAAAsDAFlBAAAAAAAAAAAMBwBZQQAAAAAAAAAADQwAWUEAAAAAAAAAAA4MAFlBAAAAAAAAAAAPDgBZQQAAAAAAAAAAAEQNAFlBAAAAAAAAAAADBABZQQAAAAAAAAAAAEQKAFlBAAAAAAAAAAAAAAAAA==</t>
        </r>
      </text>
    </comment>
    <comment ref="A78" authorId="0" shapeId="0" xr:uid="{3AB81A28-7F19-4139-9EB5-331906E678E0}">
      <text>
        <r>
          <rPr>
            <sz val="9"/>
            <color indexed="81"/>
            <rFont val="MS P ゴシック"/>
            <family val="3"/>
            <charset val="128"/>
          </rPr>
          <t>Insight iXlW00001C0000078R0585476093S00000154P01396LAocjBAQBF1NjaVRlZ2ljLmRhdGEuTW9sZWN1bGUBbwF/ARJTY2lUZWdpYy5Nb2xlY3VsZQAAAQFkAv5qAQAAAAIAAgETIAD8APz8APwAAgAAAAAAAPC/AAIoDwu1pnnyvwAAAAAcAAQA/PwA/AACAAAAAAAA8L8BAigPC7WmefK/AAAAACAAAAD8/AD8AAIAAAAAAADwvwIAAAAAAAD4PwK1N/jCZCoAwAAAAAAYAAAA/PwA/AACAAAAAAAA8L8CAAAAAAAA+D8CmbuWkA960r8AAAAAGAAAAPz8APwAAgAAAAAAAPC/AgAAAAAAAARAAtUJaCJseNK/AAAAABgAAAD8/AD8AAIAAAAAAADwvwIAAAAAAAAIQAKZu5aQD3riPwAAAAAYAAAA/PwA/AACAAAAAAAA8L8CAAAAAAAABEACDr4wmSoY9z8AAAAAGAAAAPz8APwAAgAAAAAAAPC/AgAAAAAAAPg/Ap0Rpb3BF/c/AAAAACQAAAD8/AD8AAIAAAAAAADwvwECKA8LtaZ5AkAAAAAAGAAAAPz8APwAAgAAAAAAAPC/AQK3Yn/ZPXniPwAAAAAcAAAA/PwA/AACAAAAAAAA8L8AArdif9k9eeI/AAAAABgAAAD8/AD8AAIAAAAAAADwvwIAAAAAAADgvwKZu5aQD3rSvwAAAAAYAAAA/PwA/AACAAAAAAAA8L8CAAAAAAAA+L8CmbuWkA960r8AAAAAGAAAAPz8APwAAgAAAAAAAPC/AgAAAAAAAADAAigPC7WmefK/AAAAABgAAAD8/AD8AAIAAAAAAADwvwIAAAAAAAAIwAIoDwu1pnnyvwAAAAAcAAAA/PwA/AACAAAAAAAA8L8CAAAAAAAADMACmbuWkA960r8AAAAAGAAAAPz8APwAAgAAAAAAAPC/AgAAAAAAAAjAArdif9k9eeI/AAAAABgAAAD8/AD8AAIAAAAAAADwvwIAAAAAAAAAwAK3Yn/ZPXniPwAAAAABEQAAAPz8APwAAgAAAAAAAPC/AmdmZmZmZg5AAl1txf6ye8I/AAAAAAETAAQBZQQAAAAAAAAAAAQIAWUIAAAAAAAAAAAEDAFlBAAAAAAAAAAADBABZQgMAAAAAAAAABAUAWUEAAAAAAAAAAAUGAFlCAgAAAAAAAAAGBwBZQQAAAAAAAAAABwgAWUEAAAAAAAAAAAcJAFlCAgAAAAAAAAAJAwBZQQAAAAAAAAAACQoAWUEAAAAAAAAAAAoLAFlBAAAAAAAAAAALDABZQQAAAAAAAAAADA0AWUEAAAAAAAAAAA0OAFlBAAAAAAAAAAAODwBZQQAAAAAAAAAADwBEAFlBAAAAAAAAAAAARABEQFlBAAAAAAAAAAAAREwAWUEAAAAAAAAAAAAAAAA</t>
        </r>
      </text>
    </comment>
    <comment ref="A79" authorId="0" shapeId="0" xr:uid="{215B7030-373C-4ABD-AB92-07D06CEE00F6}">
      <text>
        <r>
          <rPr>
            <sz val="9"/>
            <color indexed="81"/>
            <rFont val="MS P ゴシック"/>
            <family val="3"/>
            <charset val="128"/>
          </rPr>
          <t>Insight iXlW00001C0000079R0585476093S00000156P01540LAocjBAQBF1NjaVRlZ2ljLmRhdGEuTW9sZWN1bGUBbwF/ARJTY2lUZWdpYy5Nb2xlY3VsZQAAAQFkAv5qAQAAAAIBAgEUGAAAAPz8APwAAgAAAAAAAPC/As/3U+Olm/g/Au0NvjCZKng/AAAAABwAAAD8/AD8AAIAAAAAAADwvwKHFtnO91PnPwJXW7G/7J7ivwAAAAAgAAAA/PwA/AACAAAAAAAA8L8CIv32deCcA0ACgNk9eVio2b8AAAAAGAAAAPz8APwAAgAAAAAAAPC/AtEi2/l+asy/AoIExY8xd9G/AAAAABgAAAD8/AD8AAIAAAAAAADwvwIKaCJseHoCwAJRa5p3nKLLvwAAAAAgAAAA/PwA/AACAAAAAAAA8L8CFNBE2PD0/L8CrK3YX3ZP8b8AAAAAGAAAAPz8APwAAgAAAAAAAPC/Ampv8IXJVOc/Aqyt2F92T/m/AAAAACAAAAD8/AD8AAIAAAAAAADwvwJWDi2yne/2PwLEsS5uowHwPwAAAAAYDAAA/PwA/AACAAAAAAAA8L8CKKCJsOHp6b8CrK3YX3ZP8b8AAAAAGAAAAPz8APwAAgAAAAAAAPC/AhTQRNjw9Py/Aq8l5IOezeQ/AAAAABgAAAD8/AD8AAIAAAAAAADwvwJos+pztRUKQALOqs/VVuzHPwAAAAAYAAAA/PwA/AACAAAAAAAA8L8C0SLb+X5qzL8CqMZLN4lB/r8AAAAAHAAAAPz8APwAAgAAAAAAAPC/AiigibDh6em/Aq8l5IOezeQ/AAAAABgAAAD8/AD8AAIAAAAAAADwvwIKaCJseHoKwAJRa5p3nKLLvwAAAAAYAAAA/PwA/AACAAAAAAAA8L8Ci/1l9+RhBUACysNCrWne7z8AAAAAGAAAAPz8APwAAgAAAAAAAPC/Atc07zhFRxBAAifChqdXyug/AAAAABgAAAD8/AD8AAIAAAAAAADwvwJFaW/whckOQAJj7lpCPujjvwAAAAAYAAAA/PwA/AACAAAAAAAA8L8CCmgibHh6AsACGXPXEvJB+D8AAAAAGAAAAPz8APwAAgAAAAAAAPC/AgpoImx4eg7AAq8l5IOezeQ/AAAAABgAAAD8/AD8AAIAAAAAAADwvwIKaCJseHoKwAIZc9cS8kH4PwAAAAABFQQAAWUEAAAAAAAAAAAIAAFlBAAAAAAAAAAADAQBZQQAAAAAAAAAABAUAWUEAAAAAAAAAAAgFAFlBBQAAAAAAAAAGAQBZQQAAAAAAAAAABwAAWUIAAAAAAAAAAAgDAFlBAAAAAAAAAAAJBABZQQAAAAAAAAAACgIAWUEAAAAAAAAAAAsGAFlBAAAAAAAAAAAMCQBZQQAAAAAAAAAADQQAWUIDAAAAAAAAAA4KAFlBAAAAAAAAAAAPCgBZQQAAAAAAAAAAAEQKAFlBAAAAAAAAAAAAREkAWUICAAAAAAAAAABEjQBZQQAAAAAAAAAAAETARIBZQgIAAAAAAAAACwgAWUEAAAAAAAAAAABEQETAWUEAAAAAAAAAAAAAAAA</t>
        </r>
      </text>
    </comment>
    <comment ref="A80" authorId="0" shapeId="0" xr:uid="{0734CE25-3708-452E-B720-A3FF6B72D936}">
      <text>
        <r>
          <rPr>
            <sz val="9"/>
            <color indexed="81"/>
            <rFont val="MS P ゴシック"/>
            <family val="3"/>
            <charset val="128"/>
          </rPr>
          <t>Insight iXlW00001C0000080R0585476093S00000158P01904LAocjBAQBF1NjaVRlZ2ljLmRhdGEuTW9sZWN1bGUBbwF/ARJTY2lUZWdpYy5Nb2xlY3VsZQAAAQFkAv5qAQAAAAIAAgEZHAAEAPz8APwAAgAAAAAAAPC/AqRwPQrXowRAApJc/kP67e2/AAAAABgAAAD8/AD8AAIAAAAAAADwvwKkcD0K16MIQAJ24JwRpb2xvwAAAAAYAAAA/PwA/AACAAAAAAAA8L8CXI/C9ShcB8ACduCcEaW9sb8AAAAAGAAAAPz8APwAAgAAAAAAAPC/AqRwPQrXowRAAnUkl/+Qfuk/AAAAABwAAAD8/AD8AAIAAAAAAADwvwK5HoXrUbj+vwJ24JwRpb2xvwAAAAAgAAAA/PwA/AACAAAAAAAA8L8CSOF6FK5H+T8CdSSX/5B+6T8AAAAAIAAAAPz8APwAAgAAAAAAAPC/Al2PwvUoXAvAApJc/kP67e2/AAAAACAA/AD8/AD8AAIAAAAAAADwvwJI4XoUrkf5PwKSXP5D+u3tvwAAAAAgAAAA/PwA/AACAAAAAAAA8L8CpHA9CtejCEACi47k8h/S/L8AAAAAGAAAAPz8APwAAgAAAAAAAPC/AqRwPQrXowhAAnzysFBrmvo/AAAAACAAAAD8/AD8AAIAAAAAAADwvwJdj8L1KFwLwAJ1JJf/kH7pPwAAAAAYAAAA/PwA/AACAAAAAAAA8L8CuR6F61G49r8CdSSX/5B+6T8AAAAAGAAAAPz8APwAAgAAAAAAAPC/ArkehetRuPa/ApJc/kP67e2/AAAAABgAAAD8/AD8AAIAAAAAAADwvwKuR+F6FK4RwAKSXP5D+u3tvwAAAAAYAAAA/PwA/AACAAAAAAAA8L8CSOF6FK5H8T8CduCcEaW9sb8AAAAAGAAAAPz8APwAAgAAAAAAAPC/AlK4HoXrURBAAnbgnBGlvbG/AAAAACQAAAD8/AD8AAIAAAAAAADwvwKkcD0K16MEQAKX/5B++zoEQAAAAAAYAAAA/PwA/AACAAAAAAAA8L8C4noUrkfh2r8CdSSX/5B+6T8AAAAAGAAAAPz8APwAAgAAAAAAAPC/AuJ6FK5H4dq/ApJc/kP67e2/AAAAABgAAAD8/AD8AAIAAAAAAADwvwJ7FK5H4Xq0PwJ24JwRpb2xvwAAAAAYAAAA/PwA/AACAAAAAAAA8L8CUrgehetREkACdSSX/5B+6T8AAAAAGAAAAPz8APwAAgAAAAAAAPC/AlK4HoXrURBAAnzysFBrmvo/AAAAABgAAAD8/AD8AAIAAAAAAADwvwKuR+F6FK4RwAJJLv8h/fb+vwAAAAAYAAAA/PwA/AACAAAAAAAA8L8CrkfhehSuFcACklz+Q/rt7b8AAAAAGAAAAPz8APwAAgAAAAAAAPC/Aq5H4XoUrhHAAnIbDeAtkLA/AAAAAAEaBAABZQQAAAAAAAAAAAgQAWUEAAAAAAAAAAAMBAFlCAgAAAAAAAAAEDABZQQAAAAAAAAAABQMAWUEAAAAAAAAAAAYCAFlBAAAAAAAAAAAHAABZQQAAAAAAAAAACAAAWUIAAAAAAAAAAAkDAFlBAAAAAAAAAAAKAgBZQgAAAAAAAAAACwBEQFlBAAAAAAAAAAAMAESAWUEAAAAAAAAAAA0GAFlBAAAAAAAAAAAOBQBZQQAAAAAAAAAADwEAWUEAAAAAAAAAAABECQBZQQAAAAAAAAAAAERARMBZQQAAAAAAAAAAAESARMBZQQAAAAAAAAAAAETOAFlBAAAAAAAAAAAARQ8AWUICAAAAAAAAAABFQEUAWUEAAAAAAAAAAABFjQBZQQAAAAAAAAAAAEXNAFlBAAAAAAAAAAAARg0AWUEAAAAAAAAAAABFSQBZQgIAAAAAAAAABAsAWUEAAAAAAAAAAAAAAAA</t>
        </r>
      </text>
    </comment>
    <comment ref="A81" authorId="0" shapeId="0" xr:uid="{B6440C66-9D42-4BA2-B13E-47FFE103E8B6}">
      <text>
        <r>
          <rPr>
            <sz val="9"/>
            <color indexed="81"/>
            <rFont val="MS P ゴシック"/>
            <family val="3"/>
            <charset val="128"/>
          </rPr>
          <t>Insight iXlW00001C0000081R0585476093S00000160P01104LAocjBAQBF1NjaVRlZ2ljLmRhdGEuTW9sZWN1bGUBbwF/ARJTY2lUZWdpYy5Nb2xlY3VsZQAAAQFkAv5qAQAAAAIAAjgYAAAA/PwA/AACAAAAAAAA8L8CcF8HzhlR4r8C9P3UeOkm1b8AAAAAIAAAAPz8APwAAgAAAAAAAPC/AifChqdXytI/Avp+arx0k+q/AAAAABgAAAD8/AD8AAIAAAAAAADwvwL6D+m3rwP3vwIYJlMFo5LqvwAAAAAYAAAA/PwA/AACAAAAAAAA8L8CcF8HzhlR4r8CBoGVQ4ts5T8AAAAAHAAAAPz8APwAAgAAAAAAAPC/AvoP6bevA/e/AgyTqYJRSf2/AAAAACQAAAD8/AD8AAIAAAAAAADwvwInwoanV8rSPwKDwMqhRbbyPwAAAAAYAAAA/PwA/AACAAAAAAAA8L8CyxDHuriN8j8C9P3UeOkm1b8AAAAAGAAAAPz8APwAAgAAAAAAAPC/AlYOLbKdbwLAAgaBlUOLbOU/AAAAABgAAAD8/AD8AAIAAAAAAADwvwIeOGdEaW8CwAIwTKYKRiXVvwAAAAAYAAAA/PwA/AACAAAAAAAA8L8C+g/pt68D978Cg8DKoUW28j8AAAAAGAAAAPz8APwAAgAAAAAAAPC/ArWmeccpOvQ/AlXBqKROQOU/AAAAABgAAAD8/AD8AAIAAAAAAADwvwKgibDh6ZUAQAL0jlN0JJfnvwAAAAAYAAAA/PwA/AACAAAAAAAA8L8CAJF++zrwBUAC7Q2+MJkqeD8AAAAAGAAAAPz8APwAAgAAAAAAAPC/AjhnRGlv8AFAAp88LNSa5us/AAAAADwEAAFlBAAAAAAAAAAACAABZQgIAAAAAAAAAAwAAWUEAAAAAAAAAAAQCAFlBAAAAAAAAAAAFAwBZQQAAAAAAAAAABgEAWUEAAAAAAAAAAAcJAFlBAAAAAAAAAAAIAgBZQQAAAAAAAAAACQMAWUICAAAAAAAAAAoGAFlBAAAAAAAAAAALBgBZQQAAAAAAAAAADAsAWUEAAAAAAAAAAA0KAFlBAAAAAAAAAAAHCABZQgIAAAAAAAAADA0AWUEAAAAAAAAAAAAAAAA</t>
        </r>
      </text>
    </comment>
    <comment ref="A82" authorId="0" shapeId="0" xr:uid="{F14DF84B-D0ED-44A9-A764-FE232B6E5DDC}">
      <text>
        <r>
          <rPr>
            <sz val="9"/>
            <color indexed="81"/>
            <rFont val="MS P ゴシック"/>
            <family val="3"/>
            <charset val="128"/>
          </rPr>
          <t>Insight iXlW00001C0000082R0585476093S00000162P01016LAocjBAQBF1NjaVRlZ2ljLmRhdGEuTW9sZWN1bGUBbwF/ARJTY2lUZWdpYy5Nb2xlY3VsZQAAAQFkAv5qAQAAAAIAAjQYAAAA/PwA/AACAAAAAAAA8L8CuvyH9NvX3b8Cg8DKoUW2o78AAAAAIAAAAPz8APwAAgAAAAAAAPC/Ak2EDU+vlNk/AgisHFpkO+G/AAAAABgAAAD8/AD8AAIAAAAAAADwvwJwXwfOGVH1vwImUwWjkjrhvwAAAAAYAAAA/PwA/AACAAAAAAAA8L8CuvyH9NvX3b8C+FPjpZvE7j8AAAAAGAAAAPz8APwAAgAAAAAAAPC/AlXBqKROQPQ/AoPAyqFFtqO/AAAAABwAAAD8/AD8AAIAAAAAAADwvwJwXwfOGVH1vwKTqYJRSZ34vwAAAAAkAAAA/PwA/AACAAAAAAAA8L8CTYQNT6+U2T8C/Knx0k1i9z8AAAAAGAAAAPz8APwAAgAAAAAAAPC/AhE2PL1SlgHAAvhT46WbxO4/AAAAABgAAAD8/AD8AAIAAAAAAADwvwIRNjy9UpYBwAJiMlUwKqmjvwAAAAAYAAAA/PwA/AACAAAAAAAA8L8C4QuTqYJR9b8C/Knx0k1i9z8AAAAAGAAAAPz8APwAAgAAAAAAAPC/AgTnjCjtDQFAAgisHFpkO+G/AAAAABgAAAD8/AD8AAIAAAAAAADwvwIll/+QfvsHQAKDwMqhRbajvwAAAAAYAAAA/PwA/AACAAAAAAAA8L8CBOeMKO0NAUACBFYOLbKd+L8AAAAANAQAAWUEAAAAAAAAAAAIAAFlCAgAAAAAAAAADAABZQQAAAAAAAAAABAEAWUEAAAAAAAAAAAUCAFlBAAAAAAAAAAAGAwBZQQAAAAAAAAAABwkAWUEAAAAAAAAAAAgCAFlBAAAAAAAAAAAJAwBZQgIAAAAAAAAACgQAWUEAAAAAAAAAAAsKAFlBAAAAAAAAAAAMCgBZQQAAAAAAAAAABwgAWUICAAAAAAAAAAAAAAA</t>
        </r>
      </text>
    </comment>
    <comment ref="A83" authorId="0" shapeId="0" xr:uid="{7D6DA2AE-8C9E-41B9-86E0-B7B493BBE755}">
      <text>
        <r>
          <rPr>
            <sz val="9"/>
            <color indexed="81"/>
            <rFont val="MS P ゴシック"/>
            <family val="3"/>
            <charset val="128"/>
          </rPr>
          <t>Insight iXlW00001C0000083R0585476093S00000164P01840LAocjBAQBF1NjaVRlZ2ljLmRhdGEuTW9sZWN1bGUBbwF/ARJTY2lUZWdpYy5Nb2xlY3VsZQAAAQFkAv5qAQAAAAIAAgEZHAAEAPz8APwAAgAAAAAAAPC/Aq5H4XoUrgNAAoPAyqFFtuu/AAAAABgAAAD8/AD8AAIAAAAAAADwvwKuR+F6FK4HQAAAAAAAGAAAAPz8APwAAgAAAAAAAPC/AlK4HoXrUQjAAAAAAAAcAAAA/PwA/AACAAAAAAAA8L8CUrgehetRAMAAAAAAABgAAAD8/AD8AAIAAAAAAADwvwKvR+F6FK4PQAAAAAAAIAAAAPz8APwAAgAAAAAAAPC/AlK4HoXrUQzAAoPAyqFFtuu/AAAAABgAAAD8/AD8AAIAAAAAAADwvwKuR+F6FK4DQAKDwMqhRbbrPwAAAAAgAPwA/PwA/AACAAAAAAAA8L8CXI/C9Shc9z8Cg8DKoUW2678AAAAAIAAAAPz8APwAAgAAAAAAAPC/Aq5H4XoUrgdAAoPAyqFFtvu/AAAAACAAAAD8/AD8AAIAAAAAAADwvwJSuB6F61EMwAKDwMqhRbbrPwAAAAAgAAAA/PwA/AACAAAAAAAA8L8CXI/C9Shc9z8Cg8DKoUW26z8AAAAAGAAAAPz8APwAAgAAAAAAAPC/AqRwPQrXo/i/AoPAyqFFtuu/AAAAABgAAAD8/AD8AAIAAAAAAADwvwKkcD0K16P4vwKDwMqhRbbrPwAAAAAYAAAA/PwA/AACAAAAAAAA8L8CKVyPwvUoEsACg8DKoUW2678AAAAAGAAAAPz8APwAAgAAAAAAAPC/Aq5H4XoUrgdAAoPAyqFFtvs/AAAAABgAAAD8/AD8AAIAAAAAAADwvwLXo3A9CtcRQAJmGeJYF7frPwAAAAAYAAAA/PwA/AACAAAAAAAA8L8CuR6F61G47j8AAAAAABgAAAD8/AD8AAIAAAAAAADwvwKvR+F6FK4PQAL0bFZ9rrb7PwAAAAAYAAAA/PwA/AACAAAAAAAA8L8CSOF6FK5H4b8Cg8DKoUW26z8AAAAAGAAAAPz8APwAAgAAAAAAAPC/AkjhehSuR+G/AoPAyqFFtuu/AAAAACQAAAD8/AD8AAIAAAAAAADwvwLXo3A9CtcVQAJmGeJYF7frPwAAAAAYAAAA/PwA/AACAAAAAAAA8L8CexSuR+F6pL8AAAAAABgAAAD8/AD8AAIAAAAAAADwvwIpXI/C9SgSwAJCYOXQItv9vwAAAAAYAAAA/PwA/AACAAAAAAAA8L8CKVyPwvUoFsACg8DKoUW2678AAAAAGAAAAPz8APwAAgAAAAAAAPC/Ailcj8L1KBLAAvT91HjpJsE/AAAAAAEaBAABZQQAAAAAAAAAAAgMAWUEAAAAAAAAAAAMMAFlBAAAAAAAAAAAEAQBZQQAAAAAAAAAABQIAWUEAAAAAAAAAAAYBAFlCAgAAAAAAAAAHAABZQQAAAAAAAAAACAAAWUIAAAAAAAAAAAkCAFlCAAAAAAAAAAAKBgBZQQAAAAAAAAAACwBEwFlBAAAAAAAAAAAMAESAWUEAAAAAAAAAAA0FAFlBAAAAAAAAAAAOBgBZQQAAAAAAAAAADwQAWUICAAAAAAAAAABECgBZQQAAAAAAAAAAAERPAFlBAAAAAAAAAAAARIBFQFlBAAAAAAAAAAAARMBFQFlBAAAAAAAAAAAARQ8AWUEAAAAAAAAAAABFQEQAWUEAAAAAAAAAAABFjQBZQQAAAAAAAAAAAEXNAFlBAAAAAAAAAAAARg0AWUEAAAAAAAAAAABETgBZQgIAAAAAAAAAAwsAWUEAAAAAAAAAAAAAAAA</t>
        </r>
      </text>
    </comment>
    <comment ref="A84" authorId="0" shapeId="0" xr:uid="{0948B845-DB01-4F1B-BF58-8156886E9A2C}">
      <text>
        <r>
          <rPr>
            <sz val="9"/>
            <color indexed="81"/>
            <rFont val="MS P ゴシック"/>
            <family val="3"/>
            <charset val="128"/>
          </rPr>
          <t>Insight iXlW00001C0000084R0585476093S00000166P01612LAocjBAQBF1NjaVRlZ2ljLmRhdGEuTW9sZWN1bGUBbwF/ARJTY2lUZWdpYy5Nb2xlY3VsZQAAAQFkAv5qAQAAAAIAAgEVGAAAAPz8APwAAgAAAAAAAPC/AnnpJjEIrP+/AhpR2ht8Yeg/AAAAABwAAAD8/AD8AAIAAAAAAADwvwI4iUFg5dDxvwI0orQ3+MLQPwAAAAAYAAAA/PwA/AACAAAAAAAA8L8CINJvXwfOAkAC564l5IOe578AAAAAIAAAAPz8APwAAgAAAAAAAPC/At0kBoGVwwbAAjSitDf4wtA/AAAAACAAAAD8/AD8AAIAAAAAAADwvwL/Q/rt68D3PwJz1xLyQc/zvwAAAAAcAAAA/PwA/AACAAAAAAAA8L8CINJvXwfOAkACNKK0N/jC0D8AAAAAIAAAAPz8APwAAgAAAAAAAPC/AnnpJjEIrP+/Ao0o7Q2+MPw/AAAAABgAAAD8/AD8AAIAAAAAAADwvwLG3LWEfNDxvwLnriXkg57nvwAAAAAYAAAA/PwA/AACAAAAAAAA8L8CJuSDns2qz78CGlHaG3xh6D8AAAAAGAAAAPz8APwAAgAAAAAAAPC/AnpYqDXNuwlAAnPXEvJBz/O/AAAAABgAAAD8/AD8AAIAAAAAAADwvwL+1HjpJrENwAIaUdobfGHoPwAAAAAYAAAA/PwA/AACAAAAAAAA8L8CescpOpLL4z8CNKK0N/jC0D8AAAAAGAAAAPz8APwAAgAAAAAAAPC/Aibkg57Nqs+/AnPXEvJBz/O/AAAAABgAAAD8/AD8AAIAAAAAAADwvwJ6xyk6ksvjPwLnriXkg57nvwAAAAAcAAAA/PwA/AACAAAAAAAA8L8CelioNc27CUACumsJ+aDnAcAAAAAAGAAAAPz8APwAAgAAAAAAAPC/AnpYqDXNuwlAAhpR2ht8Yeg/AAAAABgAAAD8/AD8AAIAAAAAAADwvwJNhA1Pr1QQQALnriXkg57nvwAAAAAYAAAA/PwA/AACAAAAAAAA8L8Cf2q8dJPYEMACSnuDL0ymur8AAAAAGAAAAPz8APwAAgAAAAAAAPC/Aqyt2F92TxLAAo0o7Q2+MPQ/AAAAABgAAAD8/AD8AAIAAAAAAADwvwL+1HjpJrEJwALPiNLe4Av6PwAAAAAYAAAA/PwA/AACAAAAAAAA8L8CTYQNT69UEEACNKK0N/jC0D8AAAAAARYEAAFlBAAAAAAAAAAACBABZQQAAAAAAAAAAAwAAWUEAAAAAAAAAAAQNAFlBAAAAAAAAAAAFAgBZQQAAAAAAAAAABgAAWUIAAAAAAAAAAAcBAFlBAAAAAAAAAAAIAQBZQQAAAAAAAAAACQIAWUICAAAAAAAAAAoDAFlBAAAAAAAAAAALCABZQQAAAAAAAAAADAcAWUEAAAAAAAAAAA0LAFlBAAAAAAAAAAAOCQBZQQAAAAAAAAAADwUAWUICAAAAAAAAAABECQBZQQAAAAAAAAAAAERKAFlBAAAAAAAAAAAARIoAWUEAAAAAAAAAAABEygBZQQAAAAAAAAAAAEUARABZQgIAAAAAAAAADQwAWUEAAAAAAAAAAABFDwBZQQAAAAAAAAAAAAAAAA=</t>
        </r>
      </text>
    </comment>
    <comment ref="A85" authorId="0" shapeId="0" xr:uid="{26155736-B0B8-4E2F-8CE1-16C85F877470}">
      <text>
        <r>
          <rPr>
            <sz val="9"/>
            <color indexed="81"/>
            <rFont val="MS P ゴシック"/>
            <family val="3"/>
            <charset val="128"/>
          </rPr>
          <t>Insight iXlW00001C0000085R0585476093S00000168P01376LAocjBAQBF1NjaVRlZ2ljLmRhdGEuTW9sZWN1bGUBbwF/ARJTY2lUZWdpYy5Nb2xlY3VsZQAAAQFkAv5qAQAAAAIAAgESIAD8APz8APwAAgAAAAAAAPC/ArtJDAIrhwxAAq7YX3ZPHt4/AAAAABwABAD8/AD8AAIAAAAAAADwvwJhw9MrZZkFQAJX7C+7Jw/vPwAAAAAgAAAA/PwA/AACAAAAAAAA8L8CYcPTK2WZBUACLPaX3ZOH/z8AAAAAGAAAAPz8APwAAgAAAAAAAPC/AoEmwoanV/0/Aq7YX3ZPHt4/AAAAABgAAAD8/AD8AAIAAAAAAADwvwJ/jLlrCfnuPwJX7C+7Jw/vPwAAAAAYAAAA/PwA/AACAAAAAAAA8L8C2V92Tx4Wuj8Crthfdk8e3j8AAAAAGAAAAPz8APwAAgAAAAAAAPC/Atlfdk8eFro/AqkT0ETY8OC/AAAAACAAAAD8/AD8AAIAAAAAAADwvwKI9NvXgXPovwLVCWgibHjwvwAAAAAYAAAA/PwA/AACAAAAAAAA8L8ChlrTvOMU+r8CqRPQRNjw4L8AAAAAGAAAAPz8APwAAgAAAAAAAPC/ApwzorQ3+APAAtUJaCJsePC/AAAAABgAAAD8/AD8AAIAAAAAAADwvwK94xQdyeUKwAKpE9BE2PDgvwAAAAAcAAAA/PwA/AACAAAAAAAA8L8CveMUHcnlCsACrthfdk8e3j8AAAAAGAAAAPz8APwAAgAAAAAAAPC/ApwzorQ3+APAAlfsL7snD+8/AAAAABgAAAD8/AD8AAIAAAAAAADwvwL3Bl+YTBX6vwKu2F92Tx7ePwAAAAAYAAAA/PwA/AACAAAAAAAA8L8Cf4y5awn57j8C1QloImx48L8AAAAAJAAAAPz8APwAAgAAAAAAAPC/An+MuWsJ+e4/AusENBE2PADAAAAAABgAAAD8/AD8AAIAAAAAAADwvwKBJsKGp1f9PwKpE9BE2PDgvwAAAAABEQAAAPz8APwAAgAAAAAAAPC/AhFYObTIdhFAAiZ1ApoIG56/AAAAAAESAAQBZQQAAAAAAAAAAAQIAWUIAAAAAAAAAAAEDAFlBAAAAAAAAAAADBABZQgMAAAAAAAAABAUAWUEAAAAAAAAAAAUGAFlCAwAAAAAAAAAGBwBZQQAAAAAAAAAABwgAWUEAAAAAAAAAAAgJAFlBAAAAAAAAAAAJCgBZQQAAAAAAAAAACgsAWUEAAAAAAAAAAAsMAFlBAAAAAAAAAAAMDQBZQQAAAAAAAAAADQgAWUEAAAAAAAAAAAYOAFlBAAAAAAAAAAAODwBZQQAAAAAAAAAADgBEAFlCAgAAAAAAAAAARAMAWUEAAAAAAAAAAAAAAAA</t>
        </r>
      </text>
    </comment>
    <comment ref="A86" authorId="0" shapeId="0" xr:uid="{F24725CB-5414-4D24-87BC-D1B8A14F6D3F}">
      <text>
        <r>
          <rPr>
            <sz val="9"/>
            <color indexed="81"/>
            <rFont val="MS P ゴシック"/>
            <family val="3"/>
            <charset val="128"/>
          </rPr>
          <t>Insight iXlW00001C0000086R0585476093S00000170P01176LAocjBAQBF1NjaVRlZ2ljLmRhdGEuTW9sZWN1bGUBbwF/ARJTY2lUZWdpYy5Nb2xlY3VsZQAAAQFkAv5qAQAAAAIAAjwYAAAA/PwA/AACAAAAAAAA8L8CTRWMSuoE6D8CZF3cRgN4178AAAAAIAAAAPz8APwAAgAAAAAAAPC/AsUgsHJokb2/ArIubqMBvOu/AAAAABgAAAD8/AD8AAIAAAAAAADwvwJNFYxK6gToPwJP0ZFc/kPkPwAAAAAYAAAA/PwA/AACAAAAAAAA8L8C6Gor9pfd+T8C0NVW7C+7678AAAAAHAAAAPz8APwAAgAAAAAAAPC/AsUgsHJokb2/AqfoSC7/IfI/AAAAACQAAAD8/AD8AAIAAAAAAADwvwLoaiv2l935PwLoaiv2l939vwAAAAAYAAAA/PwA/AACAAAAAAAA8L8CnMQgsHJo778CZF3cRgN4178AAAAAGAAAAPz8APwAAgAAAAAAAPC/ApVliGNd3ANAAk/RkVz+Q+Q/AAAAABgAAAD8/AD8AAIAAAAAAADwvwLoaiv2l935PwKn6Egu/yHyPwAAAAAYAAAA/PwA/AACAAAAAAAA8L8ClWWIY13cA0ACoKut2F92178AAAAAGAAAAPz8APwAAgAAAAAAAPC/ApzEILByaO+/Ak/RkVz+Q+Q/AAAAABgAAAD8/AD8AAIAAAAAAADwvwKQwvUoXI/9vwLQ1VbsL7vrvwAAAAAYAAAA/PwA/AACAAAAAAAA8L8CaZHtfD+1BcACoKut2F92178AAAAAGAAAAPz8APwAAgAAAAAAAPC/ApDC9Shcj/2/AqfoSC7/IfI/AAAAABgAAAD8/AD8AAIAAAAAAADwvwJpke18P7UFwAJP0ZFc/kPkPwAAAAABEAQAAWUEAAAAAAAAAAAIAAFlCAgAAAAAAAAADAABZQQAAAAAAAAAABAIAWUEAAAAAAAAAAAUDAFlBAAAAAAAAAAAGAQBZQQAAAAAAAAAABwkAWUEAAAAAAAAAAAgCAFlBAAAAAAAAAAAJAwBZQgIAAAAAAAAACgYAWUEAAAAAAAAAAAsGAFlBAAAAAAAAAAAMCwBZQQAAAAAAAAAADQoAWUEAAAAAAAAAAA4MAFlBAAAAAAAAAAAIBwBZQgIAAAAAAAAADg0AWUEAAAAAAAAAAAAAAAA</t>
        </r>
      </text>
    </comment>
    <comment ref="A87" authorId="0" shapeId="0" xr:uid="{626BBF0F-6E20-4C02-B362-CD93314A4851}">
      <text>
        <r>
          <rPr>
            <sz val="9"/>
            <color indexed="81"/>
            <rFont val="MS P ゴシック"/>
            <family val="3"/>
            <charset val="128"/>
          </rPr>
          <t>Insight iXlW00001C0000087R0585476093S00000172P01176LAocjBAQBF1NjaVRlZ2ljLmRhdGEuTW9sZWN1bGUBbwF/ARJTY2lUZWdpYy5Nb2xlY3VsZQAAAQFkAv5qAQAAAAIAAjwYAAAA/PwA/AACAAAAAAAA8L8C8x/Sb18H7r8Cg1FJnYAmwj8AAAAAIAAAAPz8APwAAgAAAAAAAPC/An/7OnDOiLK/Aj9XW7G/7Na/AAAAABgAAAD8/AD8AAIAAAAAAADwvwI7cM6I0t78vwI/V1uxv+zWvwAAAAAYAAAA/PwA/AACAAAAAAAA8L8C8x/Sb18H7r8CMSqpE9BE8j8AAAAAIAAAAPz8APwAAgAAAAAAAPC/AqCJsOHplQRAAqJFtvP91Kg/AAAAABgAAAD8/AD8AAIAAAAAAADwvwL2udqK/WXpPwKDUUmdgCbCPwAAAAAcAAAA/PwA/AACAAAAAAAA8L8CO3DOiNLe/L8C0NVW7C+79b8AAAAAJAAAAPz8APwAAgAAAAAAAPC/An/7OnDOiLK/AjEqqRPQRPo/AAAAABgAAAD8/AD8AAIAAAAAAADwvwI9vVKWIY76PwI/V1uxv+zWvwAAAAAYAAAA/PwA/AACAAAAAAAA8L8CP+jZrPpcBcACMSqpE9BE8j8AAAAAGAAAAPz8APwAAgAAAAAAAPC/Aj/o2az6XAXAAoNRSZ2AJsI/AAAAABgAAAD8/AD8AAIAAAAAAADwvwI7cM6I0t78vwIxKqkT0ET6PwAAAAAYAAAA/PwA/AACAAAAAAAA8L8COGdEaW/wCUACtaZ5xyk65r8AAAAAGAAAAPz8APwAAgAAAAAAAPC/ArWmeccpOvw/Avd14JwRpfW/AAAAABgAAAD8/AD8AAIAAAAAAADwvwI4Z0Rpb/AFQAKcM6K0N/j4vwAAAAABEAQAAWUEAAAAAAAAAAAIAAFlCAgAAAAAAAAADAABZQQAAAAAAAAAABAgAWUEAAAAAAAAAAAUBAFlBAAAAAAAAAAAGAgBZQQAAAAAAAAAABwMAWUEAAAAAAAAAAAgFAFlBAAAAAAAAAAAJCwBZQQAAAAAAAAAACgIAWUEAAAAAAAAAAAsDAFlCAgAAAAAAAAAMBABZQQAAAAAAAAAADQgAWUEAAAAAAAAAAA4NAFlBAAAAAAAAAAAKCQBZQgIAAAAAAAAADA4AWUEAAAAAAAAAAAAAAAA</t>
        </r>
      </text>
    </comment>
    <comment ref="A88" authorId="0" shapeId="0" xr:uid="{A02D930A-37A5-492A-926A-89CEDE1A1D76}">
      <text>
        <r>
          <rPr>
            <sz val="9"/>
            <color indexed="81"/>
            <rFont val="MS P ゴシック"/>
            <family val="3"/>
            <charset val="128"/>
          </rPr>
          <t>Insight iXlW00001C0000088R0585476093S00000174P01088LAocjBAQBF1NjaVRlZ2ljLmRhdGEuTW9sZWN1bGUBbwF/ARJTY2lUZWdpYy5Nb2xlY3VsZQAAAQFkAv5qAQAAAAIBAjgYAAAA/PwA/AACAAAAAAAA8L8CfGEyVTAq5b8CvVKWIY51sT8AAAAAHAAAAPz8APwAAgAAAAAAAPC/AvjkYaHWNAVAArprCfmgZ9s/AAAAABwAAAD8/AD8AAIAAAAAAADwvwKpE9BE2PC0PwLW52or9pfnPwAAAAAgAAAA/PwA/AACAAAAAAAA8L8CXCBB8WPM+b8C3UYDeAsk2D8AAAAAIAAAAPz8APwAAgAAAAAAAPC/AqAaL90kBt2/Ah+F61G4Hu2/AAAAABgMAAD8/AD8AAIAAAAAAADwvwLY8PRKWYbwPwK6awn5oGfbPwAAAAAYAAAA/PwA/AACAAAAAAAA8L8CKqkT0ETYAsACH/RsVn2u0r8AAAAAGAAAAPz8APwAAgAAAAAAAPC/AtUJaCJseP0/AqjGSzeJQfA/AAAAABgAAAD8/AD8AAIAAAAAAADwvwJkXdxGA3j1PwJfKcsQx7rgvwAAAAAYAAAA/PwA/AACAAAAAAAA8L8C6wQ0ETa8AkACXynLEMe64L8AAAAAGAAAAPz8APwAAgAAAAAAAPC/Av+ye/Kw0AxAAtbnaiv2l+c/AAAAABgAAAD8/AD8AAIAAAAAAADwvwKWQ4ts5/v6vwIBb4EExY/wvwAAAAAYAAAA/PwA/AACAAAAAAAA8L8C7uvAOSPKCMACjpduEoPA7r8AAAAAGAAAAPz8APwAAgAAAAAAAPC/Aoqw4emVMgjAAgAi/fZ14Nw/AAAAADgEHAFlBAAAAAAAAAAACAABZQQAAAAAAAAAAAwAAWUEAAAAAAAAAAAQAAFlCAAAAAAAAAAAFAgBZQQUAAAAAAAAABgMAWUEAAAAAAAAAAAcFAFlBAAAAAAAAAAAIBQBZQQAAAAAAAAAACQgAWUEAAAAAAAAAAAoBAFlBAAAAAAAAAAALBgBZQQAAAAAAAAAADAYAWUEAAAAAAAAAAA0GAFlBAAAAAAAAAAAJAQBZQQAAAAAAAAAAAAAAAA=</t>
        </r>
      </text>
    </comment>
    <comment ref="A89" authorId="0" shapeId="0" xr:uid="{CF7A548F-F6F7-4FF2-9A8E-837AEA9DA065}">
      <text>
        <r>
          <rPr>
            <sz val="9"/>
            <color indexed="81"/>
            <rFont val="MS P ゴシック"/>
            <family val="3"/>
            <charset val="128"/>
          </rPr>
          <t>Insight iXlW00001C0000089R0585476093S00000176P01612LAocjBAQBF1NjaVRlZ2ljLmRhdGEuTW9sZWN1bGUBbwF/ARJTY2lUZWdpYy5Nb2xlY3VsZQAAAQFkAv5qAQAAAAIBAgEVGAAAAPz8APwAAgAAAAAAAPC/Akhy+Q/pNwFAAgu1pnnHKeY/AAAAABwAAAD8/AD8AAIAAAAAAADwvwKbd5yiI7novwIFNBE2PL3KvwAAAAAYAAAA/PwA/AACAAAAAAAA8L8C5x2n6EguAsACMzMzMzMz8b8AAAAAHAAAAPz8APwAAgAAAAAAAPC/AgR4CyQofvU/Aj/G3LWEfPQ/AAAAABgAAAD8/AD8AAIAAAAAAADwvwLNO07RkVz0vwIzMzMzMzPxvwAAAAAgAAAA/PwA/AACAAAAAAAA8L8CgnNGlPaGCEAC9I5TdCSX8T8AAAAAIAAAAPz8APwAAgAAAAAAAPC/Aov9ZffkYQBAAsNkqmBUUtO/AAAAABgAAAD8/AD8AAIAAAAAAADwvwLnHafoSC4GwAKOl24Sg8DKvwAAAAAYDAAA/PwA/AACAAAAAAAA8L8C/Yf029eB2z8ChXzQs1n16z8AAAAAGAAAAPz8APwAAgAAAAAAAPC/AsBbIEHxY8w/Ao6XbhKDwLq/AAAAABgAAAD8/AD8AAIAAAAAAADwvwLIKTqSy/8OQAJ0RpT2Bl/gPwAAAAAYAAAA/PwA/AACAAAAAAAA8L8CzqrP1Vbs278CQz7o2az69T8AAAAAGAAAAPz8APwAAgAAAAAAAPC/AjtwzojS3vK/AiUGgZVDi+Y/AAAAACQAAAD8/AD8AAIAAAAAAADwvwLnHafoSC4CwAKCc0aU9gblPwAAAAAYAAAA/PwA/AACAAAAAAAA8L8C5x2n6EguBsACdZMYBFYO/78AAAAAGAAAAPz8APwAAgAAAAAAAPC/Aucdp+hILg7AAo6XbhKDwMq/AAAAABgAAAD8/AD8AAIAAAAAAADwvwLSb18HztkRQALFjzF3LSH1PwAAAAAYAAAA/PwA/AACAAAAAAAA8L8CB/AWSFC8EkAC/Yf029eBs78AAAAAGAAAAPz8APwAAgAAAAAAAPC/AutztRX7SwpAAkYldQKaCNO/AAAAABgAAAD8/AD8AAIAAAAAAADwvwLnHafoSC4OwAJ1kxgEVg7/vwAAAAAYAAAA/PwA/AACAAAAAAAA8L8C9I5TdCQXEcACMzMzMzMz8b8AAAAAARYEJAFlBAAAAAAAAAAACBABZQQAAAAAAAAAAAwAAWUEAAAAAAAAAAAQBAFlBAAAAAAAAAAAFAABZQQAAAAAAAAAABgAAWUIAAAAAAAAAAAcCAFlBAAAAAAAAAAAIAwBZQQUAAAAAAAAACQgAWUEAAAAAAAAAAAoFAFlBAAAAAAAAAAALCABZQQAAAAAAAAAADAsAWUEAAAAAAAAAAA0HAFlBAAAAAAAAAAAOAgBZQgMAAAAAAAAADwcAWUICAAAAAAAAAABECgBZQQAAAAAAAAAAAERKAFlBAAAAAAAAAAAARIoAWUEAAAAAAAAAAABEzgBZQQAAAAAAAAAAAEUARMBZQgIAAAAAAAAADAEAWUEAAAAAAAAAAABFDwBZQQAAAAAAAAAAAAAAAA=</t>
        </r>
      </text>
    </comment>
    <comment ref="A90" authorId="0" shapeId="0" xr:uid="{CC2681EA-2634-47C2-9952-957F5F32B459}">
      <text>
        <r>
          <rPr>
            <sz val="9"/>
            <color indexed="81"/>
            <rFont val="MS P ゴシック"/>
            <family val="3"/>
            <charset val="128"/>
          </rPr>
          <t>Insight iXlW00001C0000090R0585476093S00000178P01612LAocjBAQBF1NjaVRlZ2ljLmRhdGEuTW9sZWN1bGUBbwF/ARJTY2lUZWdpYy5Nb2xlY3VsZQAAAQFkAv5qAQAAAAIBAgEVGAAAAPz8APwAAgAAAAAAAPC/AnGsi9toAANAAsBbIEHxY9i/AAAAABwAAAD8/AD8AAIAAAAAAADwvwIoDwu1pnnjvwLNXUvIBz3TPwAAAAAcAAAA/PwA/AACAAAAAAAA8L8C5tAi2/l+/z8CCtejcD0K4T8AAAAAIAAAAPz8APwAAgAAAAAAAPC/AoV80LNZ9QpAAqQBvAUSFN+/AAAAACAAAAD8/AD8AAIAAAAAAADwvwIp7Q2+MJn8PwJ8gy9MpgrzvwAAAAAYDAAA/PwA/AACAAAAAAAA8L8CX7pJDAIr7z8C/Knx0k1i5D8AAAAAGAAAAPz8APwAAgAAAAAAAPC/AkeU9gZfmPe/AmhEaW/whcm/AAAAABgAAAD8/AD8AAIAAAAAAADwvwL9h/Tb14HTPwKaCBueXim7vwAAAAAYAAAA/PwA/AACAAAAAAAA8L8Cg8DKoUU2DkAC3gIJih9j9r8AAAAAGAAAAPz8APwAAgAAAAAAAPC/Ar10kxgEVt4/AkA1XrpJDPg/AAAAABgAAAD8/AD8AAIAAAAAAADwvwIYldQJaCLgvwIqyxDHurj0PwAAAAAYAAAA/PwA/AACAAAAAAAA8L8CRPrt68C5AsACzV1LyAc90z8AAAAAGAAAAPz8APwAAgAAAAAAAPC/AmWqYFRSpwnAAmhEaW/whcm/AAAAABgAAAD8/AD8AAIAAAAAAADwvwJDrWnecUoQwALNXUvIBz3TPwAAAAAkAAAA/PwA/AACAAAAAAAA8L8CUwWjkjrBE8ACaERpb/CFyb8AAAAAGAAAAPz8APwAAgAAAAAAAPC/AmWqYFRSpwnAAnPXEvJBz/w/AAAAABgAAAD8/AD8AAIAAAAAAADwvwJE+u3rwLkCwAJz1xLyQc/0PwAAAAAYAAAA/PwA/AACAAAAAAAA8L8Cw/UoXI/CEkAC4ZwRpb3B778AAAAAGAAAAPz8APwAAgAAAAAAAPC/AkGC4seYuxBAAnGsi9togALAAAAAABgAAAD8/AD8AAIAAAAAAADwvwJJv30dOOcGQALbiv1l9+T8vwAAAAAYAAAA/PwA/AACAAAAAAAA8L8CQ61p3nFKEMACc9cS8kHP9D8AAAAAARYEHAFlBAAAAAAAAAAACAABZQQAAAAAAAAAAAwAAWUEAAAAAAAAAAAQAAFlCAAAAAAAAAAAFAgBZQQUAAAAAAAAABgEAWUEAAAAAAAAAAAcFAFlBAAAAAAAAAAAIAwBZQQAAAAAAAAAACQUAWUEAAAAAAAAAAAoJAFlBAAAAAAAAAAALBgBZQQAAAAAAAAAADAsAWUEAAAAAAAAAAA0MAFlCAwAAAAAAAAAODQBZQQAAAAAAAAAADwBEAFlBAAAAAAAAAAAARAsAWUIDAAAAAAAAAABESABZQQAAAAAAAAAAAESIAFlBAAAAAAAAAAAARMgAWUEAAAAAAAAAAABFDwBZQgIAAAAAAAAACgEAWUEAAAAAAAAAAABFDQBZQQAAAAAAAAAAAAAAAA=</t>
        </r>
      </text>
    </comment>
    <comment ref="A91" authorId="0" shapeId="0" xr:uid="{2C2BE937-8257-4E1A-BA1E-C9BADCF24D8E}">
      <text>
        <r>
          <rPr>
            <sz val="9"/>
            <color indexed="81"/>
            <rFont val="MS P ゴシック"/>
            <family val="3"/>
            <charset val="128"/>
          </rPr>
          <t>Insight iXlW00001C0000091R0585476093S00000180P01612LAocjBAQBF1NjaVRlZ2ljLmRhdGEuTW9sZWN1bGUBbwF/ARJTY2lUZWdpYy5Nb2xlY3VsZQAAAQFkAv5qAQAAAAIBAgEVGAAAAPz8APwAAgAAAAAAAPC/As07TtGRXAJAAq8l5IOezeg/AAAAABwAAAD8/AD8AAIAAAAAAADwvwJlqmBUUifkvwJ2cRsN4C3AvwAAAAAcAAAA/PwA/AACAAAAAAAA8L8CDwu1pnnH9z8CkX77OnDO9T8AAAAAIAAAAPz8APwAAgAAAAAAAPC/AtBm1edqqwlAAtSa5h2n6PI/AAAAACAAAAD8/AD8AAIAAAAAAADwvwLZ8PRKWYYBQAL3Bl+YTBXMvwAAAAAYDAAA/PwA/AACAAAAAAAA8L8CNBE2PL1S4j8CKe0NvjCZ7j8AAAAAGAAAAPz8APwAAgAAAAAAAPC/AhB6Nqs+V9c/ArtJDAIrh5a/AAAAABgAAAD8/AD8AAIAAAAAAADwvwIzVTAqqRPyvwLD9Shcj8LvvwAAAAAYAAAA/PwA/AACAAAAAAAA8L8Ci47k8h8SEEACNl66SQwC4z8AAAAAGAAAAPz8APwAAgAAAAAAAPC/Ap5eKcsQx9K/ApX2Bl+YTPc/AAAAABgAAAD8/AD8AAIAAAAAAADwvwKgibDh6ZXwvwLJdr6fGi/pPwAAAAAYAAAA/PwA/AACAAAAAAAA8L8CmSoYldQJAcACw/UoXI/C778AAAAAGAAAAPz8APwAAgAAAAAAAPC/Ak0VjErqhBDAAsP1KFyPwu+/AAAAACQAAAD8/AD8AAIAAAAAAADwvwJNFYxK6oQUwALD9Shcj8LvvwAAAAAYAAAA/PwA/AACAAAAAAAA8L8CmioYldQJDcACI9v5fmq8/b8AAAAAGAAAAPz8APwAAgAAAAAAAPC/ApoqGJXUCQ3AAv7UeOkmMcC/AAAAABgAAAD8/AD8AAIAAAAAAADwvwKZKhiV1AkFwAIj2/l+arz9vwAAAAAYAAAA/PwA/AACAAAAAAAA8L8CmSoYldQJBcACdnEbDeAtwL8AAAAAGAAAAPz8APwAAgAAAAAAAPC/AnnpJjEIbBJAAqabxCCwcvY/AAAAABgAAAD8/AD8AAIAAAAAAADwvwKuad5xik4TQAIUYcPTK2V5PwAAAAAYAAAA/PwA/AACAAAAAAAA8L8COGdEaW9wC0AChetRuB6Fy78AAAAAARYEGAFlBAAAAAAAAAAACAABZQQAAAAAAAAAAAwAAWUEAAAAAAAAAAAQAAFlCAAAAAAAAAAAFAgBZQQUAAAAAAAAABgUAWUEAAAAAAAAAAAcBAFlBAAAAAAAAAAAIAwBZQQAAAAAAAAAACQUAWUEAAAAAAAAAAAoJAFlBAAAAAAAAAAALBwBZQQAAAAAAAAAADA8AWUEAAAAAAAAAAA0MAFlBAAAAAAAAAAAOAEQAWUEAAAAAAAAAAA8AREBZQgIAAAAAAAAAAEQLAFlCAwAAAAAAAAAAREsAWUEAAAAAAAAAAABEiABZQQAAAAAAAAAAAETIAFlBAAAAAAAAAAAARQgAWUEAAAAAAAAAAAoBAFlBAAAAAAAAAAAODABZQgIAAAAAAAAAAAAAAA=</t>
        </r>
      </text>
    </comment>
    <comment ref="A92" authorId="0" shapeId="0" xr:uid="{8B0C69F8-BDC5-4B20-8400-FA5D39522A2F}">
      <text>
        <r>
          <rPr>
            <sz val="9"/>
            <color indexed="81"/>
            <rFont val="MS P ゴシック"/>
            <family val="3"/>
            <charset val="128"/>
          </rPr>
          <t>Insight iXlW00001C0000092R0585476093S00000182P00692LAocjBAQBF1NjaVRlZ2ljLmRhdGEuTW9sZWN1bGUBbwF/ARJTY2lUZWdpYy5Nb2xlY3VsZQAAAQFkAv5qAQAAAAIBAiQYAAAA/PwA/AACAAAAAAAA8L8CKVyPwvUo/D8Cv58aL90k2j8AAAAAHAAAAPz8APwAAgAAAAAAAPC/AhfZzvdT4+k/Aka28/3UeLk/AAAAABgAAAD8/AD8AAIAAAAAAADwvwIAAAAAAADgPwJVwaikTkDrvwAAAAAYAAAA/PwA/AACAAAAAAAA8L8CAAAAAAAA4L8CVcGopE5A678AAAAAGAwAAPz8APwAAgAAAAAAAPC/AhfZzvdT4+m/Aka28/3UeLk/AAAAABwAAAD8/AD8AAIAAAAAAADwvwKaCBueXin8vwK/nxov3STaPwAAAAAYAAAA/PwA/AACAAAAAAAA8L8AAjxO0ZFc/uU/AAAAAAERAAAA/PwA/AACAAAAAAAA8L8CexSuR+F6BEACKH6MuWsJub8AAAAAAREAAAD8/AD8AAIAAAAAAADwvwKY/5B++7oMQAKx4emVsgyxvwAAAAAcAAQBZQQAAAAAAAAAAAQIAWUEAAAAAAAAAAAIDAFlBAAAAAAAAAAADBABZQQAAAAAAAAAABAUAWUEFAAAAAAAAAAQGAFlBAAAAAAAAAAAGAQBZQQAAAAAAAAAAAAAAAA=</t>
        </r>
      </text>
    </comment>
    <comment ref="A93" authorId="0" shapeId="0" xr:uid="{E0D8B81B-3BAA-4C3D-BD99-41AF0D59A5FE}">
      <text>
        <r>
          <rPr>
            <sz val="9"/>
            <color indexed="81"/>
            <rFont val="MS P ゴシック"/>
            <family val="3"/>
            <charset val="128"/>
          </rPr>
          <t>Insight iXlW00001C0000093R0585476093S00000184P01216LAocjBAQBF1NjaVRlZ2ljLmRhdGEuTW9sZWN1bGUBbwF/ARJTY2lUZWdpYy5Nb2xlY3VsZQAAAQFkAv5qAQAAAAIBAgEQHAAAAPz8APwAAgAAAAAAAPC/Agr5oGez6gxAAhZqTfOOU7S/AAAAABgIAAD8/AD8AAIAAAAAAADwvwIv/yH99vUEQALdtYR80LOZPwAAAAAYAAAA/PwA/AACAAAAAAAA8L8CL/8h/fb1AEACMuauJeSD7D8AAAAAGAAAAPz8APwAAgAAAAAAAPC/AqLWNO84RfI/AgYSFD/G3OU/AAAAABwAAAD8/AD8AAIAAAAAAADwvwIp7Q2+MJnwPwLOqs/VVuzTvwAAAAAYAAAA/PwA/AACAAAAAAAA8L8COGdEaW/wxT8CZ9Xnaiv26b8AAAAAGAAAAPz8APwAAgAAAAAAAPC/ArWmeccpOua/As6qz9VW7NO/AAAAABgAAAD8/AD8AAIAAAAAAADwvwK1pnnHKTrmvwKZKhiV1AnmPwAAAAAYAAAA/PwA/AACAAAAAAAA8L8CnDOitDf4+L8CTRWMSuoE8z8AAAAAGAAAAPz8APwAAgAAAAAAAPC/Au/Jw0KtaQPAApkqGJXUCeY/AAAAABgAAAD8/AD8AAIAAAAAAADwvwLvycNCrWkDwALOqs/VVuzTvwAAAAAkAAAA/PwA/AACAAAAAAAA8L8CEHo2qz5XCsACZ9Xnaiv26b8AAAAAGAAAAPz8APwAAgAAAAAAAPC/ApwzorQ3+Pi/AmfV52or9um/AAAAABgAAAD8/AD8AAIAAAAAAADwvwItQxzr4jb/PwJDPujZrPrmvwAAAAABEQAAAPz8APwAAgAAAAAAAPC/ArivA+eMqBFAAkcDeAskKMY/AAAAAAERAAAA/PwA/AACAAAAAAAA8L8CRiV1AprIFUACg1FJnYAmyj8AAAAAPAQAAWUEFAAAAAAAAAAECAFlBAAAAAAAAAAACAwBZQQAAAAAAAAAAAwQAWUEAAAAAAAAAAAQFAFlBAAAAAAAAAAAFBgBZQQAAAAAAAAAABgcAWUIDAAAAAAAAAAcIAFlBAAAAAAAAAAAICQBZQgIAAAAAAAAACQoAWUEAAAAAAAAAAAoLAFlBAAAAAAAAAAAKDABZQgIAAAAAAAAADAYAWUEAAAAAAAAAAAQNAFlBAAAAAAAAAAANAQBZQQAAAAAAAAAAAAAAAA=</t>
        </r>
      </text>
    </comment>
    <comment ref="A94" authorId="0" shapeId="0" xr:uid="{332E15D7-829D-439E-BA93-26FFAFD24CB2}">
      <text>
        <r>
          <rPr>
            <sz val="9"/>
            <color indexed="81"/>
            <rFont val="MS P ゴシック"/>
            <family val="3"/>
            <charset val="128"/>
          </rPr>
          <t>Insight iXlW00001C0000094R0585476093S00000186P01612LAocjBAQBF1NjaVRlZ2ljLmRhdGEuTW9sZWN1bGUBbwF/ARJTY2lUZWdpYy5Nb2xlY3VsZQAAAQFkAv5qAQAAAAIBAgEVGAAAAPz8APwAAgAAAAAAAPC/AnGsi9toAANAAsBbIEHxY9i/AAAAABwAAAD8/AD8AAIAAAAAAADwvwIoDwu1pnnjvwLNXUvIBz3TPwAAAAAcAAAA/PwA/AACAAAAAAAA8L8C5tAi2/l+/z8CCtejcD0K4T8AAAAAIAAAAPz8APwAAgAAAAAAAPC/AoV80LNZ9QpAAqQBvAUSFN+/AAAAACAAAAD8/AD8AAIAAAAAAADwvwIp7Q2+MJn8PwJ8gy9MpgrzvwAAAAAYCAAA/PwA/AACAAAAAAAA8L8CX7pJDAIr7z8C/Knx0k1i5D8AAAAAGAAAAPz8APwAAgAAAAAAAPC/AkeU9gZfmPe/AmhEaW/whcm/AAAAABgAAAD8/AD8AAIAAAAAAADwvwL9h/Tb14HTPwKaCBueXim7vwAAAAAYAAAA/PwA/AACAAAAAAAA8L8Cg8DKoUU2DkAC3gIJih9j9r8AAAAAGAAAAPz8APwAAgAAAAAAAPC/Ar10kxgEVt4/AkA1XrpJDPg/AAAAABgAAAD8/AD8AAIAAAAAAADwvwIYldQJaCLgvwIqyxDHurj0PwAAAAAYAAAA/PwA/AACAAAAAAAA8L8CRPrt68C5AsACzV1LyAc90z8AAAAAGAAAAPz8APwAAgAAAAAAAPC/AmWqYFRSpwnAAmhEaW/whcm/AAAAABgAAAD8/AD8AAIAAAAAAADwvwJDrWnecUoQwALNXUvIBz3TPwAAAAAkAAAA/PwA/AACAAAAAAAA8L8CUwWjkjrBE8ACaERpb/CFyb8AAAAAGAAAAPz8APwAAgAAAAAAAPC/AmWqYFRSpwnAAnPXEvJBz/w/AAAAABgAAAD8/AD8AAIAAAAAAADwvwJE+u3rwLkCwAJz1xLyQc/0PwAAAAAYAAAA/PwA/AACAAAAAAAA8L8Cw/UoXI/CEkAC4ZwRpb3B778AAAAAGAAAAPz8APwAAgAAAAAAAPC/AkGC4seYuxBAAnGsi9togALAAAAAABgAAAD8/AD8AAIAAAAAAADwvwJJv30dOOcGQALbiv1l9+T8vwAAAAAYAAAA/PwA/AACAAAAAAAA8L8CQ61p3nFKEMACc9cS8kHP9D8AAAAAARYEHAFlBAAAAAAAAAAACAABZQQAAAAAAAAAAAwAAWUEAAAAAAAAAAAQAAFlCAAAAAAAAAAAFAgBZQQQAAAAAAAAABgEAWUEAAAAAAAAAAAcFAFlBAAAAAAAAAAAIAwBZQQAAAAAAAAAACQUAWUEAAAAAAAAAAAoJAFlBAAAAAAAAAAALBgBZQQAAAAAAAAAADAsAWUEAAAAAAAAAAA0MAFlCAwAAAAAAAAAODQBZQQAAAAAAAAAADwBEAFlBAAAAAAAAAAAARAsAWUIDAAAAAAAAAABESABZQQAAAAAAAAAAAESIAFlBAAAAAAAAAAAARMgAWUEAAAAAAAAAAABFDwBZQgIAAAAAAAAACgEAWUEAAAAAAAAAAABFDQBZQQAAAAAAAAAAAAAAAA=</t>
        </r>
      </text>
    </comment>
    <comment ref="A95" authorId="0" shapeId="0" xr:uid="{E7A5355D-FB51-4F2A-A14E-BDBCC68E5C29}">
      <text>
        <r>
          <rPr>
            <sz val="9"/>
            <color indexed="81"/>
            <rFont val="MS P ゴシック"/>
            <family val="3"/>
            <charset val="128"/>
          </rPr>
          <t>Insight iXlW00001C0000095R0585476093S00000188P01216LAocjBAQBF1NjaVRlZ2ljLmRhdGEuTW9sZWN1bGUBbwF/ARJTY2lUZWdpYy5Nb2xlY3VsZQAAAQFkAv5qAQAAAAIBAgEQHAAAAPz8APwAAgAAAAAAAPC/Agr5oGez6gxAAhZqTfOOU7S/AAAAABgMAAD8/AD8AAIAAAAAAADwvwIv/yH99vUEQALdtYR80LOZPwAAAAAYAAAA/PwA/AACAAAAAAAA8L8CL/8h/fb1AEACMuauJeSD7D8AAAAAGAAAAPz8APwAAgAAAAAAAPC/AqLWNO84RfI/AgYSFD/G3OU/AAAAABwAAAD8/AD8AAIAAAAAAADwvwIp7Q2+MJnwPwLOqs/VVuzTvwAAAAAYAAAA/PwA/AACAAAAAAAA8L8COGdEaW/wxT8CZ9Xnaiv26b8AAAAAGAAAAPz8APwAAgAAAAAAAPC/ArWmeccpOua/As6qz9VW7NO/AAAAABgAAAD8/AD8AAIAAAAAAADwvwK1pnnHKTrmvwKZKhiV1AnmPwAAAAAYAAAA/PwA/AACAAAAAAAA8L8CnDOitDf4+L8CTRWMSuoE8z8AAAAAGAAAAPz8APwAAgAAAAAAAPC/Au/Jw0KtaQPAApkqGJXUCeY/AAAAABgAAAD8/AD8AAIAAAAAAADwvwLvycNCrWkDwALOqs/VVuzTvwAAAAAkAAAA/PwA/AACAAAAAAAA8L8CEHo2qz5XCsACZ9Xnaiv26b8AAAAAGAAAAPz8APwAAgAAAAAAAPC/ApwzorQ3+Pi/AmfV52or9um/AAAAABgAAAD8/AD8AAIAAAAAAADwvwItQxzr4jb/PwJDPujZrPrmvwAAAAABEQAAAPz8APwAAgAAAAAAAPC/ArivA+eMqBFAAkcDeAskKMY/AAAAAAERAAAA/PwA/AACAAAAAAAA8L8CRiV1AprIFUACg1FJnYAmyj8AAAAAPAQAAWUEEAAAAAAAAAAECAFlBAAAAAAAAAAACAwBZQQAAAAAAAAAAAwQAWUEAAAAAAAAAAAQFAFlBAAAAAAAAAAAFBgBZQQAAAAAAAAAABgcAWUIDAAAAAAAAAAcIAFlBAAAAAAAAAAAICQBZQgIAAAAAAAAACQoAWUEAAAAAAAAAAAoLAFlBAAAAAAAAAAAKDABZQgIAAAAAAAAADAYAWUEAAAAAAAAAAAQNAFlBAAAAAAAAAAANAQBZQQAAAAAAAAAAAAAAAA=</t>
        </r>
      </text>
    </comment>
    <comment ref="A96" authorId="0" shapeId="0" xr:uid="{0690897D-BBF1-43D2-869A-8BB191939272}">
      <text>
        <r>
          <rPr>
            <sz val="9"/>
            <color indexed="81"/>
            <rFont val="MS P ゴシック"/>
            <family val="3"/>
            <charset val="128"/>
          </rPr>
          <t>Insight iXlW00001C0000096R0585476093S00000190P01684LAocjBAQBF1NjaVRlZ2ljLmRhdGEuTW9sZWN1bGUBbwF/ARJTY2lUZWdpYy5Nb2xlY3VsZQAAAQFkAv5qAQAAAAIBAgEWGAAAAPz8APwAAgAAAAAAAPC/As3MzMzMzPO/AonS3uALk++/AAAAABwAAAD8/AD8AAIAAAAAAADwvwKamZmZmZnnvwIukKD4Mea+vwAAAAAYAAAA/PwA/AACAAAAAAAA8L8CZ2ZmZmbmAcACidLe4AuT778AAAAAGAAAAPz8APwAAgAAAAAAAPC/AsgpOpLLfwFAAulILv8h/eg/AAAAABwAAAD8/AD8AAIAAAAAAADwvwIE54wo7Q32PwIukKD4Meb1PwAAAAAYAAAA/PwA/AACAAAAAAAA8L8C4umVsgxx0D8CguLHmLuWkL8AAAAAGAAAAPz8APwAAgAAAAAAAPC/AjsBTYQNT/K/AgOaCBueXuk/AAAAABgAAAD8/AD8AAIAAAAAAADwvwJnZmZmZuYFwAIukKD4Mea+vwAAAAAgAAAA/PwA/AACAAAAAAAA8L8CAiuHFtnOCEACcayL22gA8z8AAAAAIAAAAPz8APwAAgAAAAAAAPC/ApqZmZmZmee/Avd14JwRpf2/AAAAACAAAAD8/AD8AAIAAAAAAADwvwILtaZ5x6kAQAKY3ZOHhVrLvwAAAAAYDAAA/PwA/AACAAAAAAAA8L8C/0P67evA3T8CgbdAguLH7j8AAAAAGAAAAPz8APwAAgAAAAAAAPC/Agg9m1Wfq9m/AsBbIEHxY/c/AAAAABgAAAD8/AD8AAIAAAAAAADwvwJI4XoUrkcPQAJvgQTFjzHjPwAAAAAkAAAA/PwA/AACAAAAAAAA8L8CZ2ZmZmbmAcACfq62Yn/Z5z8AAAAAGAAAAPz8APwAAgAAAAAAAPC/AmdmZmZm5gXAAobJVMGopP2/AAAAABgAAAD8/AD8AAIAAAAAAADwvwJnZmZmZuYNwAIukKD4Mea+vwAAAAAYAAAA/PwA/AACAAAAAAAA8L8Ckst/SL/9EUACQ61p3nGK9j8AAAAAGAAAAPz8APwAAgAAAAAAAPC/AsdLN4lB4BJAAvp+arx0k4g/AAAAABgAAAD8/AD8AAIAAAAAAADwvwJrK/aX3ZMKQAKeXinLEMfKvwAAAAAYAAAA/PwA/AACAAAAAAAA8L8CZ2ZmZmbmDcAChslUwaik/b8AAAAAGAAAAPz8APwAAgAAAAAAAPC/AjMzMzMz8xDAAonS3uALk++/AAAAAAEXBAABZQQAAAAAAAAAAAgAAWUEAAAAAAAAAAAMEAFlBAAAAAAAAAAALBABZQQUAAAAAAAAABQEAWUEAAAAAAAAAAAYBAFlBAAAAAAAAAAAHAgBZQQAAAAAAAAAACAMAWUEAAAAAAAAAAAkAAFlCAAAAAAAAAAAKAwBZQgAAAAAAAAAACwUAWUEAAAAAAAAAAAwGAFlBAAAAAAAAAAANCABZQQAAAAAAAAAADgcAWUEAAAAAAAAAAA8CAFlCAwAAAAAAAAAARAcAWUICAAAAAAAAAABETQBZQQAAAAAAAAAAAESNAFlBAAAAAAAAAAAARM0AWUEAAAAAAAAAAABFDwBZQQAAAAAAAAAAAEVARQBZQgIAAAAAAAAACwwAWUEAAAAAAAAAAABFQEQAWUEAAAAAAAAAAAAAAAA</t>
        </r>
      </text>
    </comment>
    <comment ref="A97" authorId="0" shapeId="0" xr:uid="{03CFD69D-E7B8-489E-9CD8-8AEA1ADA0761}">
      <text>
        <r>
          <rPr>
            <sz val="9"/>
            <color indexed="81"/>
            <rFont val="MS P ゴシック"/>
            <family val="3"/>
            <charset val="128"/>
          </rPr>
          <t>Insight iXlW00001C0000097R0585476093S00000192P01684LAocjBAQBF1NjaVRlZ2ljLmRhdGEuTW9sZWN1bGUBbwF/ARJTY2lUZWdpYy5Nb2xlY3VsZQAAAQFkAv5qAQAAAAIBAgEWHAAAAPz8APwAAgAAAAAAAPC/Ampv8IXJVOG/An3Qs1n1udY/AAAAABgAAAD8/AD8AAIAAAAAAADwvwL2l92Th4X2vwIHX5hMFYzCvwAAAAAYAAAA/PwA/AACAAAAAAAA8L8CmSoYldSJA0ACEOm3rwPn1L8AAAAAGAAAAPz8APwAAgAAAAAAAPC/AlVSJ6CJMALAAn3Qs1n1udY/AAAAABwAAAD8/AD8AAIAAAAAAADwvwJjEFg5tEgAQAJjEFg5tMjiPwAAAAAYAAAA/PwA/AACAAAAAAAA8L8CescpOpLL1z8Cs3vysFBrqr8AAAAAGAAAAPz8APwAAgAAAAAAAPC/ArTqc7UV+9u/Atbnaiv2l/U/AAAAACAAAAD8/AD8AAIAAAAAAADwvwJ1JJf/kH4LQAL0jlN0JJfbvwAAAAAgAAAA/PwA/AACAAAAAAAA8L8C9pfdk4eF9r8C4QuTqYJR8r8AAAAAIAAAAPz8APwAAgAAAAAAAPC/AnnpJjEIrP0/AtBm1edqK/K/AAAAABgMAAD8/AD8AAIAAAAAAADwvwIPLbKd76fwPwJU46WbxCDmPwAAAAAYAAAA/PwA/AACAAAAAAAA8L8CdQKaCBseCcACB1+YTBWMwr8AAAAAGAAAAPz8APwAAgAAAAAAAPC/Ah1aZDvfT+E/Al3+Q/rt6/g/AAAAABgAAAD8/AD8AAIAAAAAAADwvwJzaJHtfL8OQALBOSNKe4P1vwAAAAAYAAAA/PwA/AACAAAAAAAA8L8CS1mGONYFEMACfdCzWfW51j8AAAAAJAAAAPz8APwAAgAAAAAAAPC/Alyxv+yefBPAAgdfmEwVjMK/AAAAABgAAAD8/AD8AAIAAAAAAADwvwJVUiegiTACwAIf9GxWfa71PwAAAAAYAAAA/PwA/AACAAAAAAAA8L8CdQKaCBseCcACIPRsVn2u/T8AAAAAGAAAAPz8APwAAgAAAAAAAPC/Atc07zhFBxNAAoljXdxGA+6/AAAAABgAAAD8/AD8AAIAAAAAAADwvwI51sVtNAARQAIbnl4pyxACwAAAAAAYAAAA/PwA/AACAAAAAAAA8L8CcT0K16NwB0ACL26jAbwF/L8AAAAAGAAAAPz8APwAAgAAAAAAAPC/AktZhjjWBRDAAh/0bFZ9rvU/AAAAAAEXBAABZQQAAAAAAAAAAAgQAWUEAAAAAAAAAAAMBAFlBAAAAAAAAAAAKBABZQQUAAAAAAAAABQAAWUEAAAAAAAAAAAYAAFlBAAAAAAAAAAAHAgBZQQAAAAAAAAAACAEAWUIAAAAAAAAAAAkCAFlCAAAAAAAAAAAKBQBZQQAAAAAAAAAACwMAWUEAAAAAAAAAAAwGAFlBAAAAAAAAAAANBwBZQQAAAAAAAAAADgsAWUIDAAAAAAAAAA8OAFlBAAAAAAAAAAAARAMAWUIDAAAAAAAAAABEQEQAWUEAAAAAAAAAAABEjQBZQQAAAAAAAAAAAETNAFlBAAAAAAAAAAAARQ0AWUEAAAAAAAAAAABFQERAWUICAAAAAAAAAAoMAFlBAAAAAAAAAAAARU4AWUEAAAAAAAAAAAAAAAA</t>
        </r>
      </text>
    </comment>
    <comment ref="A98" authorId="0" shapeId="0" xr:uid="{7927D72E-A6D9-474F-8223-60CB84E7D5AF}">
      <text>
        <r>
          <rPr>
            <sz val="9"/>
            <color indexed="81"/>
            <rFont val="MS P ゴシック"/>
            <family val="3"/>
            <charset val="128"/>
          </rPr>
          <t>Insight iXlW00001C0000098R0585476093S00000194P01684LAocjBAQBF1NjaVRlZ2ljLmRhdGEuTW9sZWN1bGUBbwF/ARJTY2lUZWdpYy5Nb2xlY3VsZQAAAQFkAv5qAQAAAAIBAgEWHAAAAPz8APwAAgAAAAAAAPC/As1dS8gHPeO/Ahsv3SQGgaW/AAAAABgAAAD8/AD8AAIAAAAAAADwvwLmriXkg57xvwJ1kxgEVg7tvwAAAAAYAAAA/PwA/AACAAAAAAAA8L8C9I5TdCSXAkAC/Yf029eB6z8AAAAAHAAAAPz8APwAAgAAAAAAAPC/Alyxv+yePPg/ArivA+eMKPc/AAAAABgAAAD8/AD8AAIAAAAAAADwvwJBE2HD0yvZPwIAAAAAAACwPwAAAAAYAAAA/PwA/AACAAAAAAAA8L8Cc9cS8kHPAMACdZMYBFYO7b8AAAAAGAAAAPz8APwAAgAAAAAAAPC/AuM2GsBbIPC/AhfZzvdT4+s/AAAAACAAAAD8/AD8AAIAAAAAAADwvwIukKD4MeYJQAL7y+7Jw0L0PwAAAAAgAAAA/PwA/AACAAAAAAAA8L8CzV1LyAc9478C/Knx0k1i/L8AAAAAIAAAAPz8APwAAgAAAAAAAPC/AjcawFsgwQFAAsB9HThnRMG/AAAAABgMAAD8/AD8AAIAAAAAAADwvwLNXUvIBz3jPwK7Jw8LtabwPwAAAAAYAAAA/PwA/AACAAAAAAAA8L8CbsX+snvy0L8CvCcPC7Wm+D8AAAAAGAAAAPz8APwAAgAAAAAAAPC/AjojSnuDLxBAAoPAyqFFtuU/AAAAABgAAAD8/AD8AAIAAAAAAADwvwJz1xLyQc8EwAL8qfHSTWL8vwAAAAAYAAAA/PwA/AACAAAAAAAA8L8Cc9cS8kHPBMACGy/dJAaBpb8AAAAAGAAAAPz8APwAAgAAAAAAAPC/Ap6AJsKGZxDAAnWTGARWDu2/AAAAABgAAAD8/AD8AAIAAAAAAADwvwJz1xLyQc8MwAL8qfHSTWL8vwAAAAAYAAAA/PwA/AACAAAAAAAA8L8COwFNhA3PDMACGy/dJAaBpb8AAAAAJAAAAPz8APwAAgAAAAAAAPC/Ap6AJsKGZxTAAnWTGARWDu2/AAAAABgAAAD8/AD8AAIAAAAAAADwvwIofoy5a4kSQALNzMzMzMz3PwAAAAAYAAAA/PwA/AACAAAAAAAA8L8CXf5D+u1rE0ACgEi/fR04tz8AAAAAGAAAAPz8APwAAgAAAAAAAPC/ApeQD3o2qwtAAk5iEFg5tMC/AAAAAAEXBAABZQQAAAAAAAAAAAgMAWUEAAAAAAAAAAAoDAFlBBQAAAAAAAAAEAABZQQAAAAAAAAAABQEAWUEAAAAAAAAAAAYAAFlBAAAAAAAAAAAHAgBZQQAAAAAAAAAACAEAWUIAAAAAAAAAAAkCAFlCAAAAAAAAAAAKBABZQQAAAAAAAAAACwYAWUEAAAAAAAAAAAwHAFlBAAAAAAAAAAANBQBZQgMAAAAAAAAADgUAWUEAAAAAAAAAAA8AREBZQQAAAAAAAAAAAEQNAFlBAAAAAAAAAAAARE4AWUICAAAAAAAAAABEjwBZQQAAAAAAAAAAAETMAFlBAAAAAAAAAAAARQwAWUEAAAAAAAAAAABFTABZQQAAAAAAAAAACgsAWUEAAAAAAAAAAABEDwBZQgIAAAAAAAAAAAAAAA=</t>
        </r>
      </text>
    </comment>
    <comment ref="A99" authorId="0" shapeId="0" xr:uid="{FD4E6BC1-6810-4F30-9E52-9280A92B3DFE}">
      <text>
        <r>
          <rPr>
            <sz val="9"/>
            <color indexed="81"/>
            <rFont val="MS P ゴシック"/>
            <family val="3"/>
            <charset val="128"/>
          </rPr>
          <t>Insight iXlW00001C0000099R0585476093S00000196P01684LAocjBAQBF1NjaVRlZ2ljLmRhdGEuTW9sZWN1bGUBbwF/ARJTY2lUZWdpYy5Nb2xlY3VsZQAAAQFkAv5qAQAAAAIBAgEWHAAAAPz8APwAAgAAAAAAAPC/Ampv8IXJVOG/An3Qs1n1udY/AAAAABgAAAD8/AD8AAIAAAAAAADwvwL2l92Th4X2vwIHX5hMFYzCvwAAAAAYAAAA/PwA/AACAAAAAAAA8L8CmSoYldSJA0ACEOm3rwPn1L8AAAAAGAAAAPz8APwAAgAAAAAAAPC/AlVSJ6CJMALAAn3Qs1n1udY/AAAAABwAAAD8/AD8AAIAAAAAAADwvwJjEFg5tEgAQAJjEFg5tMjiPwAAAAAYAAAA/PwA/AACAAAAAAAA8L8CescpOpLL1z8Cs3vysFBrqr8AAAAAGAAAAPz8APwAAgAAAAAAAPC/ArTqc7UV+9u/Atbnaiv2l/U/AAAAACAAAAD8/AD8AAIAAAAAAADwvwJ1JJf/kH4LQAL0jlN0JJfbvwAAAAAgAAAA/PwA/AACAAAAAAAA8L8C9pfdk4eF9r8C4QuTqYJR8r8AAAAAIAAAAPz8APwAAgAAAAAAAPC/AnnpJjEIrP0/AtBm1edqK/K/AAAAABgIAAD8/AD8AAIAAAAAAADwvwIPLbKd76fwPwJU46WbxCDmPwAAAAAYAAAA/PwA/AACAAAAAAAA8L8CdQKaCBseCcACB1+YTBWMwr8AAAAAGAAAAPz8APwAAgAAAAAAAPC/Ah1aZDvfT+E/Al3+Q/rt6/g/AAAAABgAAAD8/AD8AAIAAAAAAADwvwJzaJHtfL8OQALBOSNKe4P1vwAAAAAYAAAA/PwA/AACAAAAAAAA8L8CS1mGONYFEMACfdCzWfW51j8AAAAAJAAAAPz8APwAAgAAAAAAAPC/Alyxv+yefBPAAgdfmEwVjMK/AAAAABgAAAD8/AD8AAIAAAAAAADwvwJVUiegiTACwAIf9GxWfa71PwAAAAAYAAAA/PwA/AACAAAAAAAA8L8CdQKaCBseCcACIPRsVn2u/T8AAAAAGAAAAPz8APwAAgAAAAAAAPC/Atc07zhFBxNAAoljXdxGA+6/AAAAABgAAAD8/AD8AAIAAAAAAADwvwI51sVtNAARQAIbnl4pyxACwAAAAAAYAAAA/PwA/AACAAAAAAAA8L8CcT0K16NwB0ACL26jAbwF/L8AAAAAGAAAAPz8APwAAgAAAAAAAPC/AktZhjjWBRDAAh/0bFZ9rvU/AAAAAAEXBAABZQQAAAAAAAAAAAgQAWUEAAAAAAAAAAAMBAFlBAAAAAAAAAAAKBABZQQQAAAAAAAAABQAAWUEAAAAAAAAAAAYAAFlBAAAAAAAAAAAHAgBZQQAAAAAAAAAACAEAWUIAAAAAAAAAAAkCAFlCAAAAAAAAAAAKBQBZQQAAAAAAAAAACwMAWUEAAAAAAAAAAAwGAFlBAAAAAAAAAAANBwBZQQAAAAAAAAAADgsAWUIDAAAAAAAAAA8OAFlBAAAAAAAAAAAARAMAWUIDAAAAAAAAAABEQEQAWUEAAAAAAAAAAABEjQBZQQAAAAAAAAAAAETNAFlBAAAAAAAAAAAARQ0AWUEAAAAAAAAAAABFQERAWUICAAAAAAAAAAoMAFlBAAAAAAAAAAAARU4AWUEAAAAAAAAAAAAAAAA</t>
        </r>
      </text>
    </comment>
    <comment ref="A100" authorId="0" shapeId="0" xr:uid="{A1603AD9-632E-4F4C-A188-D4AABC38CE40}">
      <text>
        <r>
          <rPr>
            <sz val="9"/>
            <color indexed="81"/>
            <rFont val="MS P ゴシック"/>
            <family val="3"/>
            <charset val="128"/>
          </rPr>
          <t>Insight iXlW00001C0000100R0585476093S00000198P01284LAocjBAQBF1NjaVRlZ2ljLmRhdGEuTW9sZWN1bGUBbwF/ARJTY2lUZWdpYy5Nb2xlY3VsZQAAAQFkAv5qAQAAAAIAAgERJAAAAPz8APwAAgAAAAAAAPC/AgAAAAAAABBAAkVpb/CFydQ/AAAAABgAAAD8/AD8AAIAAAAAAADwvwIAAAAAAAAIQAJFaW/whcnUPwAAAAAYAAAA/PwA/AACAAAAAAAA8L8CAAAAAAAABEACkzoBTYQN8z8AAAAAGAAAAPz8APwAAgAAAAAAAPC/AgAAAAAAAPg/ApM6AU2EDfM/AAAAABgAAAD8/AD8AAIAAAAAAADwvwECRWlv8IXJ1D8AAAAAGAAAAPz8APwAAgAAAAAAAPC/AgAAAAAAAPg/AsNkqmBUUuG/AAAAABgAAAD8/AD8AAIAAAAAAADwvwIAAAAAAAAEQALhC5OpglHhvwAAAAAYAAAA/PwA/AACAAAAAAAA8L8AAoC3QILix9Q/AAAAACAAAAD8/AD8AAIAAAAAAADwvwIAAAAAAADgvwKTOgFNhA3zPwAAAAAcAAAA/PwA/AACAAAAAAAA8L8CAAAAAAAA4L8Cw2SqYFRS4b8AAAAAGAAAAPz8APwAAgAAAAAAAPC/AgAAAAAAAPi/AsNkqmBUUuG/AAAAABgAAAD8/AD8AAIAAAAAAADwvwIAAAAAAAAAwAKjkjoBTYT2vwAAAAAYAAAA/PwA/AACAAAAAAAA8L8CAAAAAAAACMACo5I6AU2E9r8AAAAAHAAAAPz8APwAAgAAAAAAAPC/AgAAAAAAAAzAAsNkqmBUUuG/AAAAABgAAAD8/AD8AAIAAAAAAADwvwIAAAAAAAAIwAKAt0CC4sfUPwAAAAAYAAAA/PwA/AACAAAAAAAA8L8CAAAAAAAAAMACgLdAguLH1D8AAAAAAREAAAD8/AD8AAIAAAAAAADwvwIzMzMzMzMTQAL7XG3F/rK7vwAAAAABEQAEAWUEAAAAAAAAAAAECAFlCAwAAAAAAAAACAwBZQQAAAAAAAAAAAwQAWUICAAAAAAAAAAQFAFlBAAAAAAAAAAAFBgBZQgIAAAAAAAAABgEAWUEAAAAAAAAAAAQHAFlBAAAAAAAAAAAHCABZQgAAAAAAAAAABwkAWUEAAAAAAAAAAAkKAFlBAAAAAAAAAAAKCwBZQQAAAAAAAAAACwwAWUEAAAAAAAAAAAwNAFlBAAAAAAAAAAANDgBZQQAAAAAAAAAADg8AWUEAAAAAAAAAAA8KAFlBAAAAAAAAAAAAAAAAA==</t>
        </r>
      </text>
    </comment>
    <comment ref="A101" authorId="0" shapeId="0" xr:uid="{F565883B-CA19-40A5-AAF9-7EE366FD7FF3}">
      <text>
        <r>
          <rPr>
            <sz val="9"/>
            <color indexed="81"/>
            <rFont val="MS P ゴシック"/>
            <family val="3"/>
            <charset val="128"/>
          </rPr>
          <t>Insight iXlW00001C0000101R0585476093S00000200P01448LAocjBAQBF1NjaVRlZ2ljLmRhdGEuTW9sZWN1bGUBbwF/ARJTY2lUZWdpYy5Nb2xlY3VsZQAAAQFkAv5qAQAAAAIAAgETGAAAAPz8APwAAgAAAAAAAPC/AtuK/WX35P2/AtQrZRniWKe/AAAAABwAAAD8/AD8AAIAAAAAAADwvwK2FfvL7snrvwLUK2UZ4linvwAAAAAgAAAA/PwA/AACAAAAAAAA8L8CbsX+snvyAsACQRNhw9Mr7b8AAAAAIAAAAPz8APwAAgAAAAAAAPC/Am7F/rJ78gLAAsZtNIC3QOo/AAAAABgAAAD8/AD8AAIAAAAAAADwvwJrK/aX3ZPXvwJBE2HD0yvtvwAAAAAYAAAA/PwA/AACAAAAAAAA8L8Cayv2l92T178Cxm00gLdA6j8AAAAAGAAAAPz8APwAAgAAAAAAAPC/Am7F/rJ78grAAkETYcPTK+2/AAAAABwAAAD8/AD8AAIAAAAAAADwvwKTOgFNhA0BQALUK2UZ4linvwAAAAAYAAAA/PwA/AACAAAAAAAA8L8CS+oENBE25D8Cxm00gLdA6j8AAAAAGAAAAPz8APwAAgAAAAAAAPC/AkvqBDQRNuQ/AkETYcPTK+2/AAAAABgAAAD8/AD8AAIAAAAAAADwvwKTOgFNhA0NQALGbTSAt0DqPwAAAAAYAAAA/PwA/AACAAAAAAAA8L8CJnUCmggb8j8C1CtlGeJYp78AAAAAGAAAAPz8APwAAgAAAAAAAPC/ApM6AU2EDQVAAsZtNIC3QOo/AAAAABgAAAD8/AD8AAIAAAAAAADwvwJuxf6ye/IKwAKhibDh6ZX+vwAAAAAYAAAA/PwA/AACAAAAAAAA8L8Ct2J/2T15EcACQRNhw9Mr7b8AAAAAGAAAAPz8APwAAgAAAAAAAPC/Am7F/rJ78grAAv5l9+RhobY/AAAAABgAAAD8/AD8AAIAAAAAAADwvwKTOgFNhA0NQALjNhrAWyD9PwAAAAAYAAAA/PwA/AACAAAAAAAA8L8CSp2AJsKGEkACxm00gLdA6j8AAAAAGAAAAPz8APwAAgAAAAAAAPC/ApM6AU2EDQ1AAulILv8h/ca/AAAAAAETBAABZQQAAAAAAAAAAAgAAWUEAAAAAAAAAAAMAAFlCAAAAAAAAAAAEAQBZQQAAAAAAAAAABQEAWUEAAAAAAAAAAAYCAFlBAAAAAAAAAAAHCwBZQQAAAAAAAAAACAUAWUEAAAAAAAAAAAkEAFlBAAAAAAAAAAAKDABZQQAAAAAAAAAACwgAWUEAAAAAAAAAAAwHAFlBAAAAAAAAAAANBgBZQQAAAAAAAAAADgYAWUEAAAAAAAAAAA8GAFlBAAAAAAAAAAAARAoAWUEAAAAAAAAAAABESgBZQQAAAAAAAAAAAESKAFlBAAAAAAAAAAAJCwBZQQAAAAAAAAAAAAAAAA=</t>
        </r>
      </text>
    </comment>
    <comment ref="A102" authorId="0" shapeId="0" xr:uid="{4CB291BB-D2D9-40CA-8E6B-7BEF827261F1}">
      <text>
        <r>
          <rPr>
            <sz val="9"/>
            <color indexed="81"/>
            <rFont val="MS P ゴシック"/>
            <family val="3"/>
            <charset val="128"/>
          </rPr>
          <t>Insight iXlW00001C0000102R0585476093S00000202P00932LAocjBAQBF1NjaVRlZ2ljLmRhdGEuTW9sZWN1bGUBbwF/ARJTY2lUZWdpYy5Nb2xlY3VsZQAAAQFkAv5qAQAAAAIAAjAYAAAA/PwA/AACAAAAAAAA8L8CrYvbaADvB0AC+aBns+pz0b8AAAAAGAAAAPz8APwAAgAAAAAAAPC/AozbaABvAQFAAn3Qs1n1uei/AAAAABgAAAD8/AD8AAIAAAAAAADwvwLWVuwvuyf0PwL5oGez6nPRvwAAAAAgAAAA/PwA/AACAAAAAAAA8L8C1lbsL7sn9D8ChC9MpgpG5z8AAAAAHAAAAPz8APwAAgAAAAAAAPC/Ao0o7Q2+MNk/An3Qs1n1uei/AAAAABgAAAD8/AD8AAIAAAAAAADwvwJ6WKg1zTvevwL5oGez6nPRvwAAAAAYAAAA/PwA/AACAAAAAAAA8L8CYHZPHhZq9b8CfdCzWfW56L8AAAAAGAAAAPz8APwAAgAAAAAAAPC/AlFrmnecogHAAvmgZ7Pqc9G/AAAAABwAAAD8/AD8AAIAAAAAAADwvwJRa5p3nKIBwAKEL0ymCkbnPwAAAAAYAAAA/PwA/AACAAAAAAAA8L8CYHZPHhZq9b8CwhcmUwWj8z8AAAAAGAAAAPz8APwAAgAAAAAAAPC/AnpYqDXNO96/AoQvTKYKRuc/AAAAAAERAAAA/PwA/AACAAAAAAAA8L8CE/JBz2ZVDkACDr4wmSoYzT8AAAAALAAEAWUEAAAAAAAAAAAECAFlBAAAAAAAAAAACAwBZQgAAAAAAAAAAAgQAWUEAAAAAAAAAAAQFAFlBAAAAAAAAAAAFBgBZQQAAAAAAAAAABgcAWUEAAAAAAAAAAAcIAFlBAAAAAAAAAAAICQBZQQAAAAAAAAAACQoAWUEAAAAAAAAAAAoFAFlBAAAAAAAAAAAAAAAAA==</t>
        </r>
      </text>
    </comment>
    <comment ref="A103" authorId="0" shapeId="0" xr:uid="{B07A9CC3-A4F0-48FD-90C4-36F0A91F6423}">
      <text>
        <r>
          <rPr>
            <sz val="9"/>
            <color indexed="81"/>
            <rFont val="MS P ゴシック"/>
            <family val="3"/>
            <charset val="128"/>
          </rPr>
          <t>Insight iXlW00001C0000103R0585476093S00000204P01008LAocjBAQBF1NjaVRlZ2ljLmRhdGEuTW9sZWN1bGUBbwF/ARJTY2lUZWdpYy5Nb2xlY3VsZQAAAQFkAv5qAQAAAAIAAjQgAAAA/PwA/AACAAAAAAAA8L8Cf2q8dJMY3D8CYxBYObTI9D8AAAAAGAAAAPz8APwAAgAAAAAAAPC/AkA1XrpJDO4/AoPAyqFFtts/AAAAABwAAAD8/AD8AAIAAAAAAADwvwJ/arx0kxjcPwKDwMqhRbbbvwAAAAAYAAAA/PwA/AACAAAAAAAA8L8CwcqhRbbz4b8Cg8DKoUW2278AAAAAGAAAAPz8APwAAgAAAAAAAPC/AmDl0CLb+fC/AmMQWDm0yPS/AAAAABgAAAD8/AD8AAIAAAAAAADwvwKwcmiR7XwAwAJjEFg5tMj0vwAAAAAcAAAA/PwA/AACAAAAAAAA8L8CsHJoke18BMACg8DKoUW2278AAAAAGAAAAPz8APwAAgAAAAAAAPC/ArByaJHtfADAAoPAyqFFtts/AAAAABgAAAD8/AD8AAIAAAAAAADwvwJg5dAi2/nwvwKDwMqhRbbbPwAAAAAYAAAA/PwA/AACAAAAAAAA8L8CoBov3SQG/z8Cg8DKoUW22z8AAAAAGAAAAPz8APwAAgAAAAAAAPC/AnE9CtejcAZAAvT91HjpJrG/AAAAABgAAAD8/AD8AAIAAAAAAADwvwJxPQrXo3AGQAJCYOXQItvtPwAAAAABEQAAAPz8APwAAgAAAAAAAPC/AtejcD0K1wxAAAAAAAA0AAQBZQgAAAAAAAAAAAQIAWUEAAAAAAAAAAAIDAFlBAAAAAAAAAAADBABZQQAAAAAAAAAABAUAWUEAAAAAAAAAAAUGAFlBAAAAAAAAAAAGBwBZQQAAAAAAAAAABwgAWUEAAAAAAAAAAAgDAFlBAAAAAAAAAAABCQBZQQAAAAAAAAAACQoAWUEAAAAAAAAAAAoLAFlBAAAAAAAAAAALCQBZQQAAAAAAAAAAAAAAAA=</t>
        </r>
      </text>
    </comment>
    <comment ref="A104" authorId="0" shapeId="0" xr:uid="{424B0C2C-4564-4D2D-A383-12F43A45C6FC}">
      <text>
        <r>
          <rPr>
            <sz val="9"/>
            <color indexed="81"/>
            <rFont val="MS P ゴシック"/>
            <family val="3"/>
            <charset val="128"/>
          </rPr>
          <t>Insight iXlW00001C0000104R0585476093S00000206P01296LAocjBAQBF1NjaVRlZ2ljLmRhdGEuTW9sZWN1bGUBbwF/ARJTY2lUZWdpYy5Nb2xlY3VsZQAAAQFkAv5qAQAAAAIAAgERASMAAAD8/AD8AAIAAAAAAADwvwIAAAAAAADzPwJjEFg5tMj0vwAAAAAYAAAA/PwA/AACAAAAAAAA8L8CAAAAAAAA+z8Cg8DKoUW2278AAAAAGAAAAPz8APwAAgAAAAAAAPC/AgAAAAAAgAVAAoPAyqFFttu/AAAAABgAAAD8/AD8AAIAAAAAAADwvwIAAAAAAIAJQAKDwMqhRbbbPwAAAAAYAAAA/PwA/AACAAAAAAAA8L8CAAAAAACABUACYxBYObTI9D8AAAAAGAAAAPz8APwAAgAAAAAAAPC/AgAAAAAAAPs/AmMQWDm0yPQ/AAAAABgAAAD8/AD8AAIAAAAAAADwvwIAAAAAAADzPwKDwMqhRbbbPwAAAAAYAAAA/PwA/AACAAAAAAAA8L8CAAAAAAAAyD8Cg8DKoUW22z8AAAAAIAAAAPz8APwAAgAAAAAAAPC/AgAAAAAAANS/AmMQWDm0yPQ/AAAAABwAAAD8/AD8AAIAAAAAAADwvwIAAAAAAADUvwKDwMqhRbbbvwAAAAAYAAAA/PwA/AACAAAAAAAA8L8CAAAAAAAA9b8Cg8DKoUW2278AAAAAGAAAAPz8APwAAgAAAAAAAPC/AgAAAAAAAP2/AmMQWDm0yPS/AAAAABgAAAD8/AD8AAIAAAAAAADwvwIAAAAAAIAGwAJjEFg5tMj0vwAAAAAcAAAA/PwA/AACAAAAAAAA8L8CAAAAAACACsACg8DKoUW2278AAAAAGAAAAPz8APwAAgAAAAAAAPC/AgAAAAAAgAbAAoPAyqFFtts/AAAAABgAAAD8/AD8AAIAAAAAAADwvwIAAAAAAAD9vwKDwMqhRbbbPwAAAAABEQAAAPz8APwAAgAAAAAAAPC/AmdmZmZm5g9AAAAAAAABEQAEAWUEAAAAAAAAAAAECAFlCAwAAAAAAAAACAwBZQQAAAAAAAAAAAwQAWUICAAAAAAAAAAQFAFlBAAAAAAAAAAAFBgBZQgIAAAAAAAAABgEAWUEAAAAAAAAAAAYHAFlBAAAAAAAAAAAHCABZQgAAAAAAAAAABwkAWUEAAAAAAAAAAAkKAFlBAAAAAAAAAAAKCwBZQQAAAAAAAAAACwwAWUEAAAAAAAAAAAwNAFlBAAAAAAAAAAANDgBZQQAAAAAAAAAADg8AWUEAAAAAAAAAAA8KAFlBAAAAAAAAAAAAAAAAA==</t>
        </r>
      </text>
    </comment>
    <comment ref="A105" authorId="0" shapeId="0" xr:uid="{0851103E-1B4F-4ACC-ACC3-1EF99845C199}">
      <text>
        <r>
          <rPr>
            <sz val="9"/>
            <color indexed="81"/>
            <rFont val="MS P ゴシック"/>
            <family val="3"/>
            <charset val="128"/>
          </rPr>
          <t>Insight iXlW00001C0000105R0585476093S00000208P01304LAocjBAQBF1NjaVRlZ2ljLmRhdGEuTW9sZWN1bGUBbwF/ARJTY2lUZWdpYy5Nb2xlY3VsZQAAAQFkAv5qAQAAAAIAAgERASMAAAD8/AD8AAIAAAAAAADwvwJQjZduEgMNQAI8TtGRXP7DPwAAAAAYAAAA/PwA/AACAAAAAAAA8L8C9wZfmEwVBkAC4lgXt9EA1r8AAAAAGAAAAPz8APwAAgAAAAAAAPC/AvcGX5hMFQZAAjnWxW00gPW/AAAAABgAAAD8/AD8AAIAAAAAAADwvwKsrdhfdk/+PwI51sVtNID9vwAAAAAYAAAA/PwA/AACAAAAAAAA8L8Cak3zjlN08D8CyCk6kst/9b8AAAAAGAAAAPz8APwAAgAAAAAAAPC/AmpN845TdPA/Ah6n6Egu/9W/AAAAABgAAAD8/AD8AAIAAAAAAADwvwKsrdhfdk/+PwI8TtGRXP7DPwAAAAAYAAAA/PwA/AACAAAAAAAA8L8CRWlv8IXJxD8CxLEubqMBxD8AAAAAIAAAAPz8APwAAgAAAAAAAPC/AkVpb/CFycQ/AjnWxW00gPI/AAAAABwAAAD8/AD8AAIAAAAAAADwvwIy5q4l5IPmvwIep+hILv/VvwAAAAAYAAAA/PwA/AACAAAAAAAA8L8CzH9Iv30d+b8CxLEubqMBxD8AAAAAGAAAAPz8APwAAgAAAAAAAPC/AgfwFkhQfAPAAh6n6Egu/9W/AAAAABgAAAD8/AD8AAIAAAAAAADwvwIooImw4WkKwALEsS5uowHEPwAAAAAcAAAA/PwA/AACAAAAAAAA8L8CKKCJsOFpCsACOdbFbTSA8j8AAAAAGAAAAPz8APwAAgAAAAAAAPC/AgfwFkhQfAPAAsgpOpLLf/o/AAAAABgAAAD8/AD8AAIAAAAAAADwvwLMf0i/fR35vwLIKTqSy3/yPwAAAAABEQAAAPz8APwAAgAAAAAAAPC/Atv5fmq8tBFAAoljXdxGA7i/AAAAAAERAAQBZQQAAAAAAAAAAAQIAWUEAAAAAAAAAAAIDAFlCAgAAAAAAAAADBABZQQAAAAAAAAAABAUAWUICAAAAAAAAAAUGAFlBAAAAAAAAAAAGAQBZQgMAAAAAAAAABQcAWUEAAAAAAAAAAAcIAFlCAAAAAAAAAAAHCQBZQQAAAAAAAAAACQoAWUEAAAAAAAAAAAoLAFlBAAAAAAAAAAALDABZQQAAAAAAAAAADA0AWUEAAAAAAAAAAA0OAFlBAAAAAAAAAAAODwBZQQAAAAAAAAAADwoAWUEAAAAAAAAAAAAAAAA</t>
        </r>
      </text>
    </comment>
    <comment ref="A106" authorId="0" shapeId="0" xr:uid="{6723D735-2C11-4F5B-A871-E2E8D8545655}">
      <text>
        <r>
          <rPr>
            <sz val="9"/>
            <color indexed="81"/>
            <rFont val="MS P ゴシック"/>
            <family val="3"/>
            <charset val="128"/>
          </rPr>
          <t>Insight iXlW00001C0000106R0585476093S00000210P01832LAocjBAQBF1NjaVRlZ2ljLmRhdGEuTW9sZWN1bGUBbwF/ARJTY2lUZWdpYy5Nb2xlY3VsZQAAAQFkAv5qAQAAAAIAAgEYHAAEAPz8APwAAgAAAAAAAPC/AvcGX5hMlRFAAq5p3nGKjuq/AAAAABgAAAD8/AD8AAIAAAAAAADwvwIT8kHPZtUIwAJdbcX+snuiPwAAAAAcAAAA/PwA/AACAAAAAAAA8L8CE/JBz2bVAMACXW3F/rJ7oj8AAAAAGAAAAPz8APwAAgAAAAAAAPC/Au4NvjCZKg9AAl1txf6ye6I/AAAAACAAAAD8/AD8AAIAAAAAAADwvwIT8kHPZtUMwAKQwvUoXI/qvwAAAAAgAPwA/PwA/AACAAAAAAAA8L8C7g2+MJkqD0ACGZXUCWgi+78AAAAAIAAAAPz8APwAAgAAAAAAAPC/AvcGX5hMlRVAAq5p3nGKjuq/AAAAACAAAAD8/AD8AAIAAAAAAADwvwIT8kHPZtUMwAJZF7fRAN7sPwAAAAAYAAAA/PwA/AACAAAAAAAA8L8CJuSDns2q+b8CWRe30QDe7D8AAAAAGAAAAPz8APwAAgAAAAAAAPC/Aibkg57Nqvm/Aq5p3nGKjuq/AAAAABgAAAD8/AD8AAIAAAAAAADwvwLtDb4wmSoHQAJdbcX+snuiPwAAAAAYAAAA/PwA/AACAAAAAAAA8L8CCvmgZ7NqEsACkML1KFyP6r8AAAAAHAAAAPz8APwAAgAAAAAAAPC/ArU3+MJkquw/Al1txf6ye6I/AAAAABgAAAD8/AD8AAIAAAAAAADwvwJMyAc9m1XjvwJZF7fRAN7sPwAAAAAYAAAA/PwA/AACAAAAAAAA8L8CTMgHPZtV478CrmnecYqO6r8AAAAAGAAAAPz8APwAAgAAAAAAAPC/AltCPujZrLq/Al1txf6ye6I/AAAAABgAAAD8/AD8AAIAAAAAAADwvwLtDb4wmSoDQAJZF7fRAN7sPwAAAAAYAAAA/PwA/AACAAAAAAAA8L8C2xt8YTJV9j8CWRe30QDe7D8AAAAAGAAAAPz8APwAAgAAAAAAAPC/AvcGX5hMlRFAAlkXt9EA3uw/AAAAABgAAAD8/AD8AAIAAAAAAADwvwLuDb4wmSoPQAJfmEwVjEr8PwAAAAAYAAAA/PwA/AACAAAAAAAA8L8CCvmgZ7NqEsACSOF6FK5H/b8AAAAAGAAAAPz8APwAAgAAAAAAAPC/Agr5oGezahbAApDC9Shcj+q/AAAAABgAAAD8/AD8AAIAAAAAAADwvwIK+aBns2oSwALD9Shcj8LFPwAAAAAYAAAA/PwA/AACAAAAAAAA8L8C7Q2+MJkqB0AC7uvAOSNK/D8AAAAAARkECAFlBAAAAAAAAAAACCQBZQQAAAAAAAAAAAwAAWUEAAAAAAAAAAAQBAFlBAAAAAAAAAAAFAABZQQAAAAAAAAAABgAAWUIAAAAAAAAAAAcBAFlCAAAAAAAAAAAIDQBZQQAAAAAAAAAACQ4AWUEAAAAAAAAAAAoDAFlCAwAAAAAAAAALBABZQQAAAAAAAAAADABEQFlBAAAAAAAAAAANDwBZQQAAAAAAAAAADg8AWUEAAAAAAAAAAA8MAFlBAAAAAAAAAAAARAoAWUEAAAAAAAAAAABEQEQAWUEAAAAAAAAAAABEgwBZQQAAAAAAAAAAAETARIBZQgIAAAAAAAAAAEULAFlBAAAAAAAAAAAARUsAWUEAAAAAAAAAAABFiwBZQQAAAAAAAAAAAEXARABZQgIAAAAAAAAAAETARcBZQQAAAAAAAAAAAggAWUEAAAAAAAAAAAAAAAA</t>
        </r>
      </text>
    </comment>
    <comment ref="A107" authorId="0" shapeId="0" xr:uid="{238EB241-0AA5-4B62-8DFD-E0F5F36BB089}">
      <text>
        <r>
          <rPr>
            <sz val="9"/>
            <color indexed="81"/>
            <rFont val="MS P ゴシック"/>
            <family val="3"/>
            <charset val="128"/>
          </rPr>
          <t>Insight iXlW00001C0000107R0585476093S00000212P01288LAocjBAQBF1NjaVRlZ2ljLmRhdGEuTW9sZWN1bGUBbwF/ARJTY2lUZWdpYy5Nb2xlY3VsZQAAAQFkAv5qAQAAAAIAAgERIAAAAPz8APwAAgAAAAAAAPC/AgYSFD/G3M2/Ava52or9ZfM/AAAAABgAAAD8/AD8AAIAAAAAAADwvwL99nXgnBHRPwLQZtXnaivWPwAAAAAcAAAA/PwA/AACAAAAAAAA8L8CBhIUP8bczb8CHA3gLZCg4L8AAAAAGAAAAPz8APwAAgAAAAAAAPC/AkGC4seYu/O/AhwN4C2QoOC/AAAAABgAAAD8/AD8AAIAAAAAAADwvwJBguLHmLv7vwLQZtXnaiv2vwAAAAAYAAAA/PwA/AACAAAAAAAA8L8CIUHxY8zdBcAC0GbV52or9r8AAAAAHAAAAPz8APwAAgAAAAAAAPC/AiFB8WPM3QnAAhwN4C2QoOC/AAAAABgAAAD8/AD8AAIAAAAAAADwvwIhQfFjzN0FwALQZtXnaivWPwAAAAAYAAAA/PwA/AACAAAAAAAA8L8CQYLix5i7+78C0GbV52or1j8AAAAAGAAAAPz8APwAAgAAAAAAAPC/AsB9HThnRPQ/AtBm1edqK9Y/AAAAABgAAAD8/AD8AAIAAAAAAADwvwLAfR04Z0T8PwIcDeAtkKDgvwAAAAAYAAAA/PwA/AACAAAAAAAA8L8Cp+hILv8hBkACHA3gLZCg4L8AAAAAGAAAAPz8APwAAgAAAAAAAPC/AqfoSC7/IQpAAtBm1edqK9Y/AAAAABwAAAD8/AD8AAIAAAAAAADwvwKn6Egu/yEGQAJnZmZmZmbzPwAAAAAYAAAA/PwA/AACAAAAAAAA8L8CwH0dOGdE/D8C9rnaiv1l8z8AAAAAAREAAAD8/AD8AAIAAAAAAADwvwKHp1fKMkQQQAL77evAOSO6vwAAAAABEQAAAPz8APwAAgAAAAAAAPC/AhUdyeU/ZBRAAoNRSZ2AJrK/AAAAAAEQAAQBZQgAAAAAAAAAAAQIAWUEAAAAAAAAAAAIDAFlBAAAAAAAAAAADBABZQQAAAAAAAAAABAUAWUEAAAAAAAAAAAUGAFlBAAAAAAAAAAAGBwBZQQAAAAAAAAAABwgAWUEAAAAAAAAAAAgDAFlBAAAAAAAAAAABCQBZQQAAAAAAAAAACQoAWUIDAAAAAAAAAAoLAFlBAAAAAAAAAAALDABZQgIAAAAAAAAADA0AWUEAAAAAAAAAAA0OAFlCAgAAAAAAAAAOCQBZQQAAAAAAAAAAAAAAAA=</t>
        </r>
      </text>
    </comment>
    <comment ref="A108" authorId="0" shapeId="0" xr:uid="{6074307D-EB24-4B75-9224-C10E4FCE2AF8}">
      <text>
        <r>
          <rPr>
            <sz val="9"/>
            <color indexed="81"/>
            <rFont val="MS P ゴシック"/>
            <family val="3"/>
            <charset val="128"/>
          </rPr>
          <t>Insight iXlW00001C0000108R0585476093S00000214P01288LAocjBAQBF1NjaVRlZ2ljLmRhdGEuTW9sZWN1bGUBbwF/ARJTY2lUZWdpYy5Nb2xlY3VsZQAAAQFkAv5qAQAAAAIAAgERIAAAAPz8APwAAgAAAAAAAPC/AgYSFD/G3M2/Ava52or9ZfM/AAAAABgAAAD8/AD8AAIAAAAAAADwvwL99nXgnBHRPwLQZtXnaivWPwAAAAAcAAAA/PwA/AACAAAAAAAA8L8CBhIUP8bczb8CHA3gLZCg4L8AAAAAGAAAAPz8APwAAgAAAAAAAPC/AkGC4seYu/O/AhwN4C2QoOC/AAAAABgAAAD8/AD8AAIAAAAAAADwvwJBguLHmLv7vwLQZtXnaiv2vwAAAAAYAAAA/PwA/AACAAAAAAAA8L8CIUHxY8zdBcAC0GbV52or9r8AAAAAHAAAAPz8APwAAgAAAAAAAPC/AiFB8WPM3QnAAhwN4C2QoOC/AAAAABgAAAD8/AD8AAIAAAAAAADwvwIhQfFjzN0FwALQZtXnaivWPwAAAAAYAAAA/PwA/AACAAAAAAAA8L8CQYLix5i7+78C0GbV52or1j8AAAAAGAAAAPz8APwAAgAAAAAAAPC/AsB9HThnRPQ/AtBm1edqK9Y/AAAAABgAAAD8/AD8AAIAAAAAAADwvwLAfR04Z0T8PwL2udqK/WXzPwAAAAAYAAAA/PwA/AACAAAAAAAA8L8C4L4OnDMiBkAC9rnaiv1l8z8AAAAAHAAAAPz8APwAAgAAAAAAAPC/AuC+DpwzIgpAAtBm1edqK9Y/AAAAABgAAAD8/AD8AAIAAAAAAADwvwLgvg6cMyIGQAIcDeAtkKDgvwAAAAAYAAAA/PwA/AACAAAAAAAA8L8CwH0dOGdE/D8CHA3gLZCg4L8AAAAAAREAAAD8/AD8AAIAAAAAAADwvwKjkjoBTUQQQAILtaZ5xym6vwAAAAABEQAAAPz8APwAAgAAAAAAAPC/AjEIrBxaZBRAApQYBFYOLbK/AAAAAAEQAAQBZQgAAAAAAAAAAAQIAWUEAAAAAAAAAAAIDAFlBAAAAAAAAAAADBABZQQAAAAAAAAAABAUAWUEAAAAAAAAAAAUGAFlBAAAAAAAAAAAGBwBZQQAAAAAAAAAABwgAWUEAAAAAAAAAAAgDAFlBAAAAAAAAAAABCQBZQQAAAAAAAAAACQoAWUIDAAAAAAAAAAoLAFlBAAAAAAAAAAALDABZQgIAAAAAAAAADA0AWUEAAAAAAAAAAA0OAFlCAgAAAAAAAAAOCQBZQQAAAAAAAAAAAAAAAA=</t>
        </r>
      </text>
    </comment>
    <comment ref="A109" authorId="0" shapeId="0" xr:uid="{F2C8B7C6-15E6-4B2B-B37F-B3E916676C34}">
      <text>
        <r>
          <rPr>
            <sz val="9"/>
            <color indexed="81"/>
            <rFont val="MS P ゴシック"/>
            <family val="3"/>
            <charset val="128"/>
          </rPr>
          <t>Insight iXlW00001C0000109R0585476093S00000216P01304LAocjBAQBF1NjaVRlZ2ljLmRhdGEuTW9sZWN1bGUBbwF/ARJTY2lUZWdpYy5Nb2xlY3VsZQAAAQFkAv5qAQAAAAIAAgERIAAAAPz8APwAAgAAAAAAAPC/AnGsi9toAL+/AunZrPpcbdU/AAAAAAEQAAAA/PwA/AACAAAAAAAA8L8C5BQdyeU/2D8Cj1N0JJf/4L8AAAAAIAAAAPz8APwAAgAAAAAAAPC/AnKKjuTyH+w/Ano2qz5XW/a/AAAAABwAAAD8/AD8AAIAAAAAAADwvwIjbHh6pSzfvwI51sVtNIDwvwAAAAAYAAAA/PwA/AACAAAAAAAA8L8CuycPC7Wm9b8CcayL22gA4b8AAAAAGAAAAPz8APwAAgAAAAAAAPC/Av9D+u3rwAHAAsgpOpLLf/C/AAAAABgAAAD8/AD8AAIAAAAAAADwvwIf9GxWfa4IwAKPU3Qkl//gvwAAAAAcAAAA/PwA/AACAAAAAAAA8L8CH/RsVn2uCMACHqfoSC7/3T8AAAAAGAAAAPz8APwAAgAAAAAAAPC/Av9D+u3rwAHAAo9TdCSX/+4/AAAAABgAAAD8/AD8AAIAAAAAAADwvwK7Jw8Ltab1vwIep+hILv/dPwAAAAAYAAAA/PwA/AACAAAAAAAA8L8Ce6UsQxzr8z8C33GKjuTyn78AAAAAGAAAAPz8APwAAgAAAAAAAPC/AnulLEMc6/M/Ao9TdCSX/+4/AAAAABgAAAD8/AD8AAIAAAAAAADwvwLeAgmKH+MAQALIKTqSy3/3PwAAAAAYAAAA/PwA/AACAAAAAAAA8L8COIlBYOXQB0ACcayL22gA7z8AAAAAGAAAAPz8APwAAgAAAAAAAPC/Av+ye/Kw0AdAAt9xio7k8p+/AAAAABgAAAD8/AD8AAIAAAAAAADwvwLeAgmKH+MAQAKPU3Qkl//gvwAAAAABEQAAAPz8APwAAgAAAAAAAPC/Ap7vp8ZLNw5AAtc07zhFR6I/AAAAAAERAAQBZQgAAAAAAAAAAAQIAWUIAAAAAAAAAAAEDAFlBAAAAAAAAAAADBABZQQAAAAAAAAAABAUAWUEAAAAAAAAAAAUGAFlBAAAAAAAAAAAGBwBZQQAAAAAAAAAABwgAWUEAAAAAAAAAAAgJAFlBAAAAAAAAAAAJBABZQQAAAAAAAAAAAQoAWUEAAAAAAAAAAAoLAFlCAwAAAAAAAAALDABZQQAAAAAAAAAADA0AWUICAAAAAAAAAA0OAFlBAAAAAAAAAAAODwBZQgIAAAAAAAAADwoAWUEAAAAAAAAAAAAAAAA</t>
        </r>
      </text>
    </comment>
    <comment ref="A110" authorId="0" shapeId="0" xr:uid="{DE61B00B-66F2-4ACD-93BD-EC5D8B86B826}">
      <text>
        <r>
          <rPr>
            <sz val="9"/>
            <color indexed="81"/>
            <rFont val="MS P ゴシック"/>
            <family val="3"/>
            <charset val="128"/>
          </rPr>
          <t>Insight iXlW00001C0000110R0585476093S00000218P01812LAocjBAQBF1NjaVRlZ2ljLmRhdGEuTW9sZWN1bGUBbwF/ARJTY2lUZWdpYy5Nb2xlY3VsZQAAAQFkAv5qAQAAAAIAAgEYARAAAAD8/AD8AAIAAAAAAADwvwL0bFZ9rrb7PwJMyAc9m1XtvwAAAAAYAAAA/PwA/AACAAAAAAAA8L8Cm+Ydp+jIBMACtTf4wmSq4j8AAAAAHAAAAPz8APwAAgAAAAAAAPC/AoPAyqFFtvu/AqW9wRcmU7U/AAAAABwAAAD8/AD8AAIAAAAAAADwvwKDwMqhRbbrPwIm5IOezar2vwAAAAAYAAAA/PwA/AACAAAAAAAA8L8Cm+Ydp+jIBEACl5APejar2r8AAAAAIAAAAPz8APwAAgAAAAAAAPC/AryWkA96tgvAAqW9wRcmU7U/AAAAACAAAAD8/AD8AAIAAAAAAADwvwL0bFZ9rrbzPwJj7lpCPuipvwAAAAAgAAAA/PwA/AACAAAAAAAA8L8CejarPlfbAUACaERpb/CF/L8AAAAAIAAAAPz8APwAAgAAAAAAAPC/ApvmHafoyATAAtsbfGEyVfk/AAAAABgAAAD8/AD8AAIAAAAAAADwvwKDwMqhRbbrvwK1N/jCZKriPwAAAAAYAAAA/PwA/AACAAAAAAAA8L8Cg8DKoUW2+78Cam/whclU7b8AAAAAGAAAAPz8APwAAgAAAAAAAPC/Am6jAbwFUhHAArU3+MJkquI/AAAAABgAAAD8/AD8AAIAAAAAAADwvwACTMgHPZtV7b8AAAAAGAAAAPz8APwAAgAAAAAAAPC/AAKlvcEXJlO1PwAAAAAYAAAA/PwA/AACAAAAAAAA8L8Cg8DKoUW2678CtTf4wmSq9r8AAAAAGAAAAPz8APwAAgAAAAAAAPC/AryWkA96tgtAAkzIBz2bVe2/AAAAABgAAAD8/AD8AAIAAAAAAADwvwKb5h2n6MgEQAK1N/jCZKriPwAAAAAYAAAA/PwA/AACAAAAAAAA8L8CbqMBvAVSEUACtTf4wmSq4j8AAAAAGAAAAPz8APwAAgAAAAAAAPC/AryWkA96tgtAAtsbfGEyVfE/AAAAABgAAAD8/AD8AAIAAAAAAADwvwJuowG8BVIRQAKXkA96NqvavwAAAAAkAAAA/PwA/AACAAAAAAAA8L8Cf/s6cM7IFEAC2xt8YTJV8T8AAAAAGAAAAPz8APwAAgAAAAAAAPC/Am6jAbwFUhPAAp0Rpb3BF9K/AAAAABgAAAD8/AD8AAIAAAAAAADwvwJ/+zpwzsgUwALbG3xhMlXxPwAAAAAYAAAA/PwA/AACAAAAAAAA8L8C3UYDeAukDsACjSjtDb4w9z8AAAAAARkECAFlBAAAAAAAAAAACCgBZQQAAAAAAAAAAAwAAWUEAAAAAAAAAAAQAAFlBAAAAAAAAAAAFAQBZQQAAAAAAAAAABgAAWUIAAAAAAAAAAAcAAFlCAAAAAAAAAAAIAQBZQgAAAAAAAAAACQ0AWUEAAAAAAAAAAAoOAFlBAAAAAAAAAAALBQBZQQAAAAAAAAAADAMAWUEAAAAAAAAAAA0MAFlBAAAAAAAAAAAODABZQQAAAAAAAAAADwQAWUIDAAAAAAAAAABEBABZQQAAAAAAAAAAAERARIBZQQAAAAAAAAAAAESARABZQgIAAAAAAAAAAETPAFlBAAAAAAAAAAAARQBEQFlBAAAAAAAAAAAARUsAWUEAAAAAAAAAAABFiwBZQQAAAAAAAAAAAEXLAFlBAAAAAAAAAAAAREBEwFlCAgAAAAAAAAACCQBZQQAAAAAAAAAAAAAAAA=</t>
        </r>
      </text>
    </comment>
    <comment ref="A111" authorId="0" shapeId="0" xr:uid="{16368668-7D14-4410-BE30-54B9A1DFC3BE}">
      <text>
        <r>
          <rPr>
            <sz val="9"/>
            <color indexed="81"/>
            <rFont val="MS P ゴシック"/>
            <family val="3"/>
            <charset val="128"/>
          </rPr>
          <t>Insight iXlW00001C0000111R0585476093S00000220P01304LAocjBAQBF1NjaVRlZ2ljLmRhdGEuTW9sZWN1bGUBbwF/ARJTY2lUZWdpYy5Nb2xlY3VsZQAAAQFkAv5qAQAAAAIAAgERGAAAAPz8APwAAgAAAAAAAPC/AgMJih9j7vG/AjC7Jw8LteQ/AAAAABwAAAD8/AD8AAIAAAAAAADwvwIGo5I6AU3QvwLA7J48LNTCPwAAAAAgAAAA/PwA/AACAAAAAAAA8L8CthX7y+7J/78CwOyePCzUwj8AAAAAIAAAAPz8APwAAgAAAAAAAPC/AgMJih9j7vG/Apjdk4eFWvo/AAAAABgAAAD8/AD8AAIAAAAAAADwvwIGo5I6AU3QvwLQRNjw9ErrvwAAAAAYAAAA/PwA/AACAAAAAAAA8L8CAW+BBMWP4z8CTmIQWDm05D8AAAAAHAAAAPz8APwAAgAAAAAAAPC/AjqSy39IvwJAAmgibHh6pfW/AAAAABgAAAD8/AD8AAIAAAAAAADwvwL8OnDOiNIGwAIwuycPC7XkPwAAAAAYAAAA/PwA/AACAAAAAAAA8L8CwhcmUwWj9z8COIlBYOXQwj8AAAAAGAAAAPz8APwAAgAAAAAAAPC/AgFvgQTFj+M/AmgibHh6pfW/AAAAABgAAAD8/AD8AAIAAAAAAADwvwLCFyZTBaP3PwLQRNjw9ErrvwAAAAAYAAAA/PwA/AACAAAAAAAA8L8CW0I+6NmsCUAC0ETY8PRK678AAAAAGAAAAPz8APwAAgAAAAAAAPC/Avw6cM6I0grAAtV46SYxCMy/AAAAABgAAAD8/AD8AAIAAAAAAADwvwId6+I2GsANwAKY3ZOHhVryPwAAAAAYAAAA/PwA/AACAAAAAAAA8L8C/DpwzojSAsAC2j15WKg1+D8AAAAAGAAAAPz8APwAAgAAAAAAAPC/AltCPujZrAlAAsDsnjws1MI/AAAAABgAAAD8/AD8AAIAAAAAAADwvwI+eVioNU0QQAJoImx4eqX1vwAAAAABEQQAAWUEAAAAAAAAAAAIAAFlBAAAAAAAAAAADAABZQgAAAAAAAAAABAEAWUEAAAAAAAAAAAUBAFlBAAAAAAAAAAAGCgBZQQAAAAAAAAAABwIAWUEAAAAAAAAAAAgFAFlBAAAAAAAAAAAJBABZQQAAAAAAAAAACggAWUEAAAAAAAAAAAsGAFlBAAAAAAAAAAAMBwBZQQAAAAAAAAAADQcAWUEAAAAAAAAAAA4HAFlBAAAAAAAAAAAPCwBZQQAAAAAAAAAAAEQLAFlBAAAAAAAAAAAJCgBZQQAAAAAAAAAAAAAAAA=</t>
        </r>
      </text>
    </comment>
    <comment ref="A112" authorId="0" shapeId="0" xr:uid="{C659FD9A-6D22-4A2C-A16D-731256C69AC1}">
      <text>
        <r>
          <rPr>
            <sz val="9"/>
            <color indexed="81"/>
            <rFont val="MS P ゴシック"/>
            <family val="3"/>
            <charset val="128"/>
          </rPr>
          <t>Insight iXlW00001C0000112R0585476093S00000222P00916LAocjBAQBF1NjaVRlZ2ljLmRhdGEuTW9sZWN1bGUBbwF/ARJTY2lUZWdpYy5Nb2xlY3VsZQAAAQFkAv5qAQAAAAIAAjAYAAAA/PwA/AACAAAAAAAA8L8CqhPQRNjw+D8CZ2ZmZmZm5j8AAAAAGAAAAPz8APwAAgAAAAAAAPC/AqoT0ETY8Pg/AjMzMzMzM9O/AAAAABgAAAD8/AD8AAIAAAAAAADwvwIukKD4MWYDQAKamZmZmZnpvwAAAAAcAAAA/PwA/AACAAAAAAAA8L8C0GbV52or5j8CmpmZmZmZ6b8AAAAAGAAAAPz8APwAAgAAAAAAAPC/AtBm1edqK8a/AjMzMzMzM9O/AAAAABgAAAD8/AD8AAIAAAAAAADwvwIcDeAtkKDwvwKamZmZmZnpvwAAAAAYAAAA/PwA/AACAAAAAAAA8L8CXW3F/rJ7/r8CMzMzMzMz078AAAAAHAAAAPz8APwAAgAAAAAAAPC/As4ZUdobfP6/AmdmZmZmZuY/AAAAABgAAAD8/AD8AAIAAAAAAADwvwIcDeAtkKDwvwIzMzMzMzPzPwAAAAAYAAAA/PwA/AACAAAAAAAA8L8C0GbV52orxr8CZ2ZmZmZm5j8AAAAAAREAAAD8/AD8AAIAAAAAAADwvwKV9gZfmMwJQAJ88rBQa5rHPwAAAAABEQAAAPz8APwAAgAAAAAAAPC/Atjw9EpZBhFAArhAguLHmMs/AAAAACgABAFlBAAAAAAAAAAABAgBZQQAAAAAAAAAAAQMAWUEAAAAAAAAAAAMEAFlBAAAAAAAAAAAEBQBZQQAAAAAAAAAABQYAWUEAAAAAAAAAAAYHAFlBAAAAAAAAAAAHCABZQQAAAAAAAAAACAkAWUEAAAAAAAAAAAkEAFlBAAAAAAAAAAAAAAAAA==</t>
        </r>
      </text>
    </comment>
    <comment ref="A113" authorId="0" shapeId="0" xr:uid="{99DC270F-C6EB-4EE5-8155-6C31CFBAF580}">
      <text>
        <r>
          <rPr>
            <sz val="9"/>
            <color indexed="81"/>
            <rFont val="MS P ゴシック"/>
            <family val="3"/>
            <charset val="128"/>
          </rPr>
          <t>Insight iXlW00001C0000113R0585476093S00000224P01216LAocjBAQBF1NjaVRlZ2ljLmRhdGEuTW9sZWN1bGUBbwF/ARJTY2lUZWdpYy5Nb2xlY3VsZQAAAQFkAv5qAQAAAAIAAgEQGAAAAPz8APwAAgAAAAAAAPC/AgAAAAAAANA/AoPAyqFFtts/AAAAABwAAAD8/AD8AAIAAAAAAADwvwIAAAAAAADQvwKDwMqhRbbbvwAAAAAYAAAA/PwA/AACAAAAAAAA8L8CAAAAAAAA9L8Cg8DKoUW2278AAAAAGAAAAPz8APwAAgAAAAAAAPC/AgAAAAAAAPy/AmMQWDm0yPS/AAAAABgAAAD8/AD8AAIAAAAAAADwvwIAAAAAAAAGwAJjEFg5tMj0vwAAAAAcAAAA/PwA/AACAAAAAAAA8L8CAAAAAAAACsACg8DKoUW2278AAAAAGAAAAPz8APwAAgAAAAAAAPC/AgAAAAAAAAbAAoPAyqFFtts/AAAAABgAAAD8/AD8AAIAAAAAAADwvwIAAAAAAAD8vwKDwMqhRbbbPwAAAAAYAAAA/PwA/AACAAAAAAAA8L8CAAAAAAAA9D8Cg8DKoUW22z8AAAAAGAAAAPz8APwAAgAAAAAAAPC/AgAAAAAAAPw/AmMQWDm0yPQ/AAAAABgAAAD8/AD8AAIAAAAAAADwvwIAAAAAAAAGQALUvOMUHcn0PwAAAAAYAAAA/PwA/AACAAAAAAAA8L8CAAAAAAAACkACg8DKoUW22z8AAAAAGAAAAPz8APwAAgAAAAAAAPC/AgAAAAAAAAZAAoPAyqFFttu/AAAAABwAAAD8/AD8AAIAAAAAAADwvwIAAAAAAAD8PwKDwMqhRbbbvwAAAAABEQAAAPz8APwAAgAAAAAAAPC/AjMzMzMzMxBAAt9xio7k8o+/AAAAAAERAAAA/PwA/AACAAAAAAAA8L8CwqikTkBTFEAC33GKjuTyjz8AAAAAPAAEAWUEAAAAAAAAAAAECAFlBAAAAAAAAAAACAwBZQQAAAAAAAAAAAwQAWUEAAAAAAAAAAAQFAFlBAAAAAAAAAAAFBgBZQQAAAAAAAAAABgcAWUEAAAAAAAAAAAcCAFlBAAAAAAAAAAAACABZQQAAAAAAAAAACAkAWUIDAAAAAAAAAAkKAFlBAAAAAAAAAAAKCwBZQgIAAAAAAAAACwwAWUEAAAAAAAAAAAwNAFlCAgAAAAAAAAANCABZQQAAAAAAAAAAAAAAAA=</t>
        </r>
      </text>
    </comment>
    <comment ref="A114" authorId="0" shapeId="0" xr:uid="{5E3814F0-0843-4CFF-BE60-AFDFB314AA65}">
      <text>
        <r>
          <rPr>
            <sz val="9"/>
            <color indexed="81"/>
            <rFont val="MS P ゴシック"/>
            <family val="3"/>
            <charset val="128"/>
          </rPr>
          <t>Insight iXlW00001C0000114R0585476093S00000226P01832LAocjBAQBF1NjaVRlZ2ljLmRhdGEuTW9sZWN1bGUBbwF/ARJTY2lUZWdpYy5Nb2xlY3VsZQAAAQFkAv5qAQAAAAIAAgEYGAAAAPz8APwAAgAAAAAAAPC/AgAAAAAAAArAAoPAyqFFtsu/AAAAABwAAAD8/AD8AAIAAAAAAADwvwIAAAAAAAACwAKDwMqhRbbLvwAAAAAYAAAA/PwA/AACAAAAAAAA8L8CAAAAAAAAFUACRWlv8IXJ5D8AAAAAIAAAAPz8APwAAgAAAAAAAPC/AgAAAAAAAA7AAlK4HoXrUfG/AAAAABgAAAD8/AD8AAIAAAAAAADwvwIAAAAAAAARQAJFaW/whcnkPwAAAAAgAAAA/PwA/AACAAAAAAAA8L8CAAAAAAAADsACYxBYObTI5D8AAAAAGAAAAPz8APwAAgAAAAAAAPC/AgAAAAAAAPy/AmMQWDm0yOQ/AAAAABgAAAD8/AD8AAIAAAAAAADwvwIAAAAAAAD8vwJSuB6F61HxvwAAAAAgAAAA/PwA/AACAAAAAAAA8L8CAAAAAAAAF0AC5BQdyeU/+D8AAAAAGAAAAPz8APwAAgAAAAAAAPC/AgAAAAAAABPAAlK4HoXrUfG/AAAAABwAAAD8/AD8AAIAAAAAAADwvwIAAAAAAADoPwKDwMqhRbbLvwAAAAAYAAAA/PwA/AACAAAAAAAA8L8CAAAAAAAA6L8CYxBYObTI5D8AAAAAGAAAAPz8APwAAgAAAAAAAPC/AgAAAAAAAOi/AlK4HoXrUfG/AAAAABgAAAD8/AD8AAIAAAAAAADwvwIAAAAAAAAOQALkFB3J5T/4PwAAAAAYAAAA/PwA/AACAAAAAAAA8L8CAAAAAAAADkACg8DKoUW2y78AAAAAGAAAAPz8APwAAgAAAAAAAPC/AgAAAAAAANC/AoPAyqFFtsu/AAAAACAAAAD8/AD8AAIAAAAAAADwvwIAAAAAAAAXQAKDwMqhRbbLvwAAAAAYAAAA/PwA/AACAAAAAAAA8L8CAAAAAAAA9D8CYxBYObTI5D8AAAAAGAAAAPz8APwAAgAAAAAAAPC/AgAAAAAAAAJAAmMQWDm0yOQ/AAAAABgAAAD8/AD8AAIAAAAAAADwvwIAAAAAAAAGQAKDwMqhRbbLvwAAAAAYAAAA/PwA/AACAAAAAAAA8L8CAAAAAAAABkACc2iR7Xw/+D8AAAAAGAAAAPz8APwAAgAAAAAAAPC/AgAAAAAAABPAAilcj8L1qADAAAAAABgAAAD8/AD8AAIAAAAAAADwvwIAAAAAAAAXwAJSuB6F61HxvwAAAAAYAAAA/PwA/AACAAAAAAAA8L8CAAAAAAAAE8ACH4XrUbgetb8AAAAAARkEAAFlBAAAAAAAAAAACBABZQQAAAAAAAAAAAwAAWUEAAAAAAAAAAAQNAFlBAAAAAAAAAAAFAABZQgAAAAAAAAAABgEAWUEAAAAAAAAAAAcBAFlBAAAAAAAAAAAIAgBZQgAAAAAAAAAACQMAWUEAAAAAAAAAAAoPAFlBAAAAAAAAAAALBgBZQQAAAAAAAAAADAcAWUEAAAAAAAAAAA0ARQBZQgIAAAAAAAAADgBEwFlBAAAAAAAAAAAPDABZQQAAAAAAAAAAAEQCAFlBAAAAAAAAAAAAREoAWUEAAAAAAAAAAABEgERAWUEAAAAAAAAAAABEwESAWUIDAAAAAAAAAABFAESAWUEAAAAAAAAAAABFSQBZQQAAAAAAAAAAAEWJAFlBAAAAAAAAAAAARckAWUEAAAAAAAAAAAsPAFlBAAAAAAAAAAAEDgBZQgMAAAAAAAAAAAAAAA=</t>
        </r>
      </text>
    </comment>
    <comment ref="A115" authorId="0" shapeId="0" xr:uid="{9083A7D8-9D35-4275-90AA-9E6F2CAB427D}">
      <text>
        <r>
          <rPr>
            <sz val="9"/>
            <color indexed="81"/>
            <rFont val="MS P ゴシック"/>
            <family val="3"/>
            <charset val="128"/>
          </rPr>
          <t>Insight iXlW00001C0000115R0585476093S00000228P01000LAocjBAQBF1NjaVRlZ2ljLmRhdGEuTW9sZWN1bGUBbwF/ARJTY2lUZWdpYy5Nb2xlY3VsZQAAAQFkAv5qAQAAAAIAAjQYAAAA/PwA/AACAAAAAAAA8L8CJ8KGp1dKDEACtTf4wmSq5r8AAAAAGAAAAPz8APwAAgAAAAAAAPC/As07TtGRXAVAAtPe4AuTqcq/AAAAABwAAAD8/AD8AAIAAAAAAADwvwJZF7fRAN78PwK1N/jCZKrmvwAAAAAYAAAA/PwA/AACAAAAAAAA8L8CL26jAbwF7j8C097gC5Opyr8AAAAAIAAAAPz8APwAAgAAAAAAAPC/Ai9uowG8Be4/AkzIBz2bVek/AAAAABwAAAD8/AD8AAIAAAAAAADwvwJdbcX+snuyPwK1N/jCZKrmvwAAAAAYAAAA/PwA/AACAAAAAAAA8L8CumsJ+aBn6b8C097gC5Opyr8AAAAAGAAAAPz8APwAAgAAAAAAAPC/Ah8Wak3zjvq/ArU3+MJkqua/AAAAABgAAAD8/AD8AAIAAAAAAADwvwIwuycPCzUEwALT3uALk6nKvwAAAAAcAAAA/PwA/AACAAAAAAAA8L8CMLsnDws1BMACTMgHPZtV6T8AAAAAGAAAAPz8APwAAgAAAAAAAPC/Ah8Wak3zjvq/ArU3+MJkqvQ/AAAAABgAAAD8/AD8AAIAAAAAAADwvwK6awn5oGfpvwJqb/CFyVTpPwAAAAABEQAAAPz8APwAAgAAAAAAAPC/AkeU9gZfWBFAAtPe4AuTqdI/AAAAADAABAFlBAAAAAAAAAAABAgBZQQAAAAAAAAAAAgMAWUEAAAAAAAAAAAMEAFlCAAAAAAAAAAADBQBZQQAAAAAAAAAABQYAWUEAAAAAAAAAAAYHAFlBAAAAAAAAAAAHCABZQQAAAAAAAAAACAkAWUEAAAAAAAAAAAkKAFlBAAAAAAAAAAAKCwBZQQAAAAAAAAAACwYAWUEAAAAAAAAAAAAAAAA</t>
        </r>
      </text>
    </comment>
    <comment ref="A116" authorId="0" shapeId="0" xr:uid="{7DF931AB-FAB9-452A-B929-4DECAAC0AD23}">
      <text>
        <r>
          <rPr>
            <sz val="9"/>
            <color indexed="81"/>
            <rFont val="MS P ゴシック"/>
            <family val="3"/>
            <charset val="128"/>
          </rPr>
          <t>Insight iXlW00001C0000116R0585476093S00000230P01072LAocjBAQBF1NjaVRlZ2ljLmRhdGEuTW9sZWN1bGUBbwF/ARJTY2lUZWdpYy5Nb2xlY3VsZQAAAQFkAv5qAQAAAAIAAjgYAAAA/PwA/AACAAAAAAAA8L8CSHL5D+m3A0ACbVZ9rrZi5z8AAAAAGAAAAPz8APwAAgAAAAAAAPC/Akhy+Q/ptwNAAiZTBaOSOtG/AAAAABgAAAD8/AD8AAIAAAAAAADwvwKh+DHmrqUKQAKTqYJRSZ3ovwAAAAAcAAAA/PwA/AACAAAAAAAA8L8CTYQNT6+U+T8Ck6mCUUmd6L8AAAAAGAAAAPz8APwAAgAAAAAAAPC/AhdIUPwYc+c/AiZTBaOSOtG/AAAAACAAAAD8/AD8AAIAAAAAAADwvwIXSFD8GHPnPwJtVn2utmLnPwAAAAAcAAAA/PwA/AACAAAAAAAA8L8CseHplbIMwb8Ck6mCUUmd6L8AAAAAGAAAAPz8APwAAgAAAAAAAPC/AtKRXP5D+u+/AiZTBaOSOtG/AAAAABgAAAD8/AD8AAIAAAAAAADwvwIrqRPQRNj9vwKTqYJRSZ3ovwAAAAAYAAAA/PwA/AACAAAAAAAA8L8CtoR80LPZBcACJlMFo5I60b8AAAAAHAAAAPz8APwAAgAAAAAAAPC/AraEfNCz2QXAAm1Wfa62Yuc/AAAAABgAAAD8/AD8AAIAAAAAAADwvwIrqRPQRNj9vwLG/rJ78rDzPwAAAAAYAAAA/PwA/AACAAAAAAAA8L8C0pFc/kP6778Ci/1l9+Rh5z8AAAAAAREAAAD8/AD8AAIAAAAAAADwvwKEL0ymCoYQQAIs9pfdk4fNPwAAAAA0AAQBZQQAAAAAAAAAAAQIAWUEAAAAAAAAAAAEDAFlBAAAAAAAAAAADBABZQQAAAAAAAAAABAUAWUIAAAAAAAAAAAQGAFlBAAAAAAAAAAAGBwBZQQAAAAAAAAAABwgAWUEAAAAAAAAAAAgJAFlBAAAAAAAAAAAJCgBZQQAAAAAAAAAACgsAWUEAAAAAAAAAAAsMAFlBAAAAAAAAAAAMBwBZQQAAAAAAAAAAAAAAAA=</t>
        </r>
      </text>
    </comment>
    <comment ref="A117" authorId="0" shapeId="0" xr:uid="{76F15881-F755-4AE5-9510-A900F05C7234}">
      <text>
        <r>
          <rPr>
            <sz val="9"/>
            <color indexed="81"/>
            <rFont val="MS P ゴシック"/>
            <family val="3"/>
            <charset val="128"/>
          </rPr>
          <t>Insight iXlW00001C0000117R0585476093S00000232P01232LAocjBAQBF1NjaVRlZ2ljLmRhdGEuTW9sZWN1bGUBbwF/ARJTY2lUZWdpYy5Nb2xlY3VsZQAAAQFkAv5qAQAAAAIAAgEQIAAAAPz8APwAAgAAAAAAAPC/AnP5D+m3r8s/AjlFR3L5D+U/AAAAABgAAAD8/AD8AAIAAAAAAADwvwJz+Q/pt6/LPwKOdXEbDeDVvwAAAAAcAAAA/PwA/AACAAAAAAAA8L8CcF8HzhlR8T8Cx7q4jQbw6r8AAAAAGAAAAPz8APwAAgAAAAAAAPC/AiNseHqlLP8/Ao51cRsN4NW/AAAAABgAAAD8/AD8AAIAAAAAAADwvwIUYcPTK+UGQALByqFFtvPnvwAAAAAYAAAA/PwA/AACAAAAAAAA8L8Cc2iR7Xw/DEACrthfdk8edr8AAAAAGAAAAPz8APwAAgAAAAAAAPC/Aqw+V1uxPwhAAtIA3gIJius/AAAAABgAAAD8/AD8AAIAAAAAAADwvwLOqs/VVmwAQAKIhVrTvOPkPwAAAAAcAAAA/PwA/AACAAAAAAAA8L8CJ8KGp1fK5L8Cx7q4jQbw6r8AAAAAGAAAAPz8APwAAgAAAAAAAPC/AlXBqKROQPi/Ao51cRsN4NW/AAAAABgAAAD8/AD8AAIAAAAAAADwvwLLEMe6uA0DwALHuriNBvDqvwAAAAAYAAAA/PwA/AACAAAAAAAA8L8CJZf/kH77CcACjnVxGw3g1b8AAAAAHAAAAPz8APwAAgAAAAAAAPC/AiWX/5B++wnAAjlFR3L5D+U/AAAAABgAAAD8/AD8AAIAAAAAAADwvwIE54wo7Q0DwAKdoiO5/IfyPwAAAAAYAAAA/PwA/AACAAAAAAAA8L8Cxm00gLdA+L8COUVHcvkP5T8AAAAAAREAAAD8/AD8AAIAAAAAAADwvwJt5/up8VIRQALkFB3J5T/EPwAAAAABEAAEAWUIAAAAAAAAAAAECAFlBAAAAAAAAAAACAwBZQQAAAAAAAAAAAwQAWUEAAAAAAAAAAAQFAFlBAAAAAAAAAAAFBgBZQQAAAAAAAAAABgcAWUEAAAAAAAAAAAcDAFlBAAAAAAAAAAABCABZQQAAAAAAAAAACAkAWUEAAAAAAAAAAAkKAFlBAAAAAAAAAAAKCwBZQQAAAAAAAAAACwwAWUEAAAAAAAAAAAwNAFlBAAAAAAAAAAANDgBZQQAAAAAAAAAADgkAWUEAAAAAAAAAAAAAAAA</t>
        </r>
      </text>
    </comment>
    <comment ref="A118" authorId="0" shapeId="0" xr:uid="{DC11C83E-BF1E-44ED-A4D9-1242192F5DE2}">
      <text>
        <r>
          <rPr>
            <sz val="9"/>
            <color indexed="81"/>
            <rFont val="MS P ゴシック"/>
            <family val="3"/>
            <charset val="128"/>
          </rPr>
          <t>Insight iXlW00001C0000118R0585476093S00000234P01284LAocjBAQBF1NjaVRlZ2ljLmRhdGEuTW9sZWN1bGUBbwF/ARJTY2lUZWdpYy5Nb2xlY3VsZQAAAQFkAv5qAQAAAAIAAgERIAAAAPz8APwAAgAAAAAAAPC/AAIAAAAAAADkPwAAAAAYAAAA/PwA/AACAAAAAAAA8L8AAgAAAAAAANi/AAAAABwAAAD8/AD8AAIAAAAAAADwvwKDwMqhRbbrvwIAAAAAAADsvwAAAAAYAAAA/PwA/AACAAAAAAAA8L8C9GxWfa62+78CAAAAAAAA2L8AAAAAGAAAAPz8APwAAgAAAAAAAPC/ApvmHafoyATAAgAAAAAAAOy/AAAAABgAAAD8/AD8AAIAAAAAAADwvwK8lpAPerYLwAIAAAAAAADYvwAAAAAcAAAA/PwA/AACAAAAAAAA8L8CvJaQD3q2C8ACAAAAAAAA5D8AAAAAGAAAAPz8APwAAgAAAAAAAPC/ApvmHafoyATAAgAAAAAAAPI/AAAAABgAAAD8/AD8AAIAAAAAAADwvwL0bFZ9rrb7vwIAAAAAAADkPwAAAAAcAAAA/PwA/AACAAAAAAAA8L8Cg8DKoUW26z8CAAAAAAAA7L8AAAAAGAAAAPz8APwAAgAAAAAAAPC/AvRsVn2utvs/AgAAAAAAANi/AAAAABgAAAD8/AD8AAIAAAAAAADwvwL0bFZ9rrb7PwIAAAAAAADkPwAAAAAYAAAA/PwA/AACAAAAAAAA8L8Cm+Ydp+jIBEACAAAAAAAA8j8AAAAAGAAAAPz8APwAAgAAAAAAAPC/AryWkA96tgtAAgAAAAAAAOQ/AAAAABgAAAD8/AD8AAIAAAAAAADwvwK8lpAPerYLQAIAAAAAAADYvwAAAAAYAAAA/PwA/AACAAAAAAAA8L8Cm+Ydp+jIBEACAAAAAAAA7L8AAAAAAREAAAD8/AD8AAIAAAAAAADwvwKRfvs6cA4RQAIAAAAAAADAPwAAAAABEQAEAWUIAAAAAAAAAAAECAFlBAAAAAAAAAAACAwBZQQAAAAAAAAAAAwQAWUEAAAAAAAAAAAQFAFlBAAAAAAAAAAAFBgBZQQAAAAAAAAAABgcAWUEAAAAAAAAAAAcIAFlBAAAAAAAAAAAIAwBZQQAAAAAAAAAAAQkAWUEAAAAAAAAAAAkKAFlBAAAAAAAAAAAKCwBZQgMAAAAAAAAACwwAWUEAAAAAAAAAAAwNAFlCAgAAAAAAAAANDgBZQQAAAAAAAAAADg8AWUICAAAAAAAAAA8KAFlBAAAAAAAAAAAAAAAAA==</t>
        </r>
      </text>
    </comment>
    <comment ref="A119" authorId="0" shapeId="0" xr:uid="{EA647B0F-EA84-4C5C-9D1C-FD90323D4386}">
      <text>
        <r>
          <rPr>
            <sz val="9"/>
            <color indexed="81"/>
            <rFont val="MS P ゴシック"/>
            <family val="3"/>
            <charset val="128"/>
          </rPr>
          <t>Insight iXlW00001C0000119R0585476093S00000236P01376LAocjBAQBF1NjaVRlZ2ljLmRhdGEuTW9sZWN1bGUBbwF/ARJTY2lUZWdpYy5Nb2xlY3VsZQAAAQFkAv5qAQAAAAIAAgESJAAAAPz8APwAAgAAAAAAAPC/Aj55WKg1TRBAAqkT0ETY8PA/AAAAABgAAAD8/AD8AAIAAAAAAADwvwIjbHh6pawJQAJTJ6CJsOHhPwAAAAAYAAAA/PwA/AACAAAAAAAA8L8CArwFEhS/AkACqRPQRNjw8D8AAAAAGAAAAPz8APwAAgAAAAAAAPC/AsIXJlMFo/c/AlMnoImw4eE/AAAAABgAAAD8/AD8AAIAAAAAAADwvwIzxLEubqP3PwJcsb/snjzcvwAAAAAcAAAA/PwA/AACAAAAAAAA8L8CAW+BBMWP4z8Crthfdk8e7r8AAAAAGAAAAPz8APwAAgAAAAAAAPC/AgajkjoBTdC/Alyxv+yePNy/AAAAACAAAAD8/AD8AAIAAAAAAADwvwIGo5I6AU3QvwJTJ6CJsOHhPwAAAAAcAAAA/PwA/AACAAAAAAAA8L8CAwmKH2Pu8b8Crthfdk8e7r8AAAAAGAAAAPz8APwAAgAAAAAAAPC/ArYV+8vuyf+/Alyxv+yePNy/AAAAABgAAAD8/AD8AAIAAAAAAADwvwL8OnDOiNIGwAKu2F92Tx7uvwAAAAAYAAAA/PwA/AACAAAAAAAA8L8CHeviNhrADcACXLG/7J483L8AAAAAHAAAAPz8APwAAgAAAAAAAPC/Ah3r4jYawA3AAlMnoImw4eE/AAAAABgAAAD8/AD8AAIAAAAAAADwvwL8OnDOiNIGwAKpE9BE2PDwPwAAAAAYAAAA/PwA/AACAAAAAAAA8L8CthX7y+7J/78CUyegibDh4T8AAAAAGAAAAPz8APwAAgAAAAAAAPC/AjqSy39IvwJAAq7YX3ZPHu6/AAAAABgAAAD8/AD8AAIAAAAAAADwvwJbQj7o2awJQAJcsb/snjzcvwAAAAABEQAAAPz8APwAAgAAAAAAAPC/AnGsi9togBNAAiZ1ApoIG64/AAAAAAESAAQBZQQAAAAAAAAAAAQIAWUIDAAAAAAAAAAIDAFlBAAAAAAAAAAADBABZQgMAAAAAAAAABAUAWUEAAAAAAAAAAAUGAFlBAAAAAAAAAAAGBwBZQgAAAAAAAAAABggAWUEAAAAAAAAAAAgJAFlBAAAAAAAAAAAJCgBZQQAAAAAAAAAACgsAWUEAAAAAAAAAAAsMAFlBAAAAAAAAAAAMDQBZQQAAAAAAAAAADQ4AWUEAAAAAAAAAAA4JAFlBAAAAAAAAAAAEDwBZQQAAAAAAAAAADwBEAFlCAgAAAAAAAAAARAEAWUEAAAAAAAAAAAAAAAA</t>
        </r>
      </text>
    </comment>
    <comment ref="A120" authorId="0" shapeId="0" xr:uid="{FBCC7B58-2C62-4017-9363-4AFFA37AC874}">
      <text>
        <r>
          <rPr>
            <sz val="9"/>
            <color indexed="81"/>
            <rFont val="MS P ゴシック"/>
            <family val="3"/>
            <charset val="128"/>
          </rPr>
          <t>Insight iXlW00001C0000120R0585476093S00000238P01356LAocjBAQBF1NjaVRlZ2ljLmRhdGEuTW9sZWN1bGUBbwF/ARJTY2lUZWdpYy5Nb2xlY3VsZQAAAQFkAv5qAQAAAAIAAgESAREAAAD8/AD8AAIAAAAAAADwvwIBb4EExY8DQAIAAAAAAAAAQAAAAAAYAAAA/PwA/AACAAAAAAAA8L8CAW+BBMWPA0ABAAAAABgAAAD8/AD8AAIAAAAAAADwvwJa9bnain0KQAIAAAAAAADgPwAAAAAYAAAA/PwA/AACAAAAAAAA8L8CWvW52op9CkACAAAAAAAA4L8AAAAAGAAAAPz8APwAAgAAAAAAAPC/AgFvgQTFjwNAAgAAAAAAAPC/AAAAABgAAAD8/AD8AAIAAAAAAADwvwLAfR04Z0T5PwIAAAAAAADgvwAAAAAcAAAA/PwA/AACAAAAAAAA8L8C/DpwzojS5j8CAAAAAAAA8L8AAAAAGAAAAPz8APwAAgAAAAAAAPC/Ah8Wak3zjsO/AgAAAAAAAOC/AAAAACAAAAD8/AD8AAIAAAAAAADwvwIfFmpN847DvwIAAAAAAADgPwAAAAAcAAAA/PwA/AACAAAAAAAA8L8CBqOSOgFN8L8CAAAAAAAA8L8AAAAAGAAAAPz8APwAAgAAAAAAAPC/ArivA+eMKP6/AgAAAAAAAOC/AAAAABgAAAD8/AD8AAIAAAAAAADwvwL9h/Tb1wEGwAIAAAAAAADwvwAAAAAYAAAA/PwA/AACAAAAAAAA8L8CHjhnRGnvDMACAAAAAAAA4L8AAAAAHAAAAPz8APwAAgAAAAAAAPC/Ah44Z0Rp7wzAAgAAAAAAAOA/AAAAABgAAAD8/AD8AAIAAAAAAADwvwL9h/Tb1wEGwAEAAAAAGAAAAPz8APwAAgAAAAAAAPC/ArivA+eMKP6/AgAAAAAAAOA/AAAAABgAAAD8/AD8AAIAAAAAAADwvwLAfR04Z0T5PwIAAAAAAADgPwAAAAABEQAAAPz8APwAAgAAAAAAAPC/AuAtkKD4cRBAAgAAAAAAAOA/AAAAAAESAAQBZQQAAAAAAAAAAAQIAWUIDAAAAAAAAAAIDAFlBAAAAAAAAAAADBABZQgIAAAAAAAAABAUAWUEAAAAAAAAAAAUGAFlBAAAAAAAAAAAGBwBZQQAAAAAAAAAABwgAWUIAAAAAAAAAAAcJAFlBAAAAAAAAAAAJCgBZQQAAAAAAAAAACgsAWUEAAAAAAAAAAAsMAFlBAAAAAAAAAAAMDQBZQQAAAAAAAAAADQ4AWUEAAAAAAAAAAA4PAFlBAAAAAAAAAAAPCgBZQQAAAAAAAAAABQBEAFlCAgAAAAAAAAAARAEAWUEAAAAAAAAAAAAAAAA</t>
        </r>
      </text>
    </comment>
    <comment ref="A121" authorId="0" shapeId="0" xr:uid="{3DB4642C-97BD-4CD7-BEC5-9469D7F5A8A5}">
      <text>
        <r>
          <rPr>
            <sz val="9"/>
            <color indexed="81"/>
            <rFont val="MS P ゴシック"/>
            <family val="3"/>
            <charset val="128"/>
          </rPr>
          <t>Insight iXlW00001C0000121R0585476093S00000240P01380LAocjBAQBF1NjaVRlZ2ljLmRhdGEuTW9sZWN1bGUBbwF/ARJTY2lUZWdpYy5Nb2xlY3VsZQAAAQFkAv5qAQAAAAIAAgESASMAAAD8/AD8AAIAAAAAAADwvwI+eVioNU0QQAKpE9BE2PDwPwAAAAAYAAAA/PwA/AACAAAAAAAA8L8CI2x4eqWsCUACUyegibDh4T8AAAAAGAAAAPz8APwAAgAAAAAAAPC/AgK8BRIUvwJAAqkT0ETY8PA/AAAAABgAAAD8/AD8AAIAAAAAAADwvwLCFyZTBaP3PwJTJ6CJsOHhPwAAAAAYAAAA/PwA/AACAAAAAAAA8L8CM8SxLm6j9z8CXLG/7J483L8AAAAAHAAAAPz8APwAAgAAAAAAAPC/AgFvgQTFj+M/Aq7YX3ZPHu6/AAAAABgAAAD8/AD8AAIAAAAAAADwvwIGo5I6AU3QvwJcsb/snjzcvwAAAAAgAAAA/PwA/AACAAAAAAAA8L8CBqOSOgFN0L8CUyegibDh4T8AAAAAHAAAAPz8APwAAgAAAAAAAPC/AgMJih9j7vG/Aq7YX3ZPHu6/AAAAABgAAAD8/AD8AAIAAAAAAADwvwK2FfvL7sn/vwJcsb/snjzcvwAAAAAYAAAA/PwA/AACAAAAAAAA8L8C/DpwzojSBsACrthfdk8e7r8AAAAAGAAAAPz8APwAAgAAAAAAAPC/Ah3r4jYawA3AAlyxv+yePNy/AAAAABwAAAD8/AD8AAIAAAAAAADwvwId6+I2GsANwAJTJ6CJsOHhPwAAAAAYAAAA/PwA/AACAAAAAAAA8L8C/DpwzojSBsACqRPQRNjw8D8AAAAAGAAAAPz8APwAAgAAAAAAAPC/ArYV+8vuyf+/AlMnoImw4eE/AAAAABgAAAD8/AD8AAIAAAAAAADwvwI6kst/SL8CQAKu2F92Tx7uvwAAAAAYAAAA/PwA/AACAAAAAAAA8L8CW0I+6NmsCUACXLG/7J483L8AAAAAAREAAAD8/AD8AAIAAAAAAADwvwJxrIvbaIATQAImdQKaCBuuPwAAAAABEgAEAWUEAAAAAAAAAAAECAFlCAwAAAAAAAAACAwBZQQAAAAAAAAAAAwQAWUIDAAAAAAAAAAQFAFlBAAAAAAAAAAAFBgBZQQAAAAAAAAAABgcAWUIAAAAAAAAAAAYIAFlBAAAAAAAAAAAICQBZQQAAAAAAAAAACQoAWUEAAAAAAAAAAAoLAFlBAAAAAAAAAAALDABZQQAAAAAAAAAADA0AWUEAAAAAAAAAAA0OAFlBAAAAAAAAAAAOCQBZQQAAAAAAAAAABA8AWUEAAAAAAAAAAA8ARABZQgIAAAAAAAAAAEQBAFlBAAAAAAAAAAAAAAAAA==</t>
        </r>
      </text>
    </comment>
    <comment ref="A122" authorId="0" shapeId="0" xr:uid="{D62C4196-4242-43E7-A846-0802679952A7}">
      <text>
        <r>
          <rPr>
            <sz val="9"/>
            <color indexed="81"/>
            <rFont val="MS P ゴシック"/>
            <family val="3"/>
            <charset val="128"/>
          </rPr>
          <t>Insight iXlW00001C0000122R0585476093S00000242P01832LAocjBAQBF1NjaVRlZ2ljLmRhdGEuTW9sZWN1bGUBbwF/ARJTY2lUZWdpYy5Nb2xlY3VsZQAAAQFkAv5qAQAAAAIAAgEYGAAAAPz8APwAAgAAAAAAAPC/Atbnaiv2FwfAArU3+MJkquY/AAAAABwAAAD8/AD8AAIAAAAAAADwvwK1N/jCZCoAwALT3uALk6nKPwAAAAAYAAAA/PwA/AACAAAAAAAA8L8CDr4wmSoY9z8CTMgHPZtV6b8AAAAAIAAAAPz8APwAAgAAAAAAAPC/Ai9uowG8BQ7AAtPe4AuTqco/AAAAABwAAAD8/AD8AAIAAAAAAADwvwIoDwu1pnkCQAIm5IOezar0vwAAAAAcAAAA/PwA/AACAAAAAAAA8L8CmbuWkA964j8CJuSDns2q9L8AAAAAIAAAAPz8APwAAgAAAAAAAPC/Atbnaiv2FwfAAtsbfGEyVfs/AAAAABgAAAD8/AD8AAIAAAAAAADwvwIoDwu1pnnyvwK1N/jCZKrmPwAAAAAYAAAA/PwA/AACAAAAAAAA8L8CtTf4wmQqAMACam/whclU6b8AAAAAIAAAAPz8APwAAgAAAAAAAPC/Ag6+MJkqGPc/AtPe4AuTqco/AAAAABgAAAD8/AD8AAIAAAAAAADwvwIoDwu1pnkSwAK1N/jCZKrmPwAAAAAYAAAA/PwA/AACAAAAAAAA8L8CmbuWkA960r8C097gC5Opyj8AAAAAGAAAAPz8APwAAgAAAAAAAPC/AigPC7WmefK/ArU3+MJkqvS/AAAAABgAAAD8/AD8AAIAAAAAAADwvwKZu5aQD3rSvwJMyAc9m1XpvwAAAAAYAAAA/PwA/AACAAAAAAAA8L8CSb99HThnCUACTMgHPZtV6b8AAAAAGAAAAPz8APwAAgAAAAAAAPC/AsWPMXctoRNAAtPe4AuTqco/AAAAACQAAAD8/AD8AAIAAAAAAADwvwLy0k1iEBgXQAK1N/jCZKrmPwAAAAAYAAAA/PwA/AACAAAAAAAA8L8CSb99HThnCUAC097gC5Opyj8AAAAAGAAAAPz8APwAAgAAAAAAAPC/ArU3+MJkKhBAAibkg57NqvS/AAAAABgAAAD8/AD8AAIAAAAAAADwvwK1N/jCZCoQQAK1N/jCZKrmPwAAAAAYAAAA/PwA/AACAAAAAAAA8L8CxY8xdy2hE0ACTMgHPZtV6b8AAAAAGAAAAPz8APwAAgAAAAAAAPC/AigPC7WmeRTAAjojSnuDL8S/AAAAABgAAAD8/AD8AAIAAAAAAADwvwI4Z0Rpb/AVwALbG3xhMlXzPwAAAAAYAAAA/PwA/AACAAAAAAAA8L8CKA8LtaZ5EMACjSjtDb4w+T8AAAAAARkEAAFlBAAAAAAAAAAACBQBZQQAAAAAAAAAAAwAAWUEAAAAAAAAAAAQCAFlBAAAAAAAAAAAFDQBZQQAAAAAAAAAABgAAWUIAAAAAAAAAAAcBAFlBAAAAAAAAAAAIAQBZQQAAAAAAAAAACQIAWUIAAAAAAAAAAAoDAFlBAAAAAAAAAAALBwBZQQAAAAAAAAAADAgAWUEAAAAAAAAAAA0MAFlBAAAAAAAAAAAOBABZQQAAAAAAAAAADwBFAFlBAAAAAAAAAAAARA8AWUEAAAAAAAAAAABETgBZQgMAAAAAAAAAAESOAFlBAAAAAAAAAAAARMBEQFlBAAAAAAAAAAAARQBEgFlCAgAAAAAAAAAARUoAWUEAAAAAAAAAAABFigBZQQAAAAAAAAAAAEXKAFlBAAAAAAAAAAALDQBZQQAAAAAAAAAAAETPAFlCAgAAAAAAAAAAAAAAA==</t>
        </r>
      </text>
    </comment>
    <comment ref="A123" authorId="0" shapeId="0" xr:uid="{C5FA6E96-0398-460D-9F67-7B9F8DBABAE5}">
      <text>
        <r>
          <rPr>
            <sz val="9"/>
            <color indexed="81"/>
            <rFont val="MS P ゴシック"/>
            <family val="3"/>
            <charset val="128"/>
          </rPr>
          <t>Insight iXlW00001C0000123R0585476093S00000244P01904LAocjBAQBF1NjaVRlZ2ljLmRhdGEuTW9sZWN1bGUBbwF/ARJTY2lUZWdpYy5Nb2xlY3VsZQAAAQFkAv5qAQAAAAIAAgEZGAAAAPz8APwAAgAAAAAAAPC/Ailcj8L1KAzAArFQa5p3nMq/AAAAABwAAAD8/AD8AAIAAAAAAADwvwIpXI/C9SgEwAKxUGuad5zKvwAAAAAgAAAA/PwA/AACAAAAAAAA8L8CFa5H4XoUEMACWMoyxLEu8b8AAAAAGAAAAPz8APwAAgAAAAAAAPC/AuxRuB6F6xNAAjlFR3L5D+U/AAAAABgAAAD8/AD8AAIAAAAAAADwvwLXo3A9CtcPQAI5RUdy+Q/lPwAAAAAgAAAA/PwA/AACAAAAAAAA8L8CFa5H4XoUEMACOUVHcvkP5T8AAAAAGAAAAPz8APwAAgAAAAAAAPC/Ailcj8L1KADAAlfsL7snD+U/AAAAABgAAAD8/AD8AAIAAAAAAADwvwIpXI/C9SgAwAJYyjLEsS7xvwAAAAAgAAAA/PwA/AACAAAAAAAA8L8C7FG4HoXrFUAC3gIJih9j+D8AAAAAGAAAAPz8APwAAgAAAAAAAPC/AhWuR+F6FBTAAljKMsSxLvG/AAAAABwAAAD8/AD8AAIAAAAAAADwvwK5HoXrUbjePwKxUGuad5zKvwAAAAAYAAAA/PwA/AACAAAAAAAA8L8CUrgehetR8L8CV+wvuycP5T8AAAAAGAAAAPz8APwAAgAAAAAAAPC/AlK4HoXrUfC/AljKMsSxLvG/AAAAABgAAAD8/AD8AAIAAAAAAADwvwLXo3A9CtcLQALeAgmKH2P4PwAAAAAYAAAA/PwA/AACAAAAAAAA8L8C16NwPQrXC0ACKe0NvjCZyr8AAAAAGAAAAPz8APwAAgAAAAAAAPC/AqRwPQrXo+C/ArFQa5p3nMq/AAAAABgAAAD8/AD8AAIAAAAAAADwvwJdj8L1KFzvPwI5RUdy+Q/lPwAAAAAgAAAA/PwA/AACAAAAAAAA8L8C7FG4HoXrFUACKe0NvjCZyr8AAAAAGAAAAPz8APwAAgAAAAAAAPC/Aq9H4XoUrv8/AjlFR3L5D+U/AAAAABgAAAD8/AD8AAIAAAAAAADwvwLXo3A9CtcDQAIp7Q2+MJnKvwAAAAAYAAAA/PwA/AACAAAAAAAA8L8C16NwPQrXA0AC3gIJih9j+D8AAAAAGAAAAPz8APwAAgAAAAAAAPC/AhWuR+F6FBTAAixlGeJYlwDAAAAAABgAAAD8/AD8AAIAAAAAAADwvwIVrkfhehQYwAJYyjLEsS7xvwAAAAAYAAAA/PwA/AACAAAAAAAA8L8CFa5H4XoUFMACe6UsQxzrsr8AAAAAGAAAAPz8APwAAgAAAAAAAPC/AuxRuB6F6xlAAintDb4wmcq/AAAAAAEaBAABZQQAAAAAAAAAAAgAAWUEAAAAAAAAAAAMEAFlBAAAAAAAAAAAEDQBZQgMAAAAAAAAABQAAWUIAAAAAAAAAAAYBAFlBAAAAAAAAAAAHAQBZQQAAAAAAAAAACAMAWUIAAAAAAAAAAAkCAFlBAAAAAAAAAAAKDwBZQQAAAAAAAAAACwYAWUEAAAAAAAAAAAwHAFlBAAAAAAAAAAANAEUAWUEAAAAAAAAAAA4ARMBZQgIAAAAAAAAADwwAWUEAAAAAAAAAAABECgBZQQAAAAAAAAAAAERDAFlBAAAAAAAAAAAARIBEAFlBAAAAAAAAAAAARMBEgFlBAAAAAAAAAAAARQBEgFlCAwAAAAAAAAAARUkAWUEAAAAAAAAAAABFiQBZQQAAAAAAAAAAAEXJAFlBAAAAAAAAAAAARgBEQFlBAAAAAAAAAAALDwBZQQAAAAAAAAAABA4AWUEAAAAAAAAAAAAAAAA</t>
        </r>
      </text>
    </comment>
    <comment ref="A124" authorId="0" shapeId="0" xr:uid="{8E94C11D-7435-45EE-9DF1-9C22D0A50A0E}">
      <text>
        <r>
          <rPr>
            <sz val="9"/>
            <color indexed="81"/>
            <rFont val="MS P ゴシック"/>
            <family val="3"/>
            <charset val="128"/>
          </rPr>
          <t>Insight iXlW00001C0000124R0585476093S00000246P01832LAocjBAQBF1NjaVRlZ2ljLmRhdGEuTW9sZWN1bGUBbwF/ARJTY2lUZWdpYy5Nb2xlY3VsZQAAAQFkAv5qAQAAAAIAAgEYGAAAAPz8APwAAgAAAAAAAPC/AqOSOgFNhAbAAkzIBz2bVeU/AAAAABwAAAD8/AD8AAIAAAAAAADwvwIFxY8xdy3/vwIuIR/0bFbFPwAAAAAYAAAA/PwA/AACAAAAAAAA8L8Cc2iR7Xw/+D8CtTf4wmSq6r8AAAAAIAAAAPz8APwAAgAAAAAAAPC/AsRCrWnecQ3AAi4hH/RsVsU/AAAAABwAAAD8/AD8AAIAAAAAAADwvwKTOgFNhA0DQALbG3xhMlX1vwAAAAAcAAAA/PwA/AACAAAAAAAA8L8CYxBYObTI5D8C2xt8YTJV9b8AAAAAIAAAAPz8APwAAgAAAAAAAPC/AqOSOgFNhAbAAibkg57Nqvo/AAAAABgAAAD8/AD8AAIAAAAAAADwvwJSuB6F61HxvwJMyAc9m1XlPwAAAAAYAAAA/PwA/AACAAAAAAAA8L8ClBgEVg4t/78CtTf4wmSq6r8AAAAAIAAAAPz8APwAAgAAAAAAAPC/AnNoke18P/g/Ai4hH/RsVsU/AAAAABgAAAD8/AD8AAIAAAAAAADwvwK06nO1FfsJQAK1N/jCZKrqvwAAAAAYAAAA/PwA/AACAAAAAAAA8L8CtOpztRX7CUACLiEf9GxWxT8AAAAAGAAAAPz8APwAAgAAAAAAAPC/AnP5D+m3LxLAAkzIBz2bVeU/AAAAABgAAAD8/AD8AAIAAAAAAADwvwKDwMqhRbbLvwIuIR/0bFbFPwAAAAAYAAAA/PwA/AACAAAAAAAA8L8CUrgehetR8b8C2xt8YTJV9b8AAAAAGAAAAPz8APwAAgAAAAAAAPC/AoPAyqFFtsu/ArU3+MJkquq/AAAAABgAAAD8/AD8AAIAAAAAAADwvwJqTfOOU3QQQAJqb/CFyVTlPwAAAAAkAAAA/PwA/AACAAAAAAAA8L8Cak3zjlN0EEACtTf4wmSq+j8AAAAAGAAAAPz8APwAAgAAAAAAAPC/AnulLEMc6xNAApeQD3o2q+q/AAAAABgAAAD8/AD8AAIAAAAAAADwvwJqTfOOU3QQQALbG3xhMlX1vwAAAAAYAAAA/PwA/AACAAAAAAAA8L8Cc/kP6bcvFMACaERpb/CFyb8AAAAAGAAAAPz8APwAAgAAAAAAAPC/Ap88LNSaphXAAibkg57NqvI/AAAAABgAAAD8/AD8AAIAAAAAAADwvwJy+Q/pty8QwAJoRGlv8IX4PwAAAAAYAAAA/PwA/AACAAAAAAAA8L8Ce6UsQxzrE0ACpb3BFyZTxT8AAAAAARkEAAFlBAAAAAAAAAAACBQBZQQAAAAAAAAAAAwAAWUEAAAAAAAAAAAQCAFlBAAAAAAAAAAAFDwBZQQAAAAAAAAAABgAAWUIAAAAAAAAAAAcBAFlBAAAAAAAAAAAIAQBZQQAAAAAAAAAACQIAWUIAAAAAAAAAAAoEAFlBAAAAAAAAAAALCgBZQQAAAAAAAAAADAMAWUEAAAAAAAAAAA0HAFlBAAAAAAAAAAAOCABZQQAAAAAAAAAADw4AWUEAAAAAAAAAAABECwBZQgMAAAAAAAAAAERARABZQQAAAAAAAAAAAESARMBZQQAAAAAAAAAAAETKAFlCAwAAAAAAAAAARQwAWUEAAAAAAAAAAABFTABZQQAAAAAAAAAAAEWMAFlBAAAAAAAAAAAARcBEgFlCAgAAAAAAAAANDwBZQQAAAAAAAAAAAEQARcBZQQAAAAAAAAAAAAAAAA=</t>
        </r>
      </text>
    </comment>
    <comment ref="A125" authorId="0" shapeId="0" xr:uid="{D3FAB1FC-A1DE-4632-86E0-3A4C976B4BF2}">
      <text>
        <r>
          <rPr>
            <sz val="9"/>
            <color indexed="81"/>
            <rFont val="MS P ゴシック"/>
            <family val="3"/>
            <charset val="128"/>
          </rPr>
          <t>Insight iXlW00001C0000125R0585476093S00000248P01284LAocjBAQBF1NjaVRlZ2ljLmRhdGEuTW9sZWN1bGUBbwF/ARJTY2lUZWdpYy5Nb2xlY3VsZQAAAQFkAv5qAQAAAAIAAgERASMAAAD8/AD8AAIAAAAAAADwvwIAAAAAAAAQQAJFaW/whcnUPwAAAAAYAAAA/PwA/AACAAAAAAAA8L8CAAAAAAAACEACRWlv8IXJ1D8AAAAAGAAAAPz8APwAAgAAAAAAAPC/AgAAAAAAAARAApM6AU2EDfM/AAAAABgAAAD8/AD8AAIAAAAAAADwvwIAAAAAAAD4PwKTOgFNhA3zPwAAAAAYAAAA/PwA/AACAAAAAAAA8L8BAkVpb/CFydQ/AAAAABgAAAD8/AD8AAIAAAAAAADwvwIAAAAAAAD4PwLDZKpgVFLhvwAAAAAYAAAA/PwA/AACAAAAAAAA8L8CAAAAAAAABEAC4QuTqYJR4b8AAAAAGAAAAPz8APwAAgAAAAAAAPC/AAKAt0CC4sfUPwAAAAAgAAAA/PwA/AACAAAAAAAA8L8CAAAAAAAA4L8CkzoBTYQN8z8AAAAAHAAAAPz8APwAAgAAAAAAAPC/AgAAAAAAAOC/AsNkqmBUUuG/AAAAABgAAAD8/AD8AAIAAAAAAADwvwIAAAAAAAD4vwLDZKpgVFLhvwAAAAAYAAAA/PwA/AACAAAAAAAA8L8CAAAAAAAAAMACo5I6AU2E9r8AAAAAGAAAAPz8APwAAgAAAAAAAPC/AgAAAAAAAAjAAqOSOgFNhPa/AAAAABwAAAD8/AD8AAIAAAAAAADwvwIAAAAAAAAMwALDZKpgVFLhvwAAAAAYAAAA/PwA/AACAAAAAAAA8L8CAAAAAAAACMACgLdAguLH1D8AAAAAGAAAAPz8APwAAgAAAAAAAPC/AgAAAAAAAADAAoC3QILix9Q/AAAAAAERAAAA/PwA/AACAAAAAAAA8L8CMzMzMzMzE0AC+1xtxf6yu78AAAAAAREABAFlBAAAAAAAAAAABAgBZQgMAAAAAAAAAAgMAWUEAAAAAAAAAAAMEAFlCAgAAAAAAAAAEBQBZQQAAAAAAAAAABQYAWUICAAAAAAAAAAYBAFlBAAAAAAAAAAAEBwBZQQAAAAAAAAAABwgAWUIAAAAAAAAAAAcJAFlBAAAAAAAAAAAJCgBZQQAAAAAAAAAACgsAWUEAAAAAAAAAAAsMAFlBAAAAAAAAAAAMDQBZQQAAAAAAAAAADQ4AWUEAAAAAAAAAAA4PAFlBAAAAAAAAAAAPCgBZQQAAAAAAAAAAAAAAAA=</t>
        </r>
      </text>
    </comment>
    <comment ref="A126" authorId="0" shapeId="0" xr:uid="{EF2358B4-AC99-4FA3-BA9A-F877BBDF9FFD}">
      <text>
        <r>
          <rPr>
            <sz val="9"/>
            <color indexed="81"/>
            <rFont val="MS P ゴシック"/>
            <family val="3"/>
            <charset val="128"/>
          </rPr>
          <t>Insight iXlW00001C0000126R0585476093S00000250P01832LAocjBAQBF1NjaVRlZ2ljLmRhdGEuTW9sZWN1bGUBbwF/ARJTY2lUZWdpYy5Nb2xlY3VsZQAAAQFkAv5qAQAAAAIAAgEYARAAAAD8/AD8AAIAAAAAAADwvwJZF7fRAN78PwJMyAc9m1XpvwAAAAAYAAAA/PwA/AACAAAAAAAA8L8CzTtO0ZFcBUACl5APejar0r8AAAAAGAAAAPz8APwAAgAAAAAAAPC/AjC7Jw8LNQTAArU3+MJkquY/AAAAABwAAAD8/AD8AAIAAAAAAADwvwIfFmpN8476vwLT3uALk6nKPwAAAAAcAAAA/PwA/AACAAAAAAAA8L8CL26jAbwF7j8CJuSDns2q9L8AAAAAIAAAAPz8APwAAgAAAAAAAPC/AlFrmnecIgvAAtPe4AuTqco/AAAAACAAAAD8/AD8AAIAAAAAAADwvwJZF7fRAN70PwLPiNLe4AuzPwAAAAAgAAAA/PwA/AACAAAAAAAA8L8CrYvbaABvAkACaERpb/CF+r8AAAAAGAAAAPz8APwAAgAAAAAAAPC/AifChqdXSgxAAmpv8IXJVOm/AAAAACAAAAD8/AD8AAIAAAAAAADwvwIwuycPCzUEwALbG3xhMlX7PwAAAAAYAAAA/PwA/AACAAAAAAAA8L8CumsJ+aBn6b8CtTf4wmSq5j8AAAAAGAAAAPz8APwAAgAAAAAAAPC/Ah8Wak3zjvq/Ampv8IXJVOm/AAAAABgAAAD8/AD8AAIAAAAAAADwvwLVeOkmMQgRwAK1N/jCZKrmPwAAAAAYAAAA/PwA/AACAAAAAAAA8L8CXW3F/rJ7sj8CTMgHPZtV6b8AAAAAGAAAAPz8APwAAgAAAAAAAPC/Al1txf6ye7I/AtPe4AuTqco/AAAAABgAAAD8/AD8AAIAAAAAAADwvwLYEvJBz2bpvwK1N/jCZKr0vwAAAAAkAAAA/PwA/AACAAAAAAAA8L8CJ8KGp1dKDEACtTf4wmSq/L8AAAAAGAAAAPz8APwAAgAAAAAAAPC/AgYSFD/GXAVAArU3+MJkquY/AAAAABgAAAD8/AD8AAIAAAAAAADwvwIkufyH9JsRQALT3uALk6nSvwAAAAAYAAAA/PwA/AACAAAAAAAA8L8C1XjpJjEIE8ACOiNKe4MvxL8AAAAAGAAAAPz8APwAAgAAAAAAAPC/AubQItv5fhTAAtsbfGEyVfM/AAAAABgAAAD8/AD8AAIAAAAAAADwvwKq8dJNYhAOwAKNKO0NvjD5PwAAAAAYAAAA/PwA/AACAAAAAAAA8L8CJ8KGp1dKDEAC2xt8YTJV8z8AAAAAGAAAAPz8APwAAgAAAAAAAPC/AiS5/If0mxFAArU3+MJkquY/AAAAAAEZBAABZQQAAAAAAAAAAAgMAWUEAAAAAAAAAAAMLAFlBAAAAAAAAAAAEAABZQQAAAAAAAAAABQIAWUEAAAAAAAAAAAYAAFlCAAAAAAAAAAAHAABZQgAAAAAAAAAACAEAWUEAAAAAAAAAAAkCAFlCAAAAAAAAAAAKDgBZQQAAAAAAAAAACw8AWUEAAAAAAAAAAAwFAFlBAAAAAAAAAAANBABZQQAAAAAAAAAADg0AWUEAAAAAAAAAAA8NAFlBAAAAAAAAAAAARAgAWUEAAAAAAAAAAABEQQBZQgMAAAAAAAAAAESIAFlCAgAAAAAAAAAARMwAWUEAAAAAAAAAAABFDABZQQAAAAAAAAAAAEVMAFlBAAAAAAAAAAAARYBEQFlBAAAAAAAAAAAARcBFgFlCAgAAAAAAAAADCgBZQQAAAAAAAAAAAEXARIBZQQAAAAAAAAAAAAAAAA=</t>
        </r>
      </text>
    </comment>
    <comment ref="A127" authorId="0" shapeId="0" xr:uid="{CE8A33A2-4572-42EF-9A0E-C338549C6993}">
      <text>
        <r>
          <rPr>
            <sz val="9"/>
            <color indexed="81"/>
            <rFont val="MS P ゴシック"/>
            <family val="3"/>
            <charset val="128"/>
          </rPr>
          <t>Insight iXlW00001C0000127R0585476093S00000252P01832LAocjBAQBF1NjaVRlZ2ljLmRhdGEuTW9sZWN1bGUBbwF/ARJTY2lUZWdpYy5Nb2xlY3VsZQAAAQFkAv5qAQAAAAIAAgEYARAAAAD8/AD8AAIAAAAAAADwvwJZF7fRAN78PwK1N/jCZKruvwAAAAAYAAAA/PwA/AACAAAAAAAA8L8CMLsnDws1BMACTMgHPZtV4T8AAAAAHAAAAPz8APwAAgAAAAAAAPC/Ah8Wak3zjvq/AraEfNCzWaU/AAAAABwAAAD8/AD8AAIAAAAAAADwvwIvbqMBvAXuPwLbG3xhMlX3vwAAAAAYAAAA/PwA/AACAAAAAAAA8L8CzTtO0ZFcBUACam/whclU3b8AAAAAIAAAAPz8APwAAgAAAAAAAPC/AlFrmnecIgvAAraEfNCzWaU/AAAAACAAAAD8/AD8AAIAAAAAAADwvwJZF7fRAN70PwKNuWsJ+aC3vwAAAAAgAAAA/PwA/AACAAAAAAAA8L8CrYvbaABvAkACHHxhMlUw/b8AAAAAGAAAAPz8APwAAgAAAAAAAPC/As07TtGRXAVAAkzIBz2bVeE/AAAAACAAAAD8/AD8AAIAAAAAAADwvwIwuycPCzUEwAIm5IOezar4PwAAAAAYAAAA/PwA/AACAAAAAAAA8L8CumsJ+aBn6b8CTMgHPZtV4T8AAAAAGAAAAPz8APwAAgAAAAAAAPC/Ah8Wak3zjvq/ArU3+MJkqu6/AAAAABgAAAD8/AD8AAIAAAAAAADwvwLVeOkmMQgRwAJMyAc9m1XhPwAAAAAYAAAA/PwA/AACAAAAAAAA8L8CXW3F/rJ7sj8CtTf4wmSq7r8AAAAAGAAAAPz8APwAAgAAAAAAAPC/Al1txf6ye7I/AraEfNCzWaU/AAAAABgAAAD8/AD8AAIAAAAAAADwvwLYEvJBz2bpvwLbG3xhMlX3vwAAAAAYAAAA/PwA/AACAAAAAAAA8L8CJ8KGp1dKDEACtTf4wmSq8D8AAAAAJAAAAPz8APwAAgAAAAAAAPC/AifChqdXSgxAAtsbfGEyVQBAAAAAABgAAAD8/AD8AAIAAAAAAADwvwInwoanV0oMQAK1N/jCZKruvwAAAAAYAAAA/PwA/AACAAAAAAAA8L8CJLn8h/SbEUACLiEf9GxW3b8AAAAAGAAAAPz8APwAAgAAAAAAAPC/AtV46SYxCBPAAjSitDf4wtS/AAAAABgAAAD8/AD8AAIAAAAAAADwvwLm0CLb+X4UwAIm5IOezarwPwAAAAAYAAAA/PwA/AACAAAAAAAA8L8CqvHSTWIQDsACaERpb/CF9j8AAAAAGAAAAPz8APwAAgAAAAAAAPC/AiS5/If0mxFAAmpv8IXJVOE/AAAAAAEZBAgBZQQAAAAAAAAAAAgsAWUEAAAAAAAAAAAMAAFlBAAAAAAAAAAAEAABZQQAAAAAAAAAABQEAWUEAAAAAAAAAAAYAAFlCAAAAAAAAAAAHAABZQgAAAAAAAAAACAQAWUEAAAAAAAAAAAkBAFlCAAAAAAAAAAAKDgBZQQAAAAAAAAAACw8AWUEAAAAAAAAAAAwFAFlBAAAAAAAAAAANAwBZQQAAAAAAAAAADg0AWUEAAAAAAAAAAA8NAFlBAAAAAAAAAAAARAgAWUIDAAAAAAAAAABEQEQAWUEAAAAAAAAAAABEhABZQgMAAAAAAAAAAETARIBZQQAAAAAAAAAAAEUMAFlBAAAAAAAAAAAARUwAWUEAAAAAAAAAAABFjABZQQAAAAAAAAAAAEXARMBZQgIAAAAAAAAAAEXARABZQQAAAAAAAAAAAgoAWUEAAAAAAAAAAAAAAAA</t>
        </r>
      </text>
    </comment>
    <comment ref="A128" authorId="0" shapeId="0" xr:uid="{E78DA704-72D7-444E-8D25-23F883A6F30F}">
      <text>
        <r>
          <rPr>
            <sz val="9"/>
            <color indexed="81"/>
            <rFont val="MS P ゴシック"/>
            <family val="3"/>
            <charset val="128"/>
          </rPr>
          <t>Insight iXlW00001C0000128R0585476093S00000254P01380LAocjBAQBF1NjaVRlZ2ljLmRhdGEuTW9sZWN1bGUBbwF/ARJTY2lUZWdpYy5Nb2xlY3VsZQAAAQFkAv5qAQAAAAIAAgESJAAAAPz8APwAAgAAAAAAAPC/Ah8Wak3zDgdAAgajkjoBTfA/AAAAABgAAAD8/AD8AAIAAAAAAADwvwIfFmpN8w4DQAIfFmpN847DPwAAAAAYAAAA/PwA/AACAAAAAAAA8L8CHxZqTfMOB0AC/DpwzojS5r8AAAAAGAAAAPz8APwAAgAAAAAAAPC/Ah8Wak3zDgNAAsB9HThnRPm/AAAAABgAAAD8/AD8AAIAAAAAAADwvwKu2F92Tx72PwLAfR04Z0T5vwAAAAAYAAAA/PwA/AACAAAAAAAA8L8CXLG/7J487D8C/DpwzojS5r8AAAAAGAAAAPz8APwAAgAAAAAAAPC/Aj0s1JrmHfY/Ah8Wak3zjsM/AAAAAAEQAAAA/PwA/AACAAAAAAAA8L8CJnUCmggbvr8C/DpwzojS5r8AAAAAIAAAAPz8APwAAgAAAAAAAPC/AiZ1ApoIG76/AgmKH2PuWtI/AAAAACAAAAD8/AD8AAIAAAAAAADwvwImdQKaCBu+vwJ+HThnRGn7vwAAAAAcAAAA/PwA/AACAAAAAAAA8L8CUyegibDh8b8C/DpwzojS5r8AAAAAGAAAAPz8APwAAgAAAAAAAPC/AlMnoImw4fm/Ah8Wak3zjsM/AAAAABgAAAD8/AD8AAIAAAAAAADwvwKpE9BE2PAEwAIfFmpN847DPwAAAAAYAAAA/PwA/AACAAAAAAAA8L8CqhPQRNjwCMACd08eFmpN8D8AAAAAHAAAAPz8APwAAgAAAAAAAPC/AqkT0ETY8ATAArivA+eMKP4/AAAAABgAAAD8/AD8AAIAAAAAAADwvwLE0ytlGeL5vwK4rwPnjCj+PwAAAAAYAAAA/PwA/AACAAAAAAAA8L8CxNMrZRni8b8CBqOSOgFN8D8AAAAAAREAAAD8/AD8AAIAAAAAAADwvwKFfNCzWXUNQAJJLv8h/fa1PwAAAAABEgAEAWUEAAAAAAAAAAAECAFlBAAAAAAAAAAACAwBZQgIAAAAAAAAAAwQAWUEAAAAAAAAAAAQFAFlCAgAAAAAAAAAFBgBZQQAAAAAAAAAABgEAWUIDAAAAAAAAAAUHAFlBAAAAAAAAAAAHCABZQgAAAAAAAAAABwkAWUIAAAAAAAAAAAcKAFlBAAAAAAAAAAAKCwBZQQAAAAAAAAAACwwAWUEAAAAAAAAAAAwNAFlBAAAAAAAAAAANDgBZQQAAAAAAAAAADg8AWUEAAAAAAAAAAA8ARABZQQAAAAAAAAAAAEQLAFlBAAAAAAAAAAAAAAAAA==</t>
        </r>
      </text>
    </comment>
    <comment ref="A129" authorId="0" shapeId="0" xr:uid="{050D1D76-5B0E-47F4-A0F7-66CD3FFBB8A6}">
      <text>
        <r>
          <rPr>
            <sz val="9"/>
            <color indexed="81"/>
            <rFont val="MS P ゴシック"/>
            <family val="3"/>
            <charset val="128"/>
          </rPr>
          <t>Insight iXlW00001C0000129R0585476093S00000256P01380LAocjBAQBF1NjaVRlZ2ljLmRhdGEuTW9sZWN1bGUBbwF/ARJTY2lUZWdpYy5Nb2xlY3VsZQAAAQFkAv5qAQAAAAIAAgESASMAAAD8/AD8AAIAAAAAAADwvwIfFmpN8w4HQAIGo5I6AU3wPwAAAAAYAAAA/PwA/AACAAAAAAAA8L8CHxZqTfMOA0ACHxZqTfOOwz8AAAAAGAAAAPz8APwAAgAAAAAAAPC/Ah8Wak3zDgdAAvw6cM6I0ua/AAAAABgAAAD8/AD8AAIAAAAAAADwvwIfFmpN8w4DQALAfR04Z0T5vwAAAAAYAAAA/PwA/AACAAAAAAAA8L8Crthfdk8e9j8CwH0dOGdE+b8AAAAAGAAAAPz8APwAAgAAAAAAAPC/Alyxv+yePOw/Avw6cM6I0ua/AAAAABgAAAD8/AD8AAIAAAAAAADwvwI9LNSa5h32PwIfFmpN847DPwAAAAABEAAAAPz8APwAAgAAAAAAAPC/AiZ1ApoIG76/Avw6cM6I0ua/AAAAACAAAAD8/AD8AAIAAAAAAADwvwImdQKaCBu+vwIJih9j7lrSPwAAAAAgAAAA/PwA/AACAAAAAAAA8L8CJnUCmggbvr8Cfh04Z0Rp+78AAAAAHAAAAPz8APwAAgAAAAAAAPC/AlMnoImw4fG/Avw6cM6I0ua/AAAAABgAAAD8/AD8AAIAAAAAAADwvwJTJ6CJsOH5vwIfFmpN847DPwAAAAAYAAAA/PwA/AACAAAAAAAA8L8CqRPQRNjwBMACHxZqTfOOwz8AAAAAGAAAAPz8APwAAgAAAAAAAPC/AqoT0ETY8AjAAndPHhZqTfA/AAAAABwAAAD8/AD8AAIAAAAAAADwvwKpE9BE2PAEwAK4rwPnjCj+PwAAAAAYAAAA/PwA/AACAAAAAAAA8L8CxNMrZRni+b8CuK8D54wo/j8AAAAAGAAAAPz8APwAAgAAAAAAAPC/AsTTK2UZ4vG/AgajkjoBTfA/AAAAAAERAAAA/PwA/AACAAAAAAAA8L8ChXzQs1l1DUACSS7/If32tT8AAAAAARIABAFlBAAAAAAAAAAABAgBZQQAAAAAAAAAAAgMAWUICAAAAAAAAAAMEAFlBAAAAAAAAAAAEBQBZQgIAAAAAAAAABQYAWUEAAAAAAAAAAAYBAFlCAwAAAAAAAAAFBwBZQQAAAAAAAAAABwgAWUIAAAAAAAAAAAcJAFlCAAAAAAAAAAAHCgBZQQAAAAAAAAAACgsAWUEAAAAAAAAAAAsMAFlBAAAAAAAAAAAMDQBZQQAAAAAAAAAADQ4AWUEAAAAAAAAAAA4PAFlBAAAAAAAAAAAPAEQAWUEAAAAAAAAAAABECwBZQQAAAAAAAAAAAAAAAA=</t>
        </r>
      </text>
    </comment>
    <comment ref="A130" authorId="0" shapeId="0" xr:uid="{DE4065AC-4455-422A-A727-920BFAA549C8}">
      <text>
        <r>
          <rPr>
            <sz val="9"/>
            <color indexed="81"/>
            <rFont val="MS P ゴシック"/>
            <family val="3"/>
            <charset val="128"/>
          </rPr>
          <t>Insight iXlW00001C0000130R0585476093S00000258P01452LAocjBAQBF1NjaVRlZ2ljLmRhdGEuTW9sZWN1bGUBbwF/ARJTY2lUZWdpYy5Nb2xlY3VsZQAAAQFkAv5qAQAAAAIAAgETGAAAAPz8APwAAgAAAAAAAPC/AjojSnuD7xBAArU3+MJkquo/AAAAACAAAAD8/AD8AAIAAAAAAADwvwIbwFsgQfEKQALbG3xhMlX1PwAAAAAYAAAA/PwA/AACAAAAAAAA8L8C+g/pt68DBEACtTf4wmSq6j8AAAAAGAAAAPz8APwAAgAAAAAAAPC/ArK/7J48LPo/AtsbfGEyVfU/AAAAABgAAAD8/AD8AAIAAAAAAADwvwLgvg6cM6LoPwK1N/jCZKrqPwAAAAAYAAAA/PwA/AACAAAAAAAA8L8C4L4OnDOi6D8CLiEf9GxWxb8AAAAAGAAAAPz8APwAAgAAAAAAAPC/ArK/7J48LPo/AkzIBz2bVeW/AAAAABgAAAD8/AD8AAIAAAAAAADwvwL6D+m3rwMEQAIuIR/0bFbFvwAAAAABEAAAAPz8APwAAgAAAAAAAPC/AhwN4C2QoLi/AkzIBz2bVeW/AAAAACAAAAD8/AD8AAIAAAAAAADwvwKkAbwFEhTjvwJoRGlv8IXJPwAAAAAgAAAA/PwA/AACAAAAAAAA8L8CufyH9NvX2T8CaERpb/CF+L8AAAAAHAAAAPz8APwAAgAAAAAAAPC/AifChqdXyu6/Aibkg57NqvK/AAAAABgAAAD8/AD8AAIAAAAAAADwvwLGbTSAt0D9vwJMyAc9m1XlvwAAAAAYAAAA/PwA/AACAAAAAAAA8L8CBOeMKO2NBcACtTf4wmSq8r8AAAAAGAAAAPz8APwAAgAAAAAAAPC/AiWX/5B+ewzAAmpv8IXJVOW/AAAAABwAAAD8/AD8AAIAAAAAAADwvwIll/+QfnsMwAJqb/CFyVTVPwAAAAAYAAAA/PwA/AACAAAAAAAA8L8CBOeMKO2NBcACtTf4wmSq6j8AAAAAGAAAAPz8APwAAgAAAAAAAPC/AsZtNIC3QP2/Ampv8IXJVNU/AAAAAAERAAAA/PwA/AACAAAAAAAA8L8CbVZ9rrYiFEACaERpb/CFub8AAAAAARMABAFlBAAAAAAAAAAABAgBZQQAAAAAAAAAAAgMAWUIDAAAAAAAAAAMEAFlBAAAAAAAAAAAEBQBZQgIAAAAAAAAABQYAWUEAAAAAAAAAAAYHAFlCAgAAAAAAAAAHAgBZQQAAAAAAAAAABQgAWUEAAAAAAAAAAAgJAFlCAAAAAAAAAAAICgBZQgAAAAAAAAAACAsAWUEAAAAAAAAAAAsMAFlBAAAAAAAAAAAMDQBZQQAAAAAAAAAADQ4AWUEAAAAAAAAAAA4PAFlBAAAAAAAAAAAPAEQAWUEAAAAAAAAAAABEAERAWUEAAAAAAAAAAABETABZQQAAAAAAAAAAAAAAAA=</t>
        </r>
      </text>
    </comment>
    <comment ref="A131" authorId="0" shapeId="0" xr:uid="{AB86F27C-0F6A-4477-BEF7-0CDA4EE97ACB}">
      <text>
        <r>
          <rPr>
            <sz val="9"/>
            <color indexed="81"/>
            <rFont val="MS P ゴシック"/>
            <family val="3"/>
            <charset val="128"/>
          </rPr>
          <t>Insight iXlW00001C0000131R0585476093S00000260P01524LAocjBAQBF1NjaVRlZ2ljLmRhdGEuTW9sZWN1bGUBbwF/ARJTY2lUZWdpYy5Nb2xlY3VsZQAAAQFkAv5qAQAAAAIAAgEUIAD8APz8APwAAgAAAAAAAPC/ArwFEhQ/xu4/AkYldQKaCP2/AAAAABwABAD8/AD8AAIAAAAAAADwvwKFDU+vlGX8PwK5HoXrUbjzvwAAAAAgAAAA/PwA/AACAAAAAAAA8L8CHA3gLZAgBUACuR6F61G4+78AAAAAGAAAAPz8APwAAgAAAAAAAPC/AoUNT6+UZfw/AsP1KFyPws2/AAAAABgAAAD8/AD8AAIAAAAAAADwvwIcDeAtkCAFQAIfhetRuB7RPwAAAAAYAAAA/PwA/AACAAAAAAAA8L8CHA3gLZAgBUACSOF6FK5H9D8AAAAAGAAAAPz8APwAAgAAAAAAAPC/Ava52or9Zfw/AkjhehSuR/w/AAAAABgAAAD8/AD8AAIAAAAAAADwvwKGWtO84xTtPwJI4XoUrkf0PwAAAAAYAAAA/PwA/AACAAAAAAAA8L8ChlrTvOMU7T8CH4XrUbge0T8AAAAAARAAAAD8/AD8AAIAAAAAAADwvwIooImw4emlPwLD9Shcj8LNvwAAAAAgAAAA/PwA/AACAAAAAAAA8L8C+8vuycNC3b8CE4PAyqFF5D8AAAAAIAAAAPz8APwAAgAAAAAAAPC/AgOaCBueXuE/Avp+arx0k/G/AAAAABwAAAD8/AD8AAIAAAAAAADwvwKBJsKGp1fqvwJxPQrXo3DnvwAAAAAYAAAA/PwA/AACAAAAAAAA8L8C8x/Sb18H+78Cw/UoXI/Czb8AAAAAGAAAAPz8APwAAgAAAAAAAPC/AhrAWyBBcQTAAnE9CtejcOe/AAAAABgAAAD8/AD8AAIAAAAAAADwvwI7cM6I0l4LwALD9Shcj8LNvwAAAAAcAAAA/PwA/AACAAAAAAAA8L8CO3DOiNJeC8ACkML1KFyP6D8AAAAAGAAAAPz8APwAAgAAAAAAAPC/AhrAWyBBcQTAAkjhehSuR/Q/AAAAABgAAAD8/AD8AAIAAAAAAADwvwLzH9JvXwf7vwKQwvUoXI/oPwAAAAABEQAAAPz8APwAAgAAAAAAAPC/AoJzRpT2hgtAAu0NvjCZKpi/AAAAAAEUAAQBZQQAAAAAAAAAAAQIAWUIAAAAAAAAAAAEDAFlBAAAAAAAAAAADBABZQgMAAAAAAAAABAUAWUEAAAAAAAAAAAUGAFlCAgAAAAAAAAAGBwBZQQAAAAAAAAAABwgAWUICAAAAAAAAAAgDAFlBAAAAAAAAAAAICQBZQQAAAAAAAAAACQoAWUIAAAAAAAAAAAkLAFlCAAAAAAAAAAAJDABZQQAAAAAAAAAADA0AWUEAAAAAAAAAAA0OAFlBAAAAAAAAAAAODwBZQQAAAAAAAAAADwBEAFlBAAAAAAAAAAAARABEQFlBAAAAAAAAAAAAREBEgFlBAAAAAAAAAAAARI0AWUEAAAAAAAAAAAAAAAA</t>
        </r>
      </text>
    </comment>
    <comment ref="A132" authorId="0" shapeId="0" xr:uid="{4C2595DD-223C-401B-B4AD-2E36C7851FB9}">
      <text>
        <r>
          <rPr>
            <sz val="9"/>
            <color indexed="81"/>
            <rFont val="MS P ゴシック"/>
            <family val="3"/>
            <charset val="128"/>
          </rPr>
          <t>Insight iXlW00001C0000132R0585476093S00000262P01452LAocjBAQBF1NjaVRlZ2ljLmRhdGEuTW9sZWN1bGUBbwF/ARJTY2lUZWdpYy5Nb2xlY3VsZQAAAQFkAv5qAQAAAAIAAgETGAAAAPz8APwAAgAAAAAAAPC/Ap88LNSa5v2/AiZ1ApoIG+o/AAAAABwAAAD8/AD8AAIAAAAAAADwvwJe3EYDeAvwvwJL6gQ0ETbUPwAAAAAgAAAA/PwA/AACAAAAAAAA8L8Ccc6I0t7gBcACS+oENBE21D8AAAAAIAAAAPz8APwAAgAAAAAAAPC/Ap88LNSa5v2/ApM6AU2EDf0/AAAAABgAAAD8/AD8AAIAAAAAAADwvwLf4AuTqYLBvwImdQKaCBvqPwAAAAAYAAAA/PwA/AACAAAAAAAA8L8CXtxGA3gL8L8C24r9Zffk5b8AAAAAGAAAAPz8APwAAgAAAAAAAPC/ApF++zpwzgzAAiZ1ApoIG+o/AAAAABgAAAD8/AD8AAIAAAAAAADwvwIuIR/0bFbnPwJL6gQ0ETbUPwAAAAAYAAAA/PwA/AACAAAAAAAA8L8CV32utmJ/wb8CbsX+snvy8r8AAAAAGAAAAPz8APwAAgAAAAAAAPC/Ai4hH/RsVuc/AtuK/WX35OW/AAAAABwAAAD8/AD8AAIAAAAAAADwvwLZ8PRKWYb5PwJuxf6ye/LyvwAAAAAgAAAA/PwA/AACAAAAAAAA8L8ChC9MpgrGEEAC24r9Zffk5b8AAAAAGAAAAPz8APwAAgAAAAAAAPC/Akm/fR04ZxDAAt21hHzQs6m/AAAAABgAAAD8/AD8AAIAAAAAAADwvwJ1ApoIG94RwAKTOgFNhA31PwAAAAAYAAAA/PwA/AACAAAAAAAA8L8CkX77OnDOCMAC1ZrmHafo+j8AAAAAGAAAAPz8APwAAgAAAAAAAPC/Ao0o7Q2+sANAAtuK/WX35OW/AAAAABgAAAD8/AD8AAIAAAAAAADwvwLnriXkg54KQAJuxf6ye/LyvwAAAAAYAAAA/PwA/AACAAAAAAAA8L8ClIeFWtM8FEACbsX+snvy8r8AAAAAGAAAAPz8APwAAgAAAAAAAPC/AqXfvg6csxdAAtuK/WX35OW/AAAAAAETBAABZQQAAAAAAAAAAAgAAWUEAAAAAAAAAAAMAAFlCAAAAAAAAAAAEAQBZQQAAAAAAAAAABQEAWUEAAAAAAAAAAAYCAFlBAAAAAAAAAAAHBABZQQAAAAAAAAAACAUAWUEAAAAAAAAAAAkIAFlBAAAAAAAAAAAKCQBZQQAAAAAAAAAACwBEAFlBAAAAAAAAAAAMBgBZQQAAAAAAAAAADQYAWUEAAAAAAAAAAA4GAFlBAAAAAAAAAAAPCgBZQQAAAAAAAAAAAEQPAFlBAAAAAAAAAAAAREsAWUEAAAAAAAAAAABEgERAWUEAAAAAAAAAAAcJAFlBAAAAAAAAAAAAAAAAA==</t>
        </r>
      </text>
    </comment>
    <comment ref="A133" authorId="0" shapeId="0" xr:uid="{34905840-8907-4C77-9194-96B627F8AA8E}">
      <text>
        <r>
          <rPr>
            <sz val="9"/>
            <color indexed="81"/>
            <rFont val="MS P ゴシック"/>
            <family val="3"/>
            <charset val="128"/>
          </rPr>
          <t>Insight iXlW00001C0000133R0585476093S00000264P01056LAocjBAQBF1NjaVRlZ2ljLmRhdGEuTW9sZWN1bGUBbwF/ARJTY2lUZWdpYy5Nb2xlY3VsZQAAAQFkAv5qAQAAAAIAAjgYAAAA/PwA/AACAAAAAAAA8L8Cak3zjlN0EEACAAAAAAAAwL8AAAAAGAAAAPz8APwAAgAAAAAAAPC/ArTqc7UV+wlAAgAAAAAAAOS/AAAAACAAAAD8/AD8AAIAAAAAAADwvwKTOgFNhA0DQAIAAAAAAADAvwAAAAAYAAAA/PwA/AACAAAAAAAA8L8Cc2iR7Xw/+D8CAAAAAAAA5L8AAAAAGAAAAPz8APwAAgAAAAAAAPC/AmMQWDm0yOQ/AgAAAAAAAMC/AAAAABwAAAD8/AD8AAIAAAAAAADwvwKDwMqhRbbLvwIAAAAAAADkvwAAAAAYAAAA/PwA/AACAAAAAAAA8L8CUrgehetR8b8CAAAAAAAAwL8AAAAAGAAAAPz8APwAAgAAAAAAAPC/ApQYBFYOLf+/AgAAAAAAAOS/AAAAABgAAAD8/AD8AAIAAAAAAADwvwKjkjoBTYQGwAIAAAAAAADAvwAAAAAcAAAA/PwA/AACAAAAAAAA8L8Co5I6AU2EBsACAAAAAAAA7D8AAAAAGAAAAPz8APwAAgAAAAAAAPC/AgXFjzF3Lf+/AgAAAAAAAPY/AAAAABgAAAD8/AD8AAIAAAAAAADwvwJSuB6F61HxvwIAAAAAAADsPwAAAAABEQAAAPz8APwAAgAAAAAAAPC/Ap6AJsKGpxNAAnGsi9toANc/AAAAAAERAAAA/PwA/AACAAAAAAAA8L8CLPaX3ZPHF0ACj1N0JJf/2D8AAAAAMAAEAWUEAAAAAAAAAAAECAFlBAAAAAAAAAAACAwBZQQAAAAAAAAAAAwQAWUEAAAAAAAAAAAQFAFlBAAAAAAAAAAAFBgBZQQAAAAAAAAAABgcAWUEAAAAAAAAAAAcIAFlBAAAAAAAAAAAICQBZQQAAAAAAAAAACQoAWUEAAAAAAAAAAAoLAFlBAAAAAAAAAAALBgBZQQAAAAAAAAAAAAAAAA=</t>
        </r>
      </text>
    </comment>
    <comment ref="A134" authorId="0" shapeId="0" xr:uid="{728FE264-1C75-45BC-A399-FE270799A67C}">
      <text>
        <r>
          <rPr>
            <sz val="9"/>
            <color indexed="81"/>
            <rFont val="MS P ゴシック"/>
            <family val="3"/>
            <charset val="128"/>
          </rPr>
          <t>Insight iXlW00001C0000134R0585476093S00000266P01056LAocjBAQBF1NjaVRlZ2ljLmRhdGEuTW9sZWN1bGUBbwF/ARJTY2lUZWdpYy5Nb2xlY3VsZQAAAQFkAv5qAQAAAAIAAjgYAAAA/PwA/AACAAAAAAAA8L8CBcWPMXct/z8CAAAAAAAA8j8AAAAAGAAAAPz8APwAAgAAAAAAAPC/AlK4HoXrUfE/AgAAAAAAAOQ/AAAAABgAAAD8/AD8AAIAAAAAAADwvwJSuB6F61HxPwIAAAAAAADYvwAAAAAYAAAA/PwA/AACAAAAAAAA8L8CBcWPMXct/z8CAAAAAAAA7L8AAAAAGAAAAPz8APwAAgAAAAAAAPC/AqOSOgFNhAZAAgAAAAAAANi/AAAAABwAAAD8/AD8AAIAAAAAAADwvwKDwMqhRbbLPwIAAAAAAADsvwAAAAAYAAAA/PwA/AACAAAAAAAA8L8CYxBYObTI5L8CAAAAAAAA2L8AAAAAGAAAAPz8APwAAgAAAAAAAPC/AnNoke18P/i/AgAAAAAAAOy/AAAAABgAAAD8/AD8AAIAAAAAAADwvwKTOgFNhA0DwAIAAAAAAADYvwAAAAAcAAAA/PwA/AACAAAAAAAA8L8CkzoBTYQNA8ACAAAAAAAA5D8AAAAAGAAAAPz8APwAAgAAAAAAAPC/AuQUHcnlP/i/AgAAAAAAAPI/AAAAABgAAAD8/AD8AAIAAAAAAADwvwJjEFg5tMjkvwIAAAAAAADkPwAAAAABEQAAAPz8APwAAgAAAAAAAPC/Agr5oGez6gxAAsWxLm6jAbw/AAAAAAERAAAA/PwA/AACAAAAAAAA8L8CE/JBz2aVEkACHqfoSC7/wT8AAAAAMAAEAWUEAAAAAAAAAAAECAFlBAAAAAAAAAAACAwBZQQAAAAAAAAAAAwQAWUEAAAAAAAAAAAIFAFlBAAAAAAAAAAAFBgBZQQAAAAAAAAAABgcAWUEAAAAAAAAAAAcIAFlBAAAAAAAAAAAICQBZQQAAAAAAAAAACQoAWUEAAAAAAAAAAAoLAFlBAAAAAAAAAAALBgBZQQAAAAAAAAAAAAAAAA=</t>
        </r>
      </text>
    </comment>
    <comment ref="A135" authorId="0" shapeId="0" xr:uid="{26DB1875-CBBE-41E3-B106-65D0269FBA4C}">
      <text>
        <r>
          <rPr>
            <sz val="9"/>
            <color indexed="81"/>
            <rFont val="MS P ゴシック"/>
            <family val="3"/>
            <charset val="128"/>
          </rPr>
          <t>Insight iXlW00001C0000135R0585476093S00000268P01304LAocjBAQBF1NjaVRlZ2ljLmRhdGEuTW9sZWN1bGUBbwF/ARJTY2lUZWdpYy5Nb2xlY3VsZQAAAQFkAv5qAQAAAAIAAgERGAAAAPz8APwAAgAAAAAAAPC/AgFvgQTFj/O/AoPix5i7luY/AAAAABwAAAD8/AD8AAIAAAAAAADwvwL8OnDOiNLWvwIJih9j7lrKPwAAAAAgAAAA/PwA/AACAAAAAAAA8L8CoWez6nO1AMACCYofY+5ayj8AAAAAIAAAAPz8APwAAgAAAAAAAPC/AgFvgQTFj/O/AkHxY8xdS/s/AAAAABgAAAD8/AD8AAIAAAAAAADwvwL8OnDOiNLWvwJ+HThnRGnpvwAAAAAYAAAA/PwA/AACAAAAAAAA8L8CBqOSOgFN4D8Cg+LHmLuW5j8AAAAAGAAAAPz8APwAAgAAAAAAAPC/Avvt68A5owfAAoPix5i7luY/AAAAABgAAAD8/AD8AAIAAAAAAADwvwLEsS5uowH2PwIJih9j7lrKPwAAAAAYAAAA/PwA/AACAAAAAAAA8L8CBqOSOgFN4D8Cvw6cM6K09L8AAAAAGAAAAPz8APwAAgAAAAAAAPC/AjZeukkMAvY/An4dOGdEaem/AAAAABwAAAD8/AD8AAIAAAAAAADwvwI830+Nl+4BQAK/DpwzorT0vwAAAAAgAAAA/PwA/AACAAAAAAAA8L8C6+I2GsBbE0ACfh04Z0Rp6b8AAAAAGAAAAPz8APwAAgAAAAAAAPC/Avvt68A5owvAAgR4CyQofsS/AAAAABgAAAD8/AD8AAIAAAAAAADwvwIbnl4py5AOwAJB8WPMXUvzPwAAAAAYAAAA/PwA/AACAAAAAAAA8L8C++3rwDmjA8ACg1FJnYAm+T8AAAAAGAAAAPz8APwAAgAAAAAAAPC/AlyPwvUo3AhAAn4dOGdEaem/AAAAABgAAAD8/AD8AAIAAAAAAADwvwJ9PzVeuskPQAK/DpwzorT0vwAAAAABEQQAAWUEAAAAAAAAAAAIAAFlBAAAAAAAAAAADAABZQgAAAAAAAAAABAEAWUEAAAAAAAAAAAUBAFlBAAAAAAAAAAAGAgBZQQAAAAAAAAAABwUAWUEAAAAAAAAAAAgEAFlBAAAAAAAAAAAJBwBZQQAAAAAAAAAACgkAWUEAAAAAAAAAAAsARABZQQAAAAAAAAAADAYAWUEAAAAAAAAAAA0GAFlBAAAAAAAAAAAOBgBZQQAAAAAAAAAADwoAWUEAAAAAAAAAAABEDwBZQQAAAAAAAAAACQgAWUEAAAAAAAAAAAAAAAA</t>
        </r>
      </text>
    </comment>
    <comment ref="A136" authorId="0" shapeId="0" xr:uid="{D34A71B1-1B16-41B0-BA36-E11C3058C7C2}">
      <text>
        <r>
          <rPr>
            <sz val="9"/>
            <color indexed="81"/>
            <rFont val="MS P ゴシック"/>
            <family val="3"/>
            <charset val="128"/>
          </rPr>
          <t>Insight iXlW00001C0000136R0585476093S00000270P01376LAocjBAQBF1NjaVRlZ2ljLmRhdGEuTW9sZWN1bGUBbwF/ARJTY2lUZWdpYy5Nb2xlY3VsZQAAAQFkAv5qAQAAAAIAAgESGAAAAPz8APwAAgAAAAAAAPC/AuC+Dpwzovi/AoiFWtO84+g/AAAAABwAAAD8/AD8AAIAAAAAAADwvwI9vVKWIY7lvwIPC7WmecfRPwAAAAAgAAAA/PwA/AACAAAAAAAA8L8CkQ96Nqs+A8ACDwu1pnnH0T8AAAAAIAAAAPz8APwAAgAAAAAAAPC/AuC+Dpwzovi/AsRCrWnecfw/AAAAABgAAAD8/AD8AAIAAAAAAADwvwI9vVKWIY7lvwJ5eqUsQxznvwAAAAAYAAAA/PwA/AACAAAAAAAA8L8CHA3gLZCgyD8CiIVa07zj6D8AAAAAGAAAAPz8APwAAgAAAAAAAPC/AuqVsgxxLArAAoiFWtO84+g/AAAAABgAAAD8/AD8AAIAAAAAAADwvwJWDi2yne/wPwIPC7WmecfRPwAAAAAYAAAA/PwA/AACAAAAAAAA8L8CpHA9CtejyD8CPL1SliGO878AAAAAGAAAAPz8APwAAgAAAAAAAPC/AlYOLbKd7/A/Anl6pSxDHOe/AAAAABwAAAD8/AD8AAIAAAAAAADwvwKYbhKDwMr+PwI8vVKWIY7zvwAAAAAYAAAA/PwA/AACAAAAAAAA8L8Cxm00gLdADUACPL1SliGO878AAAAAIAAAAPz8APwAAgAAAAAAAPC/AgTnjCjtjRVAAjy9UpYhjvO/AAAAABgAAAD8/AD8AAIAAAAAAADwvwJt5/up8VIGQAJ5eqUsQxznvwAAAAAYAAAA/PwA/AACAAAAAAAA8L8C9I5TdCQXEkACeXqlLEMc578AAAAAGAAAAPz8APwAAgAAAAAAAPC/AuqVsgxxLA7AAtzXgXNGlLa/AAAAABgAAAD8/AD8AAIAAAAAAADwvwIGo5I6AY0QwALEQq1p3nH0PwAAAAAYAAAA/PwA/AACAAAAAAAA8L8C6pWyDHEsBsACBqOSOgFN+j8AAAAAARIEAAFlBAAAAAAAAAAACAABZQQAAAAAAAAAAAwAAWUIAAAAAAAAAAAQBAFlBAAAAAAAAAAAFAQBZQQAAAAAAAAAABgIAWUEAAAAAAAAAAAcFAFlBAAAAAAAAAAAIBABZQQAAAAAAAAAACQcAWUEAAAAAAAAAAAoJAFlBAAAAAAAAAAALDQBZQQAAAAAAAAAADA4AWUEAAAAAAAAAAA0KAFlBAAAAAAAAAAAOCwBZQQAAAAAAAAAADwYAWUEAAAAAAAAAAABEBgBZQQAAAAAAAAAAAERGAFlBAAAAAAAAAAAJCABZQQAAAAAAAAAAAAAAAA=</t>
        </r>
      </text>
    </comment>
    <comment ref="A137" authorId="0" shapeId="0" xr:uid="{4794414F-1BF7-47A2-8F3E-3AAE0E9A1F92}">
      <text>
        <r>
          <rPr>
            <sz val="9"/>
            <color indexed="81"/>
            <rFont val="MS P ゴシック"/>
            <family val="3"/>
            <charset val="128"/>
          </rPr>
          <t>Insight iXlW00001C0000137R0585476093S00000272P01356LAocjBAQBF1NjaVRlZ2ljLmRhdGEuTW9sZWN1bGUBbwF/ARJTY2lUZWdpYy5Nb2xlY3VsZQAAAQFkAv5qAQAAAAIAAgESASMAAAD8/AD8AAIAAAAAAADwvwIBb4EExY8DQAIAAAAAAAAAQAAAAAAYAAAA/PwA/AACAAAAAAAA8L8CAW+BBMWPA0ABAAAAABgAAAD8/AD8AAIAAAAAAADwvwJa9bnain0KQAIAAAAAAADgPwAAAAAYAAAA/PwA/AACAAAAAAAA8L8CWvW52op9CkACAAAAAAAA4L8AAAAAGAAAAPz8APwAAgAAAAAAAPC/AgFvgQTFjwNAAgAAAAAAAPC/AAAAABgAAAD8/AD8AAIAAAAAAADwvwLAfR04Z0T5PwIAAAAAAADgvwAAAAAcAAAA/PwA/AACAAAAAAAA8L8C/DpwzojS5j8CAAAAAAAA8L8AAAAAGAAAAPz8APwAAgAAAAAAAPC/Ah8Wak3zjsO/AgAAAAAAAOC/AAAAACAAAAD8/AD8AAIAAAAAAADwvwIfFmpN847DvwIAAAAAAADgPwAAAAAcAAAA/PwA/AACAAAAAAAA8L8CBqOSOgFN8L8CAAAAAAAA8L8AAAAAGAAAAPz8APwAAgAAAAAAAPC/ArivA+eMKP6/AgAAAAAAAOC/AAAAABgAAAD8/AD8AAIAAAAAAADwvwL9h/Tb1wEGwAIAAAAAAADwvwAAAAAYAAAA/PwA/AACAAAAAAAA8L8CHjhnRGnvDMACAAAAAAAA4L8AAAAAHAAAAPz8APwAAgAAAAAAAPC/Ah44Z0Rp7wzAAgAAAAAAAOA/AAAAABgAAAD8/AD8AAIAAAAAAADwvwL9h/Tb1wEGwAEAAAAAGAAAAPz8APwAAgAAAAAAAPC/ArivA+eMKP6/AgAAAAAAAOA/AAAAABgAAAD8/AD8AAIAAAAAAADwvwLAfR04Z0T5PwIAAAAAAADgPwAAAAABEQAAAPz8APwAAgAAAAAAAPC/AuAtkKD4cRBAAgAAAAAAAOA/AAAAAAESAAQBZQQAAAAAAAAAAAQIAWUIDAAAAAAAAAAIDAFlBAAAAAAAAAAADBABZQgIAAAAAAAAABAUAWUEAAAAAAAAAAAUGAFlBAAAAAAAAAAAGBwBZQQAAAAAAAAAABwgAWUIAAAAAAAAAAAcJAFlBAAAAAAAAAAAJCgBZQQAAAAAAAAAACgsAWUEAAAAAAAAAAAsMAFlBAAAAAAAAAAAMDQBZQQAAAAAAAAAADQ4AWUEAAAAAAAAAAA4PAFlBAAAAAAAAAAAPCgBZQQAAAAAAAAAABQBEAFlCAgAAAAAAAAAARAEAWUEAAAAAAAAAAAAAAAA</t>
        </r>
      </text>
    </comment>
    <comment ref="A138" authorId="0" shapeId="0" xr:uid="{952C4520-BECF-4935-8490-E56ACA584B61}">
      <text>
        <r>
          <rPr>
            <sz val="9"/>
            <color indexed="81"/>
            <rFont val="MS P ゴシック"/>
            <family val="3"/>
            <charset val="128"/>
          </rPr>
          <t>Insight iXlW00001C0000138R0585476093S00000274P01356LAocjBAQBF1NjaVRlZ2ljLmRhdGEuTW9sZWN1bGUBbwF/ARJTY2lUZWdpYy5Nb2xlY3VsZQAAAQFkAv5qAQAAAAIAAgESGAAAAPz8APwAAgAAAAAAAPC/AgFvgQTFjwNAAgAAAAAAAABAAAAAABgAAAD8/AD8AAIAAAAAAADwvwIBb4EExY8DQAEAAAAAGAAAAPz8APwAAgAAAAAAAPC/Alr1udqKfQpAAgAAAAAAAOA/AAAAABgAAAD8/AD8AAIAAAAAAADwvwJa9bnain0KQAIAAAAAAADgvwAAAAAYAAAA/PwA/AACAAAAAAAA8L8CAW+BBMWPA0ACAAAAAAAA8L8AAAAAGAAAAPz8APwAAgAAAAAAAPC/AsB9HThnRPk/AgAAAAAAAOC/AAAAABwAAAD8/AD8AAIAAAAAAADwvwL8OnDOiNLmPwIAAAAAAADwvwAAAAAYAAAA/PwA/AACAAAAAAAA8L8CHxZqTfOOw78CAAAAAAAA4L8AAAAAIAAAAPz8APwAAgAAAAAAAPC/Ah8Wak3zjsO/AgAAAAAAAOA/AAAAABwAAAD8/AD8AAIAAAAAAADwvwIGo5I6AU3wvwIAAAAAAADwvwAAAAAYAAAA/PwA/AACAAAAAAAA8L8CuK8D54wo/r8CAAAAAAAA4L8AAAAAGAAAAPz8APwAAgAAAAAAAPC/Av2H9NvXAQbAAgAAAAAAAPC/AAAAABgAAAD8/AD8AAIAAAAAAADwvwIeOGdEae8MwAIAAAAAAADgvwAAAAAcAAAA/PwA/AACAAAAAAAA8L8CHjhnRGnvDMACAAAAAAAA4D8AAAAAGAAAAPz8APwAAgAAAAAAAPC/Av2H9NvXAQbAAQAAAAAYAAAA/PwA/AACAAAAAAAA8L8CuK8D54wo/r8CAAAAAAAA4D8AAAAAGAAAAPz8APwAAgAAAAAAAPC/AsB9HThnRPk/AgAAAAAAAOA/AAAAAAERAAAA/PwA/AACAAAAAAAA8L8C4C2QoPhxEEACAAAAAAAA4D8AAAAAARIABAFlBAAAAAAAAAAABAgBZQgMAAAAAAAAAAgMAWUEAAAAAAAAAAAMEAFlCAgAAAAAAAAAEBQBZQQAAAAAAAAAABQYAWUEAAAAAAAAAAAYHAFlBAAAAAAAAAAAHCABZQgAAAAAAAAAABwkAWUEAAAAAAAAAAAkKAFlBAAAAAAAAAAAKCwBZQQAAAAAAAAAACwwAWUEAAAAAAAAAAAwNAFlBAAAAAAAAAAANDgBZQQAAAAAAAAAADg8AWUEAAAAAAAAAAA8KAFlBAAAAAAAAAAAFAEQAWUICAAAAAAAAAABEAQBZQQAAAAAAAAAAAAAAAA=</t>
        </r>
      </text>
    </comment>
    <comment ref="A139" authorId="0" shapeId="0" xr:uid="{8DEBF001-D0F7-49AC-88F2-E7E7338EABBC}">
      <text>
        <r>
          <rPr>
            <sz val="9"/>
            <color indexed="81"/>
            <rFont val="MS P ゴシック"/>
            <family val="3"/>
            <charset val="128"/>
          </rPr>
          <t>Insight iXlW00001C0000139R0585476093S00000276P00932LAocjBAQBF1NjaVRlZ2ljLmRhdGEuTW9sZWN1bGUBbwF/ARJTY2lUZWdpYy5Nb2xlY3VsZQAAAQFkAv5qAQAAAAIAAjAYAAAA/PwA/AACAAAAAAAA8L8CrYvbaADvB0AC+aBns+pz0b8AAAAAHAAAAPz8APwAAgAAAAAAAPC/AozbaABvAQFAAn3Qs1n1uei/AAAAABgAAAD8/AD8AAIAAAAAAADwvwLWVuwvuyf0PwL5oGez6nPRvwAAAAAgAAAA/PwA/AACAAAAAAAA8L8C1lbsL7sn9D8ChC9MpgpG5z8AAAAAHAAAAPz8APwAAgAAAAAAAPC/Ao0o7Q2+MNk/An3Qs1n1uei/AAAAABgAAAD8/AD8AAIAAAAAAADwvwJ6WKg1zTvevwL5oGez6nPRvwAAAAAYAAAA/PwA/AACAAAAAAAA8L8CYHZPHhZq9b8CfdCzWfW56L8AAAAAGAAAAPz8APwAAgAAAAAAAPC/AlFrmnecogHAAvmgZ7Pqc9G/AAAAABwAAAD8/AD8AAIAAAAAAADwvwJRa5p3nKIBwAKEL0ymCkbnPwAAAAAYAAAA/PwA/AACAAAAAAAA8L8CYHZPHhZq9b8CwhcmUwWj8z8AAAAAGAAAAPz8APwAAgAAAAAAAPC/AnpYqDXNO96/AoQvTKYKRuc/AAAAAAERAAAA/PwA/AACAAAAAAAA8L8CE/JBz2ZVDkACDr4wmSoYzT8AAAAALAAEAWUEAAAAAAAAAAAECAFlBAAAAAAAAAAACAwBZQgAAAAAAAAAAAgQAWUEAAAAAAAAAAAQFAFlBAAAAAAAAAAAFBgBZQQAAAAAAAAAABgcAWUEAAAAAAAAAAAcIAFlBAAAAAAAAAAAICQBZQQAAAAAAAAAACQoAWUEAAAAAAAAAAAoFAFlBAAAAAAAAAAAAAAAAA==</t>
        </r>
      </text>
    </comment>
    <comment ref="A140" authorId="0" shapeId="0" xr:uid="{EDA670ED-CD57-4935-A1FA-7C93CABEBCEE}">
      <text>
        <r>
          <rPr>
            <sz val="9"/>
            <color indexed="81"/>
            <rFont val="MS P ゴシック"/>
            <family val="3"/>
            <charset val="128"/>
          </rPr>
          <t>Insight iXlW00001C0000140R0585476093S00000278P01380LAocjBAQBF1NjaVRlZ2ljLmRhdGEuTW9sZWN1bGUBbwF/ARJTY2lUZWdpYy5Nb2xlY3VsZQAAAQFkAv5qAQAAAAIAAgESASMAAAD8/AD8AAIAAAAAAADwvwIBb4EExY8DQALrBDQRNjz8vwAAAAAYAAAA/PwA/AACAAAAAAAA8L8CAW+BBMWPA0AC1QloImx46L8AAAAAGAAAAPz8APwAAgAAAAAAAPC/Alr1udqKfQpAAqkT0ETY8NC/AAAAABgAAAD8/AD8AAIAAAAAAADwvwJa9bnain0KQAIs9pfdk4fnPwAAAAAYAAAA/PwA/AACAAAAAAAA8L8COUVHcvmPA0ACFvvL7snD8z8AAAAAGAAAAPz8APwAAgAAAAAAAPC/AsB9HThnRPk/Aiz2l92Th+c/AAAAABgAAAD8/AD8AAIAAAAAAADwvwLAfR04Z0T5PwKpE9BE2PDQvwAAAAAcAAAA/PwA/AACAAAAAAAA8L8C/DpwzojS5j8C1QloImx46L8AAAAAGAAAAPz8APwAAgAAAAAAAPC/Ah8Wak3zjsO/AqkT0ETY8NC/AAAAACAAAAD8/AD8AAIAAAAAAADwvwIfFmpN847DvwIs9pfdk4fnPwAAAAAcAAAA/PwA/AACAAAAAAAA8L8Cd08eFmpN8L8C1QloImx46L8AAAAAGAAAAPz8APwAAgAAAAAAAPC/ArivA+eMKP6/AqkT0ETY8NC/AAAAABgAAAD8/AD8AAIAAAAAAADwvwL9h/Tb1wEGwALVCWgibHjovwAAAAAYAAAA/PwA/AACAAAAAAAA8L8CHjhnRGnvDMACqRPQRNjw0L8AAAAAHAAAAPz8APwAAgAAAAAAAPC/Ah44Z0Rp7wzAAiz2l92Th+c/AAAAABgAAAD8/AD8AAIAAAAAAADwvwL9h/Tb1wEGwAIW+8vuycPzPwAAAAAYAAAA/PwA/AACAAAAAAAA8L8CuK8D54wo/r8CLPaX3ZOH5z8AAAAAAREAAAD8/AD8AAIAAAAAAADwvwLgLZCg+HEQQAKpE9BE2PDQvwAAAAABEgAEAWUEAAAAAAAAAAAECAFlCAwAAAAAAAAACAwBZQQAAAAAAAAAAAwQAWUICAAAAAAAAAAQFAFlBAAAAAAAAAAAFBgBZQgIAAAAAAAAABgEAWUEAAAAAAAAAAAYHAFlBAAAAAAAAAAAHCABZQQAAAAAAAAAACAkAWUIAAAAAAAAAAAgKAFlBAAAAAAAAAAAKCwBZQQAAAAAAAAAACwwAWUEAAAAAAAAAAAwNAFlBAAAAAAAAAAANDgBZQQAAAAAAAAAADg8AWUEAAAAAAAAAAA8ARABZQQAAAAAAAAAAAEQLAFlBAAAAAAAAAAAAAAAAA==</t>
        </r>
      </text>
    </comment>
    <comment ref="A141" authorId="0" shapeId="0" xr:uid="{AED57FC8-17A6-477E-9CA3-CB7841289484}">
      <text>
        <r>
          <rPr>
            <sz val="9"/>
            <color indexed="81"/>
            <rFont val="MS P ゴシック"/>
            <family val="3"/>
            <charset val="128"/>
          </rPr>
          <t>Insight iXlW00001C0000141R0585476093S00000280P01832LAocjBAQBF1NjaVRlZ2ljLmRhdGEuTW9sZWN1bGUBbwF/ARJTY2lUZWdpYy5Nb2xlY3VsZQAAAQFkAv5qAQAAAAIAAgEYGAAAAPz8APwAAgAAAAAAAPC/AqOSOgFNhAbAArU3+MJkquo/AAAAABwAAAD8/AD8AAIAAAAAAADwvwIFxY8xdy3/vwJqb/CFyVTVPwAAAAAYAAAA/PwA/AACAAAAAAAA8L8Cc2iR7Xw/+D8CTMgHPZtV5b8AAAAAHAAAAPz8APwAAgAAAAAAAPC/ApM6AU2EDQNAAibkg57NqvK/AAAAACAAAAD8/AD8AAIAAAAAAADwvwLEQq1p3nENwAJqb/CFyVTVPwAAAAAYAAAA/PwA/AACAAAAAAAA8L8CtOpztRX7CUACTMgHPZtV5b8AAAAAHAAAAPz8APwAAgAAAAAAAPC/AmMQWDm0yOQ/Aibkg57NqvK/AAAAACAAAAD8/AD8AAIAAAAAAADwvwKjkjoBTYQGwALbG3xhMlX9PwAAAAAYAAAA/PwA/AACAAAAAAAA8L8CUrgehetR8b8CtTf4wmSq6j8AAAAAGAAAAPz8APwAAgAAAAAAAPC/ApQYBFYOLf+/Ampv8IXJVOW/AAAAACAAAAD8/AD8AAIAAAAAAADwvwJzaJHtfD/4PwJqb/CFyVTVPwAAAAAYAAAA/PwA/AACAAAAAAAA8L8Cak3zjlN0EEACtTf4wmSq8r8AAAAAGAAAAPz8APwAAgAAAAAAAPC/AnP5D+m3LxLAArU3+MJkquo/AAAAABgAAAD8/AD8AAIAAAAAAADwvwKDwMqhRbbLvwJqb/CFyVTVPwAAAAAYAAAA/PwA/AACAAAAAAAA8L8CUrgehetR8b8CtTf4wmSq8r8AAAAAGAAAAPz8APwAAgAAAAAAAPC/AoPAyqFFtsu/AkzIBz2bVeW/AAAAACQAAAD8/AD8AAIAAAAAAADwvwJqTfOOU3QQQALbG3xhMlUBwAAAAAAYAAAA/PwA/AACAAAAAAAA8L8CtOpztRX7CUACam/whclU1T8AAAAAGAAAAPz8APwAAgAAAAAAAPC/AnP5D+m3LxTAAueMKO0NvqC/AAAAABgAAAD8/AD8AAIAAAAAAADwvwKfPCzUmqYVwALbG3xhMlX1PwAAAAAYAAAA/PwA/AACAAAAAAAA8L8CcvkP6bcvEMACjSjtDb4w+z8AAAAAGAAAAPz8APwAAgAAAAAAAPC/AnulLEMc6xNAAmpv8IXJVOW/AAAAABgAAAD8/AD8AAIAAAAAAADwvwJqTfOOU3QQQAK1N/jCZKrqPwAAAAAYAAAA/PwA/AACAAAAAAAA8L8Ce6UsQxzrE0ACam/whclU1T8AAAAAARkEAAFlBAAAAAAAAAAACBgBZQQAAAAAAAAAAAwIAWUEAAAAAAAAAAAQAAFlBAAAAAAAAAAAFAwBZQQAAAAAAAAAABg8AWUEAAAAAAAAAAAcAAFlCAAAAAAAAAAAIAQBZQQAAAAAAAAAACQEAWUEAAAAAAAAAAAoCAFlCAAAAAAAAAAALBQBZQQAAAAAAAAAADAQAWUEAAAAAAAAAAA0IAFlBAAAAAAAAAAAOCQBZQQAAAAAAAAAADw4AWUEAAAAAAAAAAABECwBZQQAAAAAAAAAAAERFAFlCAwAAAAAAAAAARIwAWUEAAAAAAAAAAABEzABZQQAAAAAAAAAAAEUMAFlBAAAAAAAAAAAARUsAWUICAAAAAAAAAABFgERAWUEAAAAAAAAAAABFwEWAWUICAAAAAAAAAA0PAFlBAAAAAAAAAAAARUBFwFlBAAAAAAAAAAAAAAAAA==</t>
        </r>
      </text>
    </comment>
    <comment ref="A142" authorId="0" shapeId="0" xr:uid="{18EB60F8-2DB3-40A5-8B2A-4EE79B4DEB9B}">
      <text>
        <r>
          <rPr>
            <sz val="9"/>
            <color indexed="81"/>
            <rFont val="MS P ゴシック"/>
            <family val="3"/>
            <charset val="128"/>
          </rPr>
          <t>Insight iXlW00001C0000142R0585476093S00000282P01320LAocjBAQBF1NjaVRlZ2ljLmRhdGEuTW9sZWN1bGUBbwF/ARJTY2lUZWdpYy5Nb2xlY3VsZQAAAQFkAv5qAQAAAAIAAgERIAAAAPz8APwAAgAAAAAAAPC/AjzfT42XbqK/AtgS8kHPZvq/AAAAABgAAAD8/AD8AAIAAAAAAADwvwLZX3ZPHhbWvwKS7Xw/NV7mvwAAAAAcAAAA/PwA/AACAAAAAAAA8L8CG55eKcsQzz8CKVyPwvUovD8AAAAAGAAAAPz8APwAAgAAAAAAAPC/Atlfdk8eFta/ApzEILByaO0/AAAAABgAAAD8/AD8AAIAAAAAAADwvwIFNBE2PL30vwKF61G4HoXjPwAAAAAYAAAA/PwA/AACAAAAAAAA8L8CI0p7gy9MAcACw/UoXI/C8T8AAAAAGAAAAPz8APwAAgAAAAAAAPC/AkT67evAOQjAAoXrUbgeheM/AAAAABgAAAD8/AD8AAIAAAAAAADwvwJE+u3rwDkIwAL2KFyPwvXYvwAAAAAYAAAA/PwA/AACAAAAAAAA8L8CI0p7gy9MAcACexSuR+F67L8AAAAAGAAAAPz8APwAAgAAAAAAAPC/AgU0ETY8vfS/AvYoXI/C9di/AAAAABgAAAD8/AD8AAIAAAAAAADwvwLE0ytlGeLzPwIpXI/C9Si8PwAAAAAYAAAA/PwA/AACAAAAAAAA8L8CxNMrZRni+z8CCawcWmQ77z8AAAAAGAAAAPz8APwAAgAAAAAAAPC/AuLplbIM8QVAAgmsHFpkO+8/AAAAABwAAAD8/AD8AAIAAAAAAADwvwLi6ZWyDPEJQAIpXI/C9Si8PwAAAAAYAAAA/PwA/AACAAAAAAAA8L8C4umVsgzxBUAC/tR46SYx6L8AAAAAGAAAAPz8APwAAgAAAAAAAPC/AsTTK2UZ4vs/Av7UeOkmMei/AAAAAAERAAAA/PwA/AACAAAAAAAA8L8CJCh+jLkrEEACSOF6FK5H0b8AAAAAARIABAFlCAAAAAAAAAAABAgBZQQAAAAAAAAAAAgMAWUEAAAAAAAAAAAMEAFlBAAAAAAAAAAAEBQBZQQAAAAAAAAAABQYAWUICAAAAAAAAAAYHAFlBAAAAAAAAAAAHCABZQgIAAAAAAAAACAkAWUEAAAAAAAAAAAkBAFlBAAAAAAAAAAAJBABZQgMAAAAAAAAAAgoAWUEAAAAAAAAAAAoLAFlBAAAAAAAAAAALDABZQQAAAAAAAAAADA0AWUEAAAAAAAAAAA0OAFlBAAAAAAAAAAAODwBZQQAAAAAAAAAADwoAWUEAAAAAAAAAAAAAAAA</t>
        </r>
      </text>
    </comment>
    <comment ref="A143" authorId="0" shapeId="0" xr:uid="{453D9BE5-99B8-4BBF-8C67-8BC612E0383E}">
      <text>
        <r>
          <rPr>
            <sz val="9"/>
            <color indexed="81"/>
            <rFont val="MS P ゴシック"/>
            <family val="3"/>
            <charset val="128"/>
          </rPr>
          <t>Insight iXlW00001C0000143R0585476093S00000284P01448LAocjBAQBF1NjaVRlZ2ljLmRhdGEuTW9sZWN1bGUBbwF/ARJTY2lUZWdpYy5Nb2xlY3VsZQAAAQFkAv5qAQAAAAIAAgETGAAAAPz8APwAAgAAAAAAAPC/ApZDi2zn+/q/ApXUCWgibOg/AAAAABwAAAD8/AD8AAIAAAAAAADwvwLGbTSAt0DqvwIqqRPQRNjQPwAAAAAYAAAA/PwA/AACAAAAAAAA8L8CSnuDL0wmBUACayv2l92T578AAAAAIAAAAPz8APwAAgAAAAAAAPC/AuxRuB6FawTAAiqpE9BE2NA/AAAAABwAAAD8/AD8AAIAAAAAAADwvwLi6ZWyDHH8PwK2FfvL7snzvwAAAAAgAAAA/PwA/AACAAAAAAAA8L8ClkOLbOf7+r8CS+oENBE2/D8AAAAAGAAAAPz8APwAAgAAAAAAAPC/AsZtNIC3QOq/Amsr9pfdk+e/AAAAABgAAAD8/AD8AAIAAAAAAADwvwLUK2UZ4linPwKze/KwUGvoPwAAAAAgAAAA/PwA/AACAAAAAAAA8L8CSnuDL0wmBUACKqkT0ETY0D8AAAAAGAAAAPz8APwAAgAAAAAAAPC/Ag0CK4cWWQvAApXUCWgibOg/AAAAABgAAAD8/AD8AAIAAAAAAADwvwJBE2HD0yvtPwJm9+RhodbQPwAAAAAYAAAA/PwA/AACAAAAAAAA8L8C1CtlGeJYpz8CthX7y+7J878AAAAAGAAAAPz8APwAAgAAAAAAAPC/AkETYcPTK+0/Amsr9pfdk+e/AAAAACAAAAD8/AD8AAIAAAAAAADwvwJrK/aX3RMMQAK2FfvL7snzvwAAAAAYAAAA/PwA/AACAAAAAAAA8L8CDQIrhxZZD8ACgSbChqdXur8AAAAAGAAAAPz8APwAAgAAAAAAAPC/AhfZzvdTIxHAAkvqBDQRNvQ/AAAAABgAAAD8/AD8AAIAAAAAAADwvwINAiuHFlkHwAKMSuoENBH6PwAAAAAYAAAA/PwA/AACAAAAAAAA8L8Cxm00gLeAEUACayv2l92T578AAAAAGAAAAPz8APwAAgAAAAAAAPC/AtfFbTSA9xRAArYV+8vuyfO/AAAAAAETBAABZQQAAAAAAAAAAAgQAWUEAAAAAAAAAAAMAAFlBAAAAAAAAAAAEDABZQQAAAAAAAAAABQAAWUIAAAAAAAAAAAYBAFlBAAAAAAAAAAAHAQBZQQAAAAAAAAAACAIAWUIAAAAAAAAAAAkDAFlBAAAAAAAAAAAKBwBZQQAAAAAAAAAACwYAWUEAAAAAAAAAAAwKAFlBAAAAAAAAAAANAgBZQQAAAAAAAAAADgkAWUEAAAAAAAAAAA8JAFlBAAAAAAAAAAAARAkAWUEAAAAAAAAAAABETQBZQQAAAAAAAAAAAESAREBZQQAAAAAAAAAACwwAWUEAAAAAAAAAAAAAAAA</t>
        </r>
      </text>
    </comment>
    <comment ref="A144" authorId="0" shapeId="0" xr:uid="{A9470AD0-80FA-4AB9-9DCE-CCBF1C51D836}">
      <text>
        <r>
          <rPr>
            <sz val="9"/>
            <color indexed="81"/>
            <rFont val="MS P ゴシック"/>
            <family val="3"/>
            <charset val="128"/>
          </rPr>
          <t>Insight iXlW00001C0000144R0585476093S00000286P01000LAocjBAQBF1NjaVRlZ2ljLmRhdGEuTW9sZWN1bGUBbwF/ARJTY2lUZWdpYy5Nb2xlY3VsZQAAAQFkAv5qAQAAAAIAAjQYAAAA/PwA/AACAAAAAAAA8L8CJ8KGp1dKDEACtTf4wmSq5r8AAAAAGAAAAPz8APwAAgAAAAAAAPC/As07TtGRXAVAAtPe4AuTqcq/AAAAACAAAAD8/AD8AAIAAAAAAADwvwJZF7fRAN78PwK1N/jCZKrmvwAAAAAYAAAA/PwA/AACAAAAAAAA8L8CL26jAbwF7j8C097gC5Opyr8AAAAAIAAAAPz8APwAAgAAAAAAAPC/Ai9uowG8Be4/AkzIBz2bVek/AAAAABwAAAD8/AD8AAIAAAAAAADwvwJdbcX+snuyPwK1N/jCZKrmvwAAAAAYAAAA/PwA/AACAAAAAAAA8L8CumsJ+aBn6b8C097gC5Opyr8AAAAAGAAAAPz8APwAAgAAAAAAAPC/Ah8Wak3zjvq/ArU3+MJkqua/AAAAABgAAAD8/AD8AAIAAAAAAADwvwIwuycPCzUEwALT3uALk6nKvwAAAAAcAAAA/PwA/AACAAAAAAAA8L8CMLsnDws1BMACTMgHPZtV6T8AAAAAGAAAAPz8APwAAgAAAAAAAPC/Ah8Wak3zjvq/ArU3+MJkqvQ/AAAAABgAAAD8/AD8AAIAAAAAAADwvwK6awn5oGfpvwJqb/CFyVTpPwAAAAABEQAAAPz8APwAAgAAAAAAAPC/AkeU9gZfWBFAAtPe4AuTqdI/AAAAADAABAFlBAAAAAAAAAAABAgBZQQAAAAAAAAAAAgMAWUEAAAAAAAAAAAMEAFlCAAAAAAAAAAADBQBZQQAAAAAAAAAABQYAWUEAAAAAAAAAAAYHAFlBAAAAAAAAAAAHCABZQQAAAAAAAAAACAkAWUEAAAAAAAAAAAkKAFlBAAAAAAAAAAAKCwBZQQAAAAAAAAAACwYAWUEAAAAAAAAAAAAAAAA</t>
        </r>
      </text>
    </comment>
    <comment ref="A145" authorId="0" shapeId="0" xr:uid="{BA6463F6-5868-4CE3-89DB-252C615C0D7D}">
      <text>
        <r>
          <rPr>
            <sz val="9"/>
            <color indexed="81"/>
            <rFont val="MS P ゴシック"/>
            <family val="3"/>
            <charset val="128"/>
          </rPr>
          <t>Insight iXlW00001C0000145R0585476093S00000288P00932LAocjBAQBF1NjaVRlZ2ljLmRhdGEuTW9sZWN1bGUBbwF/ARJTY2lUZWdpYy5Nb2xlY3VsZQAAAQFkAv5qAQAAAAIAAjAYAAAA/PwA/AACAAAAAAAA8L8CqTXNO07R9T8CUWuad5yi8b8AAAAAHAAAAPz8APwAAgAAAAAAAPC/AlFrmnecous/AnpYqDXNO86/AAAAABgAAAD8/AD8AAIAAAAAAADwvwK9UpYhjnXBvwJ6WKg1zTvOvwAAAAAYAAAA/PwA/AACAAAAAAAA8L8CsJRliGNd5L8CUWuad5yi8b8AAAAAGAAAAPz8APwAAgAAAAAAAPC/AljKMsSxLvq/AlFrmnecovG/AAAAABwAAAD8/AD8AAIAAAAAAADwvwIsZRniWBcBwAJ6WKg1zTvOvwAAAAAYAAAA/PwA/AACAAAAAAAA8L8CWMoyxLEu+r8CZapgVFIn5D8AAAAAGAAAAPz8APwAAgAAAAAAAPC/ArCUZYhjXeS/AmWqYFRSJ+Q/AAAAABgAAAD8/AD8AAIAAAAAAADwvwKpNc07TtH1PwJlqmBUUifkPwAAAAAgAAAA/PwA/AACAAAAAAAA8L8C1JrmHafoAkACZapgVFIn5D8AAAAAGAAAAPz8APwAAgAAAAAAAPC/AlFrmnecous/AuVhodY07/c/AAAAAAERAAAA/PwA/AACAAAAAAAA8L8COwFNhA1PCUACjSjtDb4wyT8AAAAALAAEAWUEAAAAAAAAAAAECAFlBAAAAAAAAAAACAwBZQQAAAAAAAAAAAwQAWUEAAAAAAAAAAAQFAFlBAAAAAAAAAAAFBgBZQQAAAAAAAAAABgcAWUEAAAAAAAAAAAcCAFlBAAAAAAAAAAABCABZQQAAAAAAAAAACAkAWUIAAAAAAAAAAAgKAFlBAAAAAAAAAAAAAAAAA==</t>
        </r>
      </text>
    </comment>
    <comment ref="A146" authorId="0" shapeId="0" xr:uid="{88AD9B7A-ED1A-488F-943F-26B8B59FAFAC}">
      <text>
        <r>
          <rPr>
            <sz val="9"/>
            <color indexed="81"/>
            <rFont val="MS P ゴシック"/>
            <family val="3"/>
            <charset val="128"/>
          </rPr>
          <t>Insight iXlW00001C0000146R0585476093S00000290P01000LAocjBAQBF1NjaVRlZ2ljLmRhdGEuTW9sZWN1bGUBbwF/ARJTY2lUZWdpYy5Nb2xlY3VsZQAAAQFkAv5qAQAAAAIAAjQYAAAA/PwA/AACAAAAAAAA8L8CAAAAAAAABUACOGdEaW/w9T8AAAAAGAAAAPz8APwAAgAAAAAAAPC/AgAAAAAAAAFAAu0NvjCZKuA/AAAAABgAAAD8/AD8AAIAAAAAAADwvwIAAAAAAADyPwLtDb4wmSrgPwAAAAAgAAAA/PwA/AACAAAAAAAA8L8CAAAAAAAA5D8COGdEaW/w9T8AAAAAHAAAAPz8APwAAgAAAAAAAPC/AgAAAAAAAOQ/AixlGeJYF9e/AAAAABgAAAD8/AD8AAIAAAAAAADwvwIAAAAAAADyPwL+ZffkYaHzvwAAAAAYAAAA/PwA/AACAAAAAAAA8L8CAAAAAAAA2L8CLGUZ4lgX178AAAAAGAAAAPz8APwAAgAAAAAAAPC/AgAAAAAAAOy/Ao25awn5oPO/AAAAABgAAAD8/AD8AAIAAAAAAADwvwIAAAAAAAD+vwKNuWsJ+aDzvwAAAAAcAAAA/PwA/AACAAAAAAAA8L8CAAAAAAAAA8ACLGUZ4lgX178AAAAAGAAAAPz8APwAAgAAAAAAAPC/AgAAAAAAAP6/Au0NvjCZKuA/AAAAABgAAAD8/AD8AAIAAAAAAADwvwIAAAAAAADsvwLtDb4wmSrgPwAAAAABEQAAAPz8APwAAgAAAAAAAPC/AmdmZmZmZgtAAkymCkYldbI/AAAAADAABAFlBAAAAAAAAAAABAgBZQQAAAAAAAAAAAgMAWUIAAAAAAAAAAAIEAFlBAAAAAAAAAAAEBQBZQQAAAAAAAAAABAYAWUEAAAAAAAAAAAYHAFlBAAAAAAAAAAAHCABZQQAAAAAAAAAACAkAWUEAAAAAAAAAAAkKAFlBAAAAAAAAAAAKCwBZQQAAAAAAAAAACwYAWUEAAAAAAAAAAAAAAAA</t>
        </r>
      </text>
    </comment>
    <comment ref="A147" authorId="0" shapeId="0" xr:uid="{FE7093B4-6509-4C6A-9A58-1DF30D9D197A}">
      <text>
        <r>
          <rPr>
            <sz val="9"/>
            <color indexed="81"/>
            <rFont val="MS P ゴシック"/>
            <family val="3"/>
            <charset val="128"/>
          </rPr>
          <t>Insight iXlW00001C0000147R0585476093S00000292P01072LAocjBAQBF1NjaVRlZ2ljLmRhdGEuTW9sZWN1bGUBbwF/ARJTY2lUZWdpYy5Nb2xlY3VsZQAAAQFkAv5qAQAAAAIAAjgYAAAA/PwA/AACAAAAAAAA8L8C/Knx0k1i/z8CH4XrUbge8r8AAAAAGAAAAPz8APwAAgAAAAAAAPC/AvhT46WbxO4/Ah+F61G4HvK/AAAAABwAAAD8/AD8AAIAAAAAAADwvwLwp8ZLN4ndPwJ1kxgEVg7RvwAAAAAYAAAA/PwA/AACAAAAAAAA8L8CCKwcWmQ74b8CdZMYBFYO0b8AAAAAGAAAAPz8APwAAgAAAAAAAPC/AgRWDi2ynfC/Ah+F61G4HvK/AAAAABgAAAD8/AD8AAIAAAAAAADwvwICK4cW2U4AwAIfhetRuB7yvwAAAAAcAAAA/PwA/AACAAAAAAAA8L8CAiuHFtlOBMACdZMYBFYO0b8AAAAAGAAAAPz8APwAAgAAAAAAAPC/AgIrhxbZTgDAAsl2vp8aL+M/AAAAABgAAAD8/AD8AAIAAAAAAADwvwIEVg4tsp3wvwLJdr6fGi/jPwAAAAAYAAAA/PwA/AACAAAAAAAA8L8C+FPjpZvE7j8Cq8/VVuwv4z8AAAAAIAAAAPz8APwAAgAAAAAAAPC/AvCnxks3id0/AhdIUPwYc/c/AAAAABgAAAD8/AD8AAIAAAAAAADwvwL8qfHSTWL/PwKrz9VW7C/jPwAAAAAYAAAA/PwA/AACAAAAAAAA8L8C/tR46SaxA0ACF0hQ/Bhz9z8AAAAAAREAAAD8/AD8AAIAAAAAAADwvwJlO99PjRcKQAIdWmQ730/FPwAAAAA0AAQBZQQAAAAAAAAAAAQIAWUEAAAAAAAAAAAIDAFlBAAAAAAAAAAADBABZQQAAAAAAAAAABAUAWUEAAAAAAAAAAAUGAFlBAAAAAAAAAAAGBwBZQQAAAAAAAAAABwgAWUEAAAAAAAAAAAgDAFlBAAAAAAAAAAACCQBZQQAAAAAAAAAACQoAWUIAAAAAAAAAAAkLAFlBAAAAAAAAAAALDABZQQAAAAAAAAAAAAAAAA=</t>
        </r>
      </text>
    </comment>
    <comment ref="A148" authorId="0" shapeId="0" xr:uid="{B3076FBD-C767-4DD9-B32B-CA834F2CE7EB}">
      <text>
        <r>
          <rPr>
            <sz val="9"/>
            <color indexed="81"/>
            <rFont val="MS P ゴシック"/>
            <family val="3"/>
            <charset val="128"/>
          </rPr>
          <t>Insight iXlW00001C0000148R0585476093S00000294P01600LAocjBAQBF1NjaVRlZ2ljLmRhdGEuTW9sZWN1bGUBbwF/ARJTY2lUZWdpYy5Nb2xlY3VsZQAAAQFkAv5qAQAAAAIAAgEVGAAAAPz8APwAAgAAAAAAAPC/As3MzMzMzA5AAhZqTfOOU/o/AAAAACAAAAD8/AD8AAIAAAAAAADwvwLNzMzMzMwKQAKqE9BE2PDoPwAAAAAYAAAA/PwA/AACAAAAAAAA8L8CzczMzMzMAkACqhPQRNjw6D8AAAAAIAAAAPz8APwAAgAAAAAAAPC/ApqZmZmZmf0/AhZqTfOOU/o/AAAAABgAAAD8/AD8AAIAAAAAAADwvwKamZmZmZn9PwLQZtXnaiu2vwAAAAAYAAAA/PwA/AACAAAAAAAA8L8CzczMzMzMAkACXW3F/rJ77r8AAAAAGAAAAPz8APwAAgAAAAAAAPC/ApqZmZmZmf0/AmHD0ytlGf2/AAAAABgAAAD8/AD8AAIAAAAAAADwvwI0MzMzMzPrPwLwFkhQ/Bj9vwAAAAAYAAAA/PwA/AACAAAAAAAA8L8CZ2ZmZmZm1j8CXW3F/rJ77r8AAAAAGAAAAPz8APwAAgAAAAAAAPC/AjQzMzMzM+s/AtBm1edqK7a/AAAAAAEQAAAA/PwA/AACAAAAAAAA8L8CzczMzMzM5L8CXW3F/rJ77r8AAAAAIAAAAPz8APwAAgAAAAAAAPC/As3MzMzMzOS/AjEqqRPQRKg/AAAAACAAAAD8/AD8AAIAAAAAAADwvwLNzMzMzMzkvwKvtmJ/2T3/vwAAAAAcAAAA/PwA/AACAAAAAAAA8L8CZ2ZmZmZm+r8CXW3F/rJ77r8AAAAAGAAAAPz8APwAAgAAAAAAAPC/AjMzMzMzMwHAAtBm1edqK7a/AAAAABgAAAD8/AD8AAIAAAAAAADwvwI0MzMzMzMJwALQZtXnaiu2vwAAAAAYAAAA/PwA/AACAAAAAAAA8L8CNDMzMzMzDcACqhPQRNjw6D8AAAAAHAAAAPz8APwAAgAAAAAAAPC/AjQzMzMzMwnAAogW2c73U/o/AAAAABgAAAD8/AD8AAIAAAAAAADwvwIzMzMzMzMBwAIWak3zjlP6PwAAAAAYAAAA/PwA/AACAAAAAAAA8L8CZ2ZmZmZm+r8CqhPQRNjw6D8AAAAAAREAAAD8/AD8AAIAAAAAAADwvwKamZmZmZkSQAJiMlUwKqnDvwAAAAABFQAEAWUEAAAAAAAAAAAECAFlBAAAAAAAAAAACAwBZQgAAAAAAAAAAAgQAWUEAAAAAAAAAAAQFAFlBAAAAAAAAAAAFBgBZQgIAAAAAAAAABgcAWUEAAAAAAAAAAAcIAFlCAgAAAAAAAAAICQBZQQAAAAAAAAAACQQAWUIDAAAAAAAAAAgKAFlBAAAAAAAAAAAKCwBZQgAAAAAAAAAACgwAWUIAAAAAAAAAAAoNAFlBAAAAAAAAAAANDgBZQQAAAAAAAAAADg8AWUEAAAAAAAAAAA8ARABZQQAAAAAAAAAAAEQAREBZQQAAAAAAAAAAAERARIBZQQAAAAAAAAAAAESARMBZQQAAAAAAAAAAAETOAFlBAAAAAAAAAAAAAAAAA==</t>
        </r>
      </text>
    </comment>
    <comment ref="A149" authorId="0" shapeId="0" xr:uid="{5E9D0896-C441-4CCB-8509-9E509D7EFEC4}">
      <text>
        <r>
          <rPr>
            <sz val="9"/>
            <color indexed="81"/>
            <rFont val="MS P ゴシック"/>
            <family val="3"/>
            <charset val="128"/>
          </rPr>
          <t>Insight iXlW00001C0000149R0585476093S00000296P01904LAocjBAQBF1NjaVRlZ2ljLmRhdGEuTW9sZWN1bGUBbwF/ARJTY2lUZWdpYy5Nb2xlY3VsZQAAAQFkAv5qAQAAAAIAAgEZGAAAAPz8APwAAgAAAAAAAPC/Aj4K16NwPQrAAnbgnBGlvcE/AAAAABwAAAD8/AD8AAIAAAAAAADwvwI+CtejcD0CwAJ24JwRpb3BPwAAAAAYAAAA/PwA/AACAAAAAAAA8L8C4noUrkfhEEACZohjXdxG578AAAAAIAAAAPz8APwAAgAAAAAAAPC/Aj4K16NwPQ7AAkjhehSuR+e/AAAAABgAAAD8/AD8AAIAAAAAAADwvwLD9Shcj8INQAJ24JwRpb3BPwAAAAAgAAAA/PwA/AACAAAAAAAA8L8CPgrXo3A9DsACUPwYc9cS8D8AAAAAGAAAAPz8APwAAgAAAAAAAPC/AnsUrkfhevy/AmaIY13cRue/AAAAABgAAAD8/AD8AAIAAAAAAADwvwJ7FK5H4Xr8vwJQ/Bhz1xLwPwAAAAAYAAAA/PwA/AACAAAAAAAA8L8Cw/UoXI/CBUACduCcEaW9wT8AAAAAIAAAAPz8APwAAgAAAAAAAPC/AuJ6FK5H4RRAAmaIY13cRue/AAAAABgAAAD8/AD8AAIAAAAAAADwvwIfhetRuB4TwAJI4XoUrkfnvwAAAAAcAAAA/PwA/AACAAAAAAAA8L8CC9ejcD0K5z8CduCcEaW9wT8AAAAAGAAAAPz8APwAAgAAAAAAAPC/AvYoXI/C9ei/AlD8GHPXEvA/AAAAABgAAAD8/AD8AAIAAAAAAADwvwL2KFyPwvXovwJmiGNd3EbnvwAAAAAYAAAA/PwA/AACAAAAAAAA8L8C7FG4HoXr0b8CduCcEaW9wT8AAAAAGAAAAPz8APwAAgAAAAAAAPC/AsP1KFyPwgFAAlD8GHPXEvA/AAAAACAAAAD8/AD8AAIAAAAAAADwvwLD9Shcj8INQALm0CLb+X75vwAAAAAYAAAA/PwA/AACAAAAAAAA8L8ChetRuB6F8z8CUPwYc9cS8D8AAAAAGAAAAPz8APwAAgAAAAAAAPC/AuJ6FK5H4RBAAlD8GHPXEvA/AAAAABgAAAD8/AD8AAIAAAAAAADwvwLD9Shcj8INQAKSXP5D+u39PwAAAAAYAAAA/PwA/AACAAAAAAAA8L8CH4XrUbgeE8ACpHA9Ctej+78AAAAAGAAAAPz8APwAAgAAAAAAAPC/Ah+F61G4HhfAAkjhehSuR+e/AAAAABgAAAD8/AD8AAIAAAAAAADwvwIfhetRuB4TwAJxPQrXo3DRPwAAAAAYAAAA/PwA/AACAAAAAAAA8L8Cw/UoXI/CBUACklz+Q/rt/T8AAAAAGAAAAPz8APwAAgAAAAAAAPC/AuJ6FK5H4RBAApQYBFYOrQPAAAAAAAEaBAABZQQAAAAAAAAAAAgQAWUEAAAAAAAAAAAMAAFlBAAAAAAAAAAAECABZQgMAAAAAAAAABQAAWUIAAAAAAAAAAAYBAFlBAAAAAAAAAAAHAQBZQQAAAAAAAAAACA8AWUEAAAAAAAAAAAkCAFlCAAAAAAAAAAAKAwBZQQAAAAAAAAAACw4AWUEAAAAAAAAAAAwHAFlBAAAAAAAAAAANBgBZQQAAAAAAAAAADgwAWUEAAAAAAAAAAA8AREBZQQAAAAAAAAAAAEQCAFlBAAAAAAAAAAAAREsAWUEAAAAAAAAAAABEgETAWUICAAAAAAAAAABEwEXAWUEAAAAAAAAAAABFCgBZQQAAAAAAAAAAAEVKAFlBAAAAAAAAAAAARYoAWUEAAAAAAAAAAABFzwBZQgIAAAAAAAAAAEYARABZQQAAAAAAAAAADQ4AWUEAAAAAAAAAAABEhABZQQAAAAAAAAAAAAAAAA=</t>
        </r>
      </text>
    </comment>
    <comment ref="A150" authorId="0" shapeId="0" xr:uid="{6AD52AF1-28E3-4EF8-8235-C509EF44D6DC}">
      <text>
        <r>
          <rPr>
            <sz val="9"/>
            <color indexed="81"/>
            <rFont val="MS P ゴシック"/>
            <family val="3"/>
            <charset val="128"/>
          </rPr>
          <t>Insight iXlW00001C0000150R0585476093S00000298P00828LAocjBAQBF1NjaVRlZ2ljLmRhdGEuTW9sZWN1bGUBbwF/ARJTY2lUZWdpYy5Nb2xlY3VsZQAAAQFkAv5qAQAAAAIAAjAYAAAA/PwA/AACAAAAAAAA8L8CAAAAAAAAAMACg8DKoUW2678AAAAAGAAAAPz8APwAAgAAAAAAAPC/AgAAAAAAAPi/AAAAAAAYAAAA/PwA/AACAAAAAAAA8L8CAAAAAAAAAMACg8DKoUW26z8AAAAAHAAAAPz8APwAAgAAAAAAAPC/AgAAAAAAAOC/AAAAAAAYAAAA/PwA/AACAAAAAAAA8L8AAoPAyqFFtus/AAAAABgAAAD8/AD8AAIAAAAAAADwvwECg8DKoUW26z8AAAAAGAAAAPz8APwAAgAAAAAAAPC/AgAAAAAAAPg/AAAAAAAcAAAA/PwA/AACAAAAAAAA8L8CAAAAAAAABEAAAAAAABgAAAD8/AD8AAIAAAAAAADwvwECg8DKoUW2678AAAAAGAAAAPz8APwAAgAAAAAAAPC/AAKDwMqhRbbrvwAAAAABEQAAAPz8APwAAgAAAAAAAPC/AmdmZmZmZgpAAt9xio7k8o+/AAAAAAERAAAA/PwA/AACAAAAAAAA8L8CwqikTkBTEUAC33GKjuTyjz8AAAAAKAAEAWUEAAAAAAAAAAAECAFlBAAAAAAAAAAABAwBZQQAAAAAAAAAAAwQAWUEAAAAAAAAAAAQFAFlBAAAAAAAAAAAFBgBZQQAAAAAAAAAABgcAWUEAAAAAAAAAAAYIAFlBAAAAAAAAAAAICQBZQQAAAAAAAAAACQMAWUEAAAAAAAAAAAAAAAA</t>
        </r>
      </text>
    </comment>
    <comment ref="A151" authorId="0" shapeId="0" xr:uid="{D0087B8E-8D2C-4018-A473-53204636EE7F}">
      <text>
        <r>
          <rPr>
            <sz val="9"/>
            <color indexed="81"/>
            <rFont val="MS P ゴシック"/>
            <family val="3"/>
            <charset val="128"/>
          </rPr>
          <t>Insight iXlW00001C0000151R0585476093S00000300P01448LAocjBAQBF1NjaVRlZ2ljLmRhdGEuTW9sZWN1bGUBbwF/ARJTY2lUZWdpYy5Nb2xlY3VsZQAAAQFkAv5qAQAAAAIAAgETGAAAAPz8APwAAgAAAAAAAPC/Ardif9k9ef0/Ahsv3SQGgdE/AAAAABwAAAD8/AD8AAIAAAAAAADwvwJKnYAmwob6vwL2KFyPwvXivwAAAAAcAAAA/PwA/AACAAAAAAAA8L8Ct2J/2T159T8C9ihcj8L14r8AAAAAIAAAAPz8APwAAgAAAAAAAPC/Alyxv+yevAZAAhsv3SQGgdE/AAAAABgAAAD8/AD8AAIAAAAAAADwvwJKnYAmwobyvwIbL90kBoHRPwAAAAAYAAAA/PwA/AACAAAAAAAA8L8CSp2AJsKG8r8CvXSTGARW978AAAAAIAAAAPz8APwAAgAAAAAAAPC/Ardif9k9efU/AgisHFpkO/I/AAAAABgAAAD8/AD8AAIAAAAAAADwvwJcsb/snrwKQAIIrBxaZDvyPwAAAAAYAAAA/PwA/AACAAAAAAAA8L8CS+oENBE2xL8CGy/dJAaB0T8AAAAAGAAAAPz8APwAAgAAAAAAAPC/AkvqBDQRNsS/Ar10kxgEVve/AAAAABgAAAD8/AD8AAIAAAAAAADwvwLbiv1l9+TVPwL2KFyPwvXivwAAAAAYAAAA/PwA/AACAAAAAAAA8L8CpU5AE2FDBcAC9ihcj8L14r8AAAAAGAAAAPz8APwAAgAAAAAAAPC/AjsBTYQNzwNAAgmsHFpkO/o/AAAAABgAAAD8/AD8AAIAAAAAAADwvwJcsb/snrwOQAIlBoGVQwsAQAAAAAAYAAAA/PwA/AACAAAAAAAA8L8CvjCZKhjVEEACEVg5tMh25D8AAAAAGAAAAPz8APwAAgAAAAAAAPC/AqVOQBNhQwnAAi4hH/RsVve/AAAAABgAAAD8/AD8AAIAAAAAAADwvwKlTkATYUMJwAIbL90kBoHRPwAAAAAYAAAA/PwA/AACAAAAAAAA8L8CUyegibChEMACLiEf9GxW978AAAAAGAAAAPz8APwAAgAAAAAAAPC/AlMnoImwoRDAAhsv3SQGgdE/AAAAAAETBBQBZQQAAAAAAAAAAAgAAWUEAAAAAAAAAAAMAAFlBAAAAAAAAAAAECABZQQAAAAAAAAAABQkAWUEAAAAAAAAAAAYAAFlCAAAAAAAAAAAHAwBZQQAAAAAAAAAACAoAWUEAAAAAAAAAAAkKAFlBAAAAAAAAAAAKAgBZQQAAAAAAAAAACwEAWUEAAAAAAAAAAAwHAFlBAAAAAAAAAAANBwBZQQAAAAAAAAAADgcAWUEAAAAAAAAAAA8LAFlBAAAAAAAAAAAARAsAWUEAAAAAAAAAAABETwBZQQAAAAAAAAAAAESARABZQQAAAAAAAAAAAQQAWUEAAAAAAAAAAAAAAAA</t>
        </r>
      </text>
    </comment>
    <comment ref="A152" authorId="0" shapeId="0" xr:uid="{FC8DF3B3-4DEA-4F0D-B72C-347C4A3CBDDD}">
      <text>
        <r>
          <rPr>
            <sz val="9"/>
            <color indexed="81"/>
            <rFont val="MS P ゴシック"/>
            <family val="3"/>
            <charset val="128"/>
          </rPr>
          <t>Insight iXlW00001C0000152R0585476093S00000302P01004LAocjBAQBF1NjaVRlZ2ljLmRhdGEuTW9sZWN1bGUBbwF/ARJTY2lUZWdpYy5Nb2xlY3VsZQAAAQFkAv5qAQAAAAIAAjgYAAAA/PwA/AACAAAAAAAA8L8CAAAAAAAABMACg8DKoUW2678AAAAAGAAAAPz8APwAAgAAAAAAAPC/AgAAAAAAAPi/AoPAyqFFtuu/AAAAABgAAAD8/AD8AAIAAAAAAADwvwIAAAAAAADwvwAAAAAAGAAAAPz8APwAAgAAAAAAAPC/AgAAAAAAAPi/AoPAyqFFtus/AAAAABgAAAD8/AD8AAIAAAAAAADwvwIAAAAAAAAEwAKDwMqhRbbrPwAAAAAcAAAA/PwA/AACAAAAAAAA8L8AAAAAAAAYAAAA/PwA/AACAAAAAAAA8L8CAAAAAAAA4D8Cg8DKoUW26z8AAAAAGAAAAPz8APwAAgAAAAAAAPC/AgAAAAAAAPg/AoPAyqFFtus/AAAAABgAAAD8/AD8AAIAAAAAAADwvwIAAAAAAAAAQAAAAAAAHAAAAPz8APwAAgAAAAAAAPC/AgAAAAAAAAhAAAAAAAAYAAAA/PwA/AACAAAAAAAA8L8CAAAAAAAA+D8Cg8DKoUW2678AAAAAGAAAAPz8APwAAgAAAAAAAPC/AgAAAAAAAOA/AoPAyqFFtuu/AAAAAAERAAAA/PwA/AACAAAAAAAA8L8CZ2ZmZmZmDkAC33GKjuTyj78AAAAAAREAAAD8/AD8AAIAAAAAAADwvwLCqKROQFMTQALfcYqO5PKPPwAAAAAwAAQBZQQAAAAAAAAAAAQIAWUEAAAAAAAAAAAIDAFlBAAAAAAAAAAADBABZQQAAAAAAAAAAAgUAWUEAAAAAAAAAAAUGAFlBAAAAAAAAAAAGBwBZQQAAAAAAAAAABwgAWUEAAAAAAAAAAAgJAFlBAAAAAAAAAAAICgBZQQAAAAAAAAAACgsAWUEAAAAAAAAAAAsFAFlBAAAAAAAAAAAAAAAAA==</t>
        </r>
      </text>
    </comment>
    <comment ref="A153" authorId="0" shapeId="0" xr:uid="{CF566B42-166A-4E52-B939-DF4670AE5E71}">
      <text>
        <r>
          <rPr>
            <sz val="9"/>
            <color indexed="81"/>
            <rFont val="MS P ゴシック"/>
            <family val="3"/>
            <charset val="128"/>
          </rPr>
          <t>Insight iXlW00001C0000153R0585476093S00000304P01468LAocjBAQBF1NjaVRlZ2ljLmRhdGEuTW9sZWN1bGUBbwF/ARJTY2lUZWdpYy5Nb2xlY3VsZQAAAQFkAv5qAQAAAAIAAgETGAAAAPz8APwAAgAAAAAAAPC/AnP5D+m3r/0/Ahsv3SQGgdE/AAAAABwAAAD8/AD8AAIAAAAAAADwvwKOBvAWSFD6vwL2KFyPwvXivwAAAAAcAAAA/PwA/AACAAAAAAAA8L8Cc/kP6bev9T8C9ihcj8L14r8AAAAAIAAAAPz8APwAAgAAAAAAAPC/Arn8h/Tb1wZAAhsv3SQGgdE/AAAAABgAAAD8/AD8AAIAAAAAAADwvwKOBvAWSFDyvwK9dJMYBFb3vwAAAAAYAAAA/PwA/AACAAAAAAAA8L8CjgbwFkhQ8r8CGy/dJAaB0T8AAAAAIAAAAPz8APwAAgAAAAAAAPC/AnP5D+m3r/U/AgisHFpkO/I/AAAAABgAAAD8/AD8AAIAAAAAAADwvwJHA3gLJCgFwALYgXNGlPbivwAAAAAYAAAA/PwA/AACAAAAAAAA8L8CuvyH9NvXCkACCKwcWmQ78j8AAAAAGAAAAPz8APwAAgAAAAAAAPC/Am40gLdAgsK/Ahsv3SQGgdE/AAAAABgAAAD8/AD8AAIAAAAAAADwvwJuNIC3QILCvwK9dJMYBFb3vwAAAAAYAAAA/PwA/AACAAAAAAAA8L8CyeU/pN++1j8C9ihcj8L14r8AAAAAGAAAAPz8APwAAgAAAAAAAPC/AplMFYxK6gNAAgmsHFpkO/o/AAAAABgAAAD8/AD8AAIAAAAAAADwvwK6/If029cOQAIlBoGVQwsAQAAAAAAYAAAA/PwA/AACAAAAAAAA8L8CiUFg5dDiEEACEVg5tMh25D8AAAAAGAAAAPz8APwAAgAAAAAAAPC/AiS5/If02wnAAnctIR/0bPa/AAAAABgAAAD8/AD8AAIAAAAAAADwvwIkufyH9NsJwAKDwMqhRbbLPwAAAAAYAAAA/PwA/AACAAAAAAAA8L8CeVioNc27EMACvw6cM6K0t78AAAAAGAAAAPz8APwAAgAAAAAAAPC/AnlYqDXNuxDAAnsUrkfhevG/AAAAAAEUBBABZQQAAAAAAAAAAAgAAWUEAAAAAAAAAAAMAAFlBAAAAAAAAAAAECgBZQQAAAAAAAAAABQkAWUEAAAAAAAAAAAYAAFlCAAAAAAAAAAAHAQBZQQAAAAAAAAAACAMAWUEAAAAAAAAAAAkLAFlBAAAAAAAAAAAKCwBZQQAAAAAAAAAACwIAWUEAAAAAAAAAAAwIAFlBAAAAAAAAAAANCABZQQAAAAAAAAAADggAWUEAAAAAAAAAAA8HAFlBAAAAAAAAAAAARAcAWUEAAAAAAAAAAABEQEQAWUEAAAAAAAAAAABEjwBZQQAAAAAAAAAAAQUAWUEAAAAAAAAAAABEgERAWUEAAAAAAAAAAAAAAAA</t>
        </r>
      </text>
    </comment>
    <comment ref="A154" authorId="0" shapeId="0" xr:uid="{F6CAB0CD-6930-495F-81A2-AF0527008FC1}">
      <text>
        <r>
          <rPr>
            <sz val="9"/>
            <color indexed="81"/>
            <rFont val="MS P ゴシック"/>
            <family val="3"/>
            <charset val="128"/>
          </rPr>
          <t>Insight iXlW00001C0000154R0585476093S00000306P01032LAocjBAQBF1NjaVRlZ2ljLmRhdGEuTW9sZWN1bGUBbwF/ARJTY2lUZWdpYy5Nb2xlY3VsZQAAAQFkAv5qAQAAAAIAAjgcAAAA/PwA/AACAAAAAAAA8L8Cl5APejYrCEAAAAAAABgAAAD8/AD8AAIAAAAAAADwvwKXkA96NisAQAAAAAAAGAAAAPz8APwAAgAAAAAAAPC/Ai4hH/RsVvg/AoPAyqFFtus/AAAAABgAAAD8/AD8AAIAAAAAAADwvwJbQj7o2azgPwKDwMqhRbbrPwAAAAAcAAAA/PwA/AACAAAAAAAA8L8CXkvIBz2blT8AAAAAABgAAAD8/AD8AAIAAAAAAADwvwJbQj7o2azgPwKDwMqhRbbrvwAAAAAYAAAA/PwA/AACAAAAAAAA8L8CLiEf9GxW+D8Cg8DKoUW2678AAAAAGAAAAPz8APwAAgAAAAAAAPC/AqW9wRcmU++/AAAAAAAYAAAA/PwA/AACAAAAAAAA8L8CjErqBDQR+b8CF9nO91Pj6T8AAAAAGAAAAPz8APwAAgAAAAAAAPC/AhUdyeU/JATAAgAAAAAAAOA/AAAAABgAAAD8/AD8AAIAAAAAAADwvwJO845TdCQEwAI8TtGRXP7fvwAAAAAYAAAA/PwA/AACAAAAAAAA8L8CjErqBDQR+b8CF9nO91Pj6b8AAAAAAREAAAD8/AD8AAIAAAAAAADwvwL+9nXgnJEOQALfcYqO5PKPvwAAAAABEQAAAPz8APwAAgAAAAAAAPC/Ag1xrIvbaBNAAt9xio7k8o8/AAAAADQABAFlBAAAAAAAAAAABAgBZQQAAAAAAAAAAAgMAWUEAAAAAAAAAAAMEAFlBAAAAAAAAAAAEBQBZQQAAAAAAAAAABQYAWUEAAAAAAAAAAAYBAFlBAAAAAAAAAAAEBwBZQQAAAAAAAAAABwgAWUEAAAAAAAAAAAgJAFlBAAAAAAAAAAAJCgBZQQAAAAAAAAAACgsAWUEAAAAAAAAAAAsHAFlBAAAAAAAAAAAAAAAAA==</t>
        </r>
      </text>
    </comment>
    <comment ref="A155" authorId="0" shapeId="0" xr:uid="{AB5B775F-7EE8-4BDF-95A9-ED7A5208F96B}">
      <text>
        <r>
          <rPr>
            <sz val="9"/>
            <color indexed="81"/>
            <rFont val="MS P ゴシック"/>
            <family val="3"/>
            <charset val="128"/>
          </rPr>
          <t>Insight iXlW00001C0000155R0585476093S00000308P01544LAocjBAQBF1NjaVRlZ2ljLmRhdGEuTW9sZWN1bGUBbwF/ARJTY2lUZWdpYy5Nb2xlY3VsZQAAAQFkAv5qAQAAAAIAAgEUGAAAAPz8APwAAgAAAAAAAPC/ApqZmZmZmQBAAva52or9ZdO/AAAAABwAAAD8/AD8AAIAAAAAAADwvwLNzMzMzMz2vwKJY13cRgPiPwAAAAAcAAAA/PwA/AACAAAAAAAA8L8CNDMzMzMz+T8CiWNd3EYD4j8AAAAAIAAAAPz8APwAAgAAAAAAAPC/ApqZmZmZmQhAAva52or9ZdO/AAAAABgAAAD8/AD8AAIAAAAAAADwvwKamZmZmZntvwL2udqK/WXTvwAAAAAYAAAA/PwA/AACAAAAAAAA8L8CmpmZmZmZ7b8CBhIUP8bc9j8AAAAAIAAAAPz8APwAAgAAAAAAAPC/AjQzMzMzM/k/Ar8OnDOitPK/AAAAABgAAAD8/AD8AAIAAAAAAADwvwJnZmZmZmYDwAKJY13cRgPiPwAAAAAYAAAA/PwA/AACAAAAAAAA8L8CmpmZmZmZDEACvw6cM6K08r8AAAAAGAAAAPz8APwAAgAAAAAAAPC/AjMzMzMzM7M/AgYSFD/G3PY/AAAAABgAAAD8/AD8AAIAAAAAAADwvwIzMzMzMzOzPwL2udqK/WXTvwAAAAAYAAAA/PwA/AACAAAAAAAA8L8CZ2ZmZmZm4j8CiWNd3EYD4j8AAAAAGAAAAPz8APwAAgAAAAAAAPC/At0kBoGVwxFAAn4dOGdEaeW/AAAAABgAAAD8/AD8AAIAAAAAAADwvwLNzMzMzEwQQAK5jQbwFkgAwAAAAAAYAAAA/PwA/AACAAAAAAAA8L8CeekmMQisBUACvw6cM6K0+r8AAAAAGAAAAPz8APwAAgAAAAAAAPC/AmdmZmZmZgfAAgYSFD/G3PY/AAAAABgAAAD8/AD8AAIAAAAAAADwvwJnZmZmZmYHwAL2udqK/WXTvwAAAAAYAAAA/PwA/AACAAAAAAAA8L8CZ2ZmZmZmD8AC9rnaiv1l078AAAAAGAAAAPz8APwAAgAAAAAAAPC/AmdmZmZmZg/AAgYSFD/G3PY/AAAAABgAAAD8/AD8AAIAAAAAAADwvwIzMzMzM7MRwAKJY13cRgPiPwAAAAABFQQQAWUEAAAAAAAAAAAIAAFlBAAAAAAAAAAADAABZQQAAAAAAAAAABAoAWUEAAAAAAAAAAAUJAFlBAAAAAAAAAAAGAABZQgAAAAAAAAAABwEAWUEAAAAAAAAAAAgDAFlBAAAAAAAAAAAJCwBZQQAAAAAAAAAACgsAWUEAAAAAAAAAAAsCAFlBAAAAAAAAAAAMCABZQQAAAAAAAAAADQgAWUEAAAAAAAAAAA4IAFlBAAAAAAAAAAAPBwBZQQAAAAAAAAAAAEQHAFlBAAAAAAAAAAAAREBEAFlBAAAAAAAAAAAARI8AWUEAAAAAAAAAAABEwERAWUEAAAAAAAAAAAEFAFlBAAAAAAAAAAAARMBEgFlBAAAAAAAAAAAAAAAAA==</t>
        </r>
      </text>
    </comment>
    <comment ref="A156" authorId="0" shapeId="0" xr:uid="{9644DD25-00AC-4DA0-9CF2-CF4CBB5A5C33}">
      <text>
        <r>
          <rPr>
            <sz val="9"/>
            <color indexed="81"/>
            <rFont val="MS P ゴシック"/>
            <family val="3"/>
            <charset val="128"/>
          </rPr>
          <t>Insight iXlW00001C0000156R0585476093S00000310P01092LAocjBAQBF1NjaVRlZ2ljLmRhdGEuTW9sZWN1bGUBbwF/ARJTY2lUZWdpYy5Nb2xlY3VsZQAAAQFkAv5qAQAAAAIAAjwcAAAA/PwA/AACAAAAAAAA8L8CnFWfq63YCUAAAAAAABgAAAD8/AD8AAIAAAAAAADwvwKbVZ+rrdgBQAAAAAAAGAAAAPz8APwAAgAAAAAAAPC/AjerPldbsfs/AoPAyqFFtus/AAAAABgAAAD8/AD8AAIAAAAAAADwvwJtVn2utmLnPwKDwMqhRbbrPwAAAAAcAAAA/PwA/AACAAAAAAAA8L8CtFn1udqKzT8AAAAAABgAAAD8/AD8AAIAAAAAAADwvwJtVn2utmLnPwKDwMqhRbbrvwAAAAAYAAAA/PwA/AACAAAAAAAA8L8CN6s+V1ux+z8Cg8DKoUW2678AAAAAGAAAAPz8APwAAgAAAAAAAPC/ApOpglFJnei/AAAAAAAYAAAA/PwA/AACAAAAAAAA8L8CylTBqKRO9L8Cg8DKoUW2678AAAAAGAAAAPz8APwAAgAAAAAAAPC/AmWqYFRSJwLAAoPAyqFFtuu/AAAAABgAAAD8/AD8AAIAAAAAAADwvwJlqmBUUicGwAAAAAAAGAAAAPz8APwAAgAAAAAAAPC/AmWqYFRSJwLAAoPAyqFFtus/AAAAABgAAAD8/AD8AAIAAAAAAADwvwLKVMGopE70vwKDwMqhRbbrPwAAAAABEQAAAPz8APwAAgAAAAAAAPC/AgHeAgmKHxBAAt9xio7k8o+/AAAAAAERAAAA/PwA/AACAAAAAAAA8L8Cj1N0JJc/FEAC33GKjuTyjz8AAAAAOAAEAWUEAAAAAAAAAAAECAFlBAAAAAAAAAAACAwBZQQAAAAAAAAAAAwQAWUEAAAAAAAAAAAQFAFlBAAAAAAAAAAAFBgBZQQAAAAAAAAAABgEAWUEAAAAAAAAAAAQHAFlBAAAAAAAAAAAHCABZQQAAAAAAAAAACAkAWUEAAAAAAAAAAAkKAFlBAAAAAAAAAAAKCwBZQQAAAAAAAAAACwwAWUEAAAAAAAAAAAwHAFlBAAAAAAAAAAAAAAAAA==</t>
        </r>
      </text>
    </comment>
    <comment ref="A157" authorId="0" shapeId="0" xr:uid="{884B27DA-A310-4A23-B275-FC27D7F130AF}">
      <text>
        <r>
          <rPr>
            <sz val="9"/>
            <color indexed="81"/>
            <rFont val="MS P ゴシック"/>
            <family val="3"/>
            <charset val="128"/>
          </rPr>
          <t>Insight iXlW00001C0000157R0585476093S00000312P01376LAocjBAQBF1NjaVRlZ2ljLmRhdGEuTW9sZWN1bGUBbwF/ARJTY2lUZWdpYy5Nb2xlY3VsZQAAAQFkAv5qAQAAAAIAAgESGAAAAPz8APwAAgAAAAAAAPC/Akm/fR04Z/k/ApeQD3o2q9q/AAAAABwAAAD8/AD8AAIAAAAAAADwvwIvbqMBvAX+vwK1N/jCZKriPwAAAAAcAAAA/PwA/AACAAAAAAAA8L8CDr4wmSoY5z8CTMgHPZtV7b8AAAAAIAAAAPz8APwAAgAAAAAAAPC/AsWPMXctoQNAAkzIBz2bVe2/AAAAACAAAAD8/AD8AAIAAAAAAADwvwJJv30dOGf5PwK1N/jCZKriPwAAAAAYAAAA/PwA/AACAAAAAAAA8L8CHxZqTfOOCkACl5APejar2r8AAAAAGAAAAPz8APwAAgAAAAAAAPC/Al1txf6ye8K/ArU3+MJkquI/AAAAABgAAAD8/AD8AAIAAAAAAADwvwJ8YTJVMCrwvwJqb/CFyVTtvwAAAAAYAAAA/PwA/AACAAAAAAAA8L8C1QloImx4wr8Cl5APejar2r8AAAAAGAAAAPz8APwAAgAAAAAAAPC/Ai9uowG8Bf6/AtPe4AuTqdq/AAAAABgAAAD8/AD8AAIAAAAAAADwvwLtDb4wmSrwvwLbG3xhMlXxPwAAAAAYAAAA/PwA/AACAAAAAAAA8L8COGdEaW/wBcAC2xt8YTJV8T8AAAAAGAAAAPz8APwAAgAAAAAAAPC/AlkXt9EA3gzAArU3+MJkquI/AAAAABgAAAD8/AD8AAIAAAAAAADwvwIfFmpN844GQAI0orQ3+MLcPwAAAAAYAAAA/PwA/AACAAAAAAAA8L8CIGPuWkK+EEACpb3BFyZTtT8AAAAAGAAAAPz8APwAAgAAAAAAAPC/Ah8Wak3zjg5AAmdEaW/whfS/AAAAABgAAAD8/AD8AAIAAAAAAADwvwJZF7fRAN4MwAKXkA96NqvavwAAAAAYAAAA/PwA/AACAAAAAAAA8L8C2c73U+PlEcAC2xt8YTJV8T8AAAAAARIEJAFlBAAAAAAAAAAACAABZQQAAAAAAAAAAAwAAWUEAAAAAAAAAAAQAAFlCAAAAAAAAAAAFAwBZQQAAAAAAAAAABggAWUEAAAAAAAAAAAcIAFlBAAAAAAAAAAAIAgBZQQAAAAAAAAAACQcAWUEAAAAAAAAAAAoGAFlBAAAAAAAAAAALAQBZQQAAAAAAAAAADAsAWUEAAAAAAAAAAA0FAFlBAAAAAAAAAAAOBQBZQQAAAAAAAAAADwUAWUEAAAAAAAAAAABEDABZQQAAAAAAAAAAAERMAFlBAAAAAAAAAAABCgBZQQAAAAAAAAAAAAAAAA=</t>
        </r>
      </text>
    </comment>
    <comment ref="A158" authorId="0" shapeId="0" xr:uid="{DB569153-AF1D-4ED1-BA39-C9094E842F6C}">
      <text>
        <r>
          <rPr>
            <sz val="9"/>
            <color indexed="81"/>
            <rFont val="MS P ゴシック"/>
            <family val="3"/>
            <charset val="128"/>
          </rPr>
          <t>Insight iXlW00001C0000158R0585476093S00000314P00984LAocjBAQBF1NjaVRlZ2ljLmRhdGEuTW9sZWN1bGUBbwF/ARJTY2lUZWdpYy5Nb2xlY3VsZQAAAQFkAv5qAQAAAAIAAjQYAAAA/PwA/AACAAAAAAAA8L8Cf4y5awn5/L8C1JrmHafo4r8AAAAAGAAAAPz8APwAAgAAAAAAAPC/An+MuWsJ+fy/AljKMsSxLto/AAAAABgAAAD8/AD8AAIAAAAAAADwvwJgdk8eFmoFwAIsZRniWBftPwAAAAAYAAAA/PwA/AACAAAAAAAA8L8CelioNc077r8CLGUZ4lgX7T8AAAAAHAAAAPz8APwAAgAAAAAAAPC/AqH4MeauJbS/AljKMsSxLto/AAAAABgAAAD8/AD8AAIAAAAAAADwvwJvgQTFjzHpPwIsZRniWBftPwAAAAAYAAAA/PwA/AACAAAAAAAA8L8C+aBns+pz+j8CWMoyxLEu2j8AAAAAGAAAAPz8APwAAgAAAAAAAPC/AvmgZ7Pqc/o/AtSa5h2n6OK/AAAAABwAAAD8/AD8AAIAAAAAAADwvwKegCbChicEQAJqTfOOU3TxvwAAAAAYAAAA/PwA/AACAAAAAAAA8L8Cb4EExY8x6T8Cak3zjlN08b8AAAAAGAAAAPz8APwAAgAAAAAAAPC/AqH4MeauJbS/AtSa5h2n6OK/AAAAAAERAAAA/PwA/AACAAAAAAAA8L8CBOeMKO2NCkAC3iQGgZVDu78AAAAAAREAAAD8/AD8AAIAAAAAAADwvwIQ6bevA2cRQAJmiGNd3EazvwAAAAAsAAQBZQQAAAAAAAAAAAQIAWUEAAAAAAAAAAAEDAFlBAAAAAAAAAAADBABZQQAAAAAAAAAABAUAWUEAAAAAAAAAAAUGAFlBAAAAAAAAAAAGBwBZQQAAAAAAAAAABwgAWUEAAAAAAAAAAAcJAFlBAAAAAAAAAAAJCgBZQQAAAAAAAAAACgQAWUEAAAAAAAAAAAAAAAA</t>
        </r>
      </text>
    </comment>
    <comment ref="A159" authorId="0" shapeId="0" xr:uid="{48F0135A-07C2-4D55-89DA-D039F8EA6EA6}">
      <text>
        <r>
          <rPr>
            <sz val="9"/>
            <color indexed="81"/>
            <rFont val="MS P ゴシック"/>
            <family val="3"/>
            <charset val="128"/>
          </rPr>
          <t>Insight iXlW00001C0000159R0585476093S00000316P01392LAocjBAQBF1NjaVRlZ2ljLmRhdGEuTW9sZWN1bGUBbwF/ARJTY2lUZWdpYy5Nb2xlY3VsZQAAAQFkAv5qAQAAAAIAAgESGAAAAPz8APwAAgAAAAAAAPC/Arraiv1l9/k/Aj/o2az6XNm/AAAAABwAAAD8/AD8AAIAAAAAAADwvwK+UpYhjnX9vwLhC5OpglHjPwAAAAAcAAAA/PwA/AACAAAAAAAA8L8C8fRKWYY46D8CIPRsVn2u7L8AAAAAGAAAAPz8APwAAgAAAAAAAPC/AqGJsOHplQzAAuELk6mCUeM/AAAAACAAAAD8/AD8AAIAAAAAAADwvwK38/3UeOkDQAIg9GxWfa7svwAAAAAYAAAA/PwA/AACAAAAAAAA8L8C0ETY8PRKEsAC4QuTqYJR4z8AAAAAGAAAAPz8APwAAgAAAAAAAPC/AtBE2PD0ShDAAgkbnl4py9C/AAAAACAAAAD8/AD8AAIAAAAAAADwvwK62or9Zff5PwLhC5OpglHjPwAAAAAYAAAA/PwA/AACAAAAAAAA8L8CgNk9eVioBcAC8YXJVMGo8T8AAAAAGAAAAPz8APwAAgAAAAAAAPC/AtejcD0K1wpAAj/o2az6XNm/AAAAABgAAAD8/AD8AAIAAAAAAADwvwKSXP5D+u27vwL/snvysFDjPwAAAAAYAAAA/PwA/AACAAAAAAAA8L8CFoxK6gQ0778CIPRsVn2u7L8AAAAAGAAAAPz8APwAAgAAAAAAAPC/ApJc/kP67bu/Aj/o2az6XNm/AAAAABgAAAD8/AD8AAIAAAAAAADwvwK+UpYhjnX9vwI/6Nms+lzZvwAAAAAYAAAA/PwA/AACAAAAAAAA8L8C+ORhodY0778CgNk9eVio8T8AAAAAGAAAAPz8APwAAgAAAAAAAPC/AtejcD0K1wZAAsiYu5aQD94/AAAAABgAAAD8/AD8AAIAAAAAAADwvwL8qfHSTeIQQAIHX5hMFYy6PwAAAAAYAAAA/PwA/AACAAAAAAAA8L8C16NwPQrXDkACwoanV8oy9L8AAAAAARMENAFlBAAAAAAAAAAACAABZQQAAAAAAAAAAAwgAWUEAAAAAAAAAAAQAAFlBAAAAAAAAAAAFAwBZQQAAAAAAAAAABgMAWUEAAAAAAAAAAAcAAFlCAAAAAAAAAAAIAQBZQQAAAAAAAAAACQQAWUEAAAAAAAAAAAoMAFlBAAAAAAAAAAALDABZQQAAAAAAAAAADAIAWUEAAAAAAAAAAA0LAFlBAAAAAAAAAAAOCgBZQQAAAAAAAAAADwkAWUEAAAAAAAAAAABECQBZQQAAAAAAAAAAAERJAFlBAAAAAAAAAAABDgBZQQAAAAAAAAAABQYAWUEAAAAAAAAAAAAAAAA</t>
        </r>
      </text>
    </comment>
    <comment ref="A160" authorId="0" shapeId="0" xr:uid="{058DCDCA-22EE-48B5-9C9F-061473D84E92}">
      <text>
        <r>
          <rPr>
            <sz val="9"/>
            <color indexed="81"/>
            <rFont val="MS P ゴシック"/>
            <family val="3"/>
            <charset val="128"/>
          </rPr>
          <t>Insight iXlW00001C0000160R0585476093S00000318P01004LAocjBAQBF1NjaVRlZ2ljLmRhdGEuTW9sZWN1bGUBbwF/ARJTY2lUZWdpYy5Nb2xlY3VsZQAAAQFkAv5qAQAAAAIAAjQcAAAA/PwA/AACAAAAAAAA8L8CBFYOLbKdBEACXf5D+u3r8L8AAAAAGAAAAPz8APwAAgAAAAAAAPC/AsdLN4lBYPs/Arn8h/Tb1+G/AAAAABgAAAD8/AD8AAIAAAAAAADwvwJWn6ut2F/7PwLKVMGopE7cPwAAAAAYAAAA/PwA/AACAAAAAAAA8L8CKX6MuWsJ6z8CZapgVFIn7j8AAAAAHAAAAPz8APwAAgAAAAAAAPC/Al5LyAc9m5W/Ao4G8BZIUNw/AAAAABgAAAD8/AD8AAIAAAAAAADwvwLeAgmKH2PsvwJHA3gLJCjuPwAAAAAYAAAA/PwA/AACAAAAAAAA8L8CseHplbIM/L8CjgbwFkhQ3D8AAAAAGAAAAPz8APwAAgAAAAAAAPC/Atnw9EpZBgbAAo4G8BZIUNw/AAAAABgAAAD8/AD8AAIAAAAAAADwvwIRx7q4jQYCwAI9LNSa5h3bvwAAAAAYAAAA/PwA/AACAAAAAAAA8L8CXkvIBz2blb8CufyH9NvX4b8AAAAAGAAAAPz8APwAAgAAAAAAAPC/Ail+jLlrCes/Al3+Q/rt6/C/AAAAAAERAAAA/PwA/AACAAAAAAAA8L8Ca7x0kxgEC0ACBTQRNjy9sr8AAAAAAREAAAD8/AD8AAIAAAAAAADwvwLE0ytlGaIRQAIbL90kBoGlvwAAAAAwAAQBZQQAAAAAAAAAAAQIAWUEAAAAAAAAAAAIDAFlBAAAAAAAAAAADBABZQQAAAAAAAAAABAUAWUEAAAAAAAAAAAUGAFlBAAAAAAAAAAAGBwBZQQAAAAAAAAAABwgAWUEAAAAAAAAAAAgGAFlBAAAAAAAAAAAECQBZQQAAAAAAAAAACQoAWUEAAAAAAAAAAAoBAFlBAAAAAAAAAAAAAAAAA==</t>
        </r>
      </text>
    </comment>
    <comment ref="A161" authorId="0" shapeId="0" xr:uid="{D75E4FFE-0969-4BE2-85BC-942D9417FEB0}">
      <text>
        <r>
          <rPr>
            <sz val="9"/>
            <color indexed="81"/>
            <rFont val="MS P ゴシック"/>
            <family val="3"/>
            <charset val="128"/>
          </rPr>
          <t>Insight iXlW00001C0000161R0585476093S00000320P01468LAocjBAQBF1NjaVRlZ2ljLmRhdGEuTW9sZWN1bGUBbwF/ARJTY2lUZWdpYy5Nb2xlY3VsZQAAAQFkAv5qAQAAAAIAAgETGAAAAPz8APwAAgAAAAAAAPC/Ai2yne+nxv0/Aj29UpYhjtm/AAAAABwAAAD8/AD8AAIAAAAAAADwvwJKe4MvTKb5vwJiodY07zjjPwAAAAAcAAAA/PwA/AACAAAAAAAA8L8C9UpZhjjW7z8Cnl4pyxDH7L8AAAAAIAAAAPz8APwAAgAAAAAAAPC/AjiJQWDl0AVAAp5eKcsQx+y/AAAAACAAAAD8/AD8AAIAAAAAAADwvwItsp3vp8b9PwJiodY07zjjPwAAAAAYAAAA/PwA/AACAAAAAAAA8L8CWDm0yHa+DEACeAskKH6M2b8AAAAAGAAAAPz8APwAAgAAAAAAAPC/Av9D+u3rwAPAArFQa5p3nPE/AAAAABgAAAD8/AD8AAIAAAAAAADwvwLIKTqSy3/APwJiodY07zjjPwAAAAAYAAAA/PwA/AACAAAAAAAA8L8CEjY8vVKW578CvAUSFD/G7L8AAAAAGAAAAPz8APwAAgAAAAAAAPC/AsgpOpLLf8A/Aj29UpYhjtm/AAAAABgAAAD8/AD8AAIAAAAAAADwvwJKe4MvTKb5vwJ4CyQofozZvwAAAAAYAAAA/PwA/AACAAAAAAAA8L8CEjY8vVKW578CsVBrmnec8T8AAAAAGAAAAPz8APwAAgAAAAAAAPC/Ah/0bFZ9rgrAAmKh1jTvOOM/AAAAABgAAAD8/AD8AAIAAAAAAADwvwIhH/RsVj0SwALNXUvIBz27vwAAAAAYAAAA/PwA/AACAAAAAAAA8L8CWDm0yHa+CEACj3VxGw3g3T8AAAAAGAAAAPz8APwAAgAAAAAAAPC/Ar10kxgE1hFAAiDSb18Hzrk/AAAAABgAAAD8/AD8AAIAAAAAAADwvwKsHFpkO18QQAKRD3o2qz70vwAAAAAYAAAA/PwA/AACAAAAAAAA8L8CjpduEoPADMAC5fIf0m9f178AAAAAGAAAAPz8APwAAgAAAAAAAPC/AmpN845TNBHAAv2H9NvXges/AAAAAAEUBCgBZQQAAAAAAAAAAAgAAWUEAAAAAAAAAAAMAAFlBAAAAAAAAAAAEAABZQgAAAAAAAAAABQMAWUEAAAAAAAAAAAYBAFlBAAAAAAAAAAAHCQBZQQAAAAAAAAAACAkAWUEAAAAAAAAAAAkCAFlBAAAAAAAAAAAKCABZQQAAAAAAAAAACwcAWUEAAAAAAAAAAAwGAFlBAAAAAAAAAAANAESAWUEAAAAAAAAAAA4FAFlBAAAAAAAAAAAPBQBZQQAAAAAAAAAAAEQFAFlBAAAAAAAAAAAAREwAWUEAAAAAAAAAAABEjABZQQAAAAAAAAAAAQsAWUEAAAAAAAAAAA0AREBZQQAAAAAAAAAAAAAAAA=</t>
        </r>
      </text>
    </comment>
    <comment ref="A162" authorId="0" shapeId="0" xr:uid="{02D1499F-2853-4ABD-9514-1D67CE081375}">
      <text>
        <r>
          <rPr>
            <sz val="9"/>
            <color indexed="81"/>
            <rFont val="MS P ゴシック"/>
            <family val="3"/>
            <charset val="128"/>
          </rPr>
          <t>Insight iXlW00001C0000162R0585476093S00000322P01072LAocjBAQBF1NjaVRlZ2ljLmRhdGEuTW9sZWN1bGUBbwF/ARJTY2lUZWdpYy5Nb2xlY3VsZQAAAQFkAv5qAQAAAAIAAjgcAAAA/PwA/AACAAAAAAAA8L8CQs9m1edqBkACgLdAguLH8L8AAAAAGAAAAPz8APwAAgAAAAAAAPC/AkM+6Nms+v4/AgFvgQTFj+G/AAAAABgAAAD8/AD8AAIAAAAAAADwvwJDPujZrPr+PwIAIv32deDcPwAAAAAYAAAA/PwA/AACAAAAAAAA8L8CkDF3LSEf8T8CAJF++zpw7j8AAAAAHAAAAPz8APwAAgAAAAAAAPC/AnKKjuTyH8o/AgAi/fZ14Nw/AAAAABgAAAD8/AD8AAIAAAAAAADwvwLnHafoSC7lvwIAkX77OnDuPwAAAAAYAAAA/PwA/AACAAAAAAAA8L8CNe84RUdy+L8CACL99nXg3D8AAAAAGAAAAPz8APwAAgAAAAAAAPC/AhI2PL1Slvy/AtUJaCJseOC/AAAAABgAAAD8/AD8AAIAAAAAAADwvwL2l92ThwUGwAI4+MJkqmDQvwAAAAAYAAAA/PwA/AACAAAAAAAA8L8CiPTb14HzA8ACuR6F61G45j8AAAAAGAAAAPz8APwAAgAAAAAAAPC/AnKKjuTyH8o/AgFvgQTFj+G/AAAAABgAAAD8/AD8AAIAAAAAAADwvwIB3gIJih/xPwKAt0CC4sfwvwAAAAABEQAAAPz8APwAAgAAAAAAAPC/Aqk1zTtO0QxAAj/G3LWEfLC/AAAAAAERAAAA/PwA/AACAAAAAAAA8L8CYxBYObSIEkACj1N0JJf/oL8AAAAANAAEAWUEAAAAAAAAAAAECAFlBAAAAAAAAAAACAwBZQQAAAAAAAAAAAwQAWUEAAAAAAAAAAAQFAFlBAAAAAAAAAAAFBgBZQQAAAAAAAAAABgcAWUEAAAAAAAAAAAcIAFlBAAAAAAAAAAAICQBZQQAAAAAAAAAACQYAWUEAAAAAAAAAAAQKAFlBAAAAAAAAAAAKCwBZQQAAAAAAAAAACwEAWUEAAAAAAAAAAAAAAAA</t>
        </r>
      </text>
    </comment>
    <comment ref="A163" authorId="0" shapeId="0" xr:uid="{7EA3E528-18F5-4066-848E-F224B20F9258}">
      <text>
        <r>
          <rPr>
            <sz val="9"/>
            <color indexed="81"/>
            <rFont val="MS P ゴシック"/>
            <family val="3"/>
            <charset val="128"/>
          </rPr>
          <t>Insight iXlW00001C0000163R0585476093S00000324P01544LAocjBAQBF1NjaVRlZ2ljLmRhdGEuTW9sZWN1bGUBbwF/ARJTY2lUZWdpYy5Nb2xlY3VsZQAAAQFkAv5qAQAAAAIAAgEUGAAAAPz8APwAAgAAAAAAAPC/AmUZ4lgXtwBAAlHaG3xhMtm/AAAAABwAAAD8/AD8AAIAAAAAAADwvwKt+lxtxf71vwLYEvJBz2bjPwAAAAAcAAAA/PwA/AACAAAAAAAA8L8CidLe4AuT8z8CKe0NvjCZ7L8AAAAAIAAAAPz8APwAAgAAAAAAAPC/Ar+fGi/dpAdAAintDb4wmey/AAAAACAAAAD8/AD8AAIAAAAAAADwvwJlGeJYF7cAQALYEvJBz2bjPwAAAAAYAAAA/PwA/AACAAAAAAAA8L8C4E+Nl26SDkACUdobfGEy2b8AAAAAGAAAAPz8APwAAgAAAAAAAPC/AnctIR/07AHAAmwJ+aBns/E/AAAAABgAAAD8/AD8AAIAAAAAAADwvwIdyeU/pN/WPwLYEvJBz2bjPwAAAAAYAAAA/PwA/AACAAAAAAAA8L8C9dvXgXNG4L8CR5T2Bl+Y7L8AAAAAGAAAAPz8APwAAgAAAAAAAPC/Ah3J5T+k39Y/AlHaG3xhMtm/AAAAABgAAAD8/AD8AAIAAAAAAADwvwKt+lxtxf71vwJR2ht8YTLZvwAAAAAYAAAA/PwA/AACAAAAAAAA8L8C1zTvOEVH4L8CbAn5oGez8T8AAAAAGAAAAPz8APwAAgAAAAAAAPC/Apjdk4eF2gjAAtgS8kHPZuM/AAAAABgAAAD8/AD8AAIAAAAAAADwvwLgT42XbpIKQAJ6WKg1zTvePwAAAAAYAAAA/PwA/AACAAAAAAAA8L8CAAAAAADAEkACvJaQD3o2uz8AAAAAGAAAAPz8APwAAgAAAAAAAPC/AvCnxks3SRFAAtZW7C+7J/S/AAAAABgAAAD8/AD8AAIAAAAAAADwvwKNKO0NvrAJwAIrqRPQRNjYvwAAAAAYAAAA/PwA/AACAAAAAAAA8L8CaW/whckUEMAC2j15WKg18D8AAAAAGAAAAPz8APwAAgAAAAAAAPC/Ahlz1xLywRLAAoQvTKYKRtE/AAAAABgAAAD8/AD8AAIAAAAAAADwvwI1XrpJDMIQwALCqKROQBPjvwAAAAABFQQoAWUEAAAAAAAAAAAIAAFlBAAAAAAAAAAADAABZQQAAAAAAAAAABAAAWUIAAAAAAAAAAAUDAFlBAAAAAAAAAAAGAQBZQQAAAAAAAAAABwkAWUEAAAAAAAAAAAgJAFlBAAAAAAAAAAAJAgBZQQAAAAAAAAAACggAWUEAAAAAAAAAAAsHAFlBAAAAAAAAAAAMBgBZQQAAAAAAAAAADQUAWUEAAAAAAAAAAA4FAFlBAAAAAAAAAAAPBQBZQQAAAAAAAAAAAEQMAFlBAAAAAAAAAAAAREwAWUEAAAAAAAAAAABEgERAWUEAAAAAAAAAAABEwEQAWUEAAAAAAAAAAAELAFlBAAAAAAAAAAAARMBEgFlBAAAAAAAAAAAAAAAAA==</t>
        </r>
      </text>
    </comment>
    <comment ref="A164" authorId="0" shapeId="0" xr:uid="{28253506-8AF5-4F83-96FD-C098F8A967FB}">
      <text>
        <r>
          <rPr>
            <sz val="9"/>
            <color indexed="81"/>
            <rFont val="MS P ゴシック"/>
            <family val="3"/>
            <charset val="128"/>
          </rPr>
          <t>Insight iXlW00001C0000164R0585476093S00000326P01144LAocjBAQBF1NjaVRlZ2ljLmRhdGEuTW9sZWN1bGUBbwF/ARJTY2lUZWdpYy5Nb2xlY3VsZQAAAQFkAv5qAQAAAAIAAjwcAAAA/PwA/AACAAAAAAAA8L8CdQKaCBseCEACvVKWIY518L8AAAAAGAAAAPz8APwAAgAAAAAAAPC/Ahx8YTJVMAFAAnulLEMc6+C/AAAAABgAAAD8/AD8AAIAAAAAAADwvwIcfGEyVTABQAILtaZ5xynePwAAAAAYAAAA/PwA/AACAAAAAAAA8L8C9pfdk4eF9D8ChlrTvOMU7z8AAAAAHAAAAPz8APwAAgAAAAAAAPC/AtPe4AuTqdo/Agu1pnnHKd4/AAAAABgAAAD8/AD8AAIAAAAAAADwvwI0orQ3+MLcvwKGWtO84xTvPwAAAAAYAAAA/PwA/AACAAAAAAAA8L8CQDVeukkM9b8CC7Wmeccp3j8AAAAAGAAAAPz8APwAAgAAAAAAAPC/AtsbfGEy1QHAAn9qvHSTGOw/AAAAABgAAAD8/AD8AAIAAAAAAADwvwICTYQNTy8HwALAfR04Z0TBPwAAAAAYAAAA/PwA/AACAAAAAAAA8L8COiNKe4MvA8ACFGHD0ytl578AAAAAGAAAAPz8APwAAgAAAAAAAPC/ArkehetRuPa/AueMKO0NvuC/AAAAABgAAAD8/AD8AAIAAAAAAADwvwLT3uALk6naPwJ7pSxDHOvgvwAAAAAYAAAA/PwA/AACAAAAAAAA8L8C9pfdk4eF9D8CvVKWIY518L8AAAAAAREAAAD8/AD8AAIAAAAAAADwvwLcaABvgYQOQAIf9GxWfa6mvwAAAAABEQAAAPz8APwAAgAAAAAAAPC/Avyp8dJNYhNAAsDsnjws1Iq/AAAAADgABAFlBAAAAAAAAAAABAgBZQQAAAAAAAAAAAgMAWUEAAAAAAAAAAAMEAFlBAAAAAAAAAAAEBQBZQQAAAAAAAAAABQYAWUEAAAAAAAAAAAYHAFlBAAAAAAAAAAAHCABZQQAAAAAAAAAACAkAWUEAAAAAAAAAAAkKAFlBAAAAAAAAAAAKBgBZQQAAAAAAAAAABAsAWUEAAAAAAAAAAAsMAFlBAAAAAAAAAAAMAQBZQQAAAAAAAAAAAAAAAA=</t>
        </r>
      </text>
    </comment>
    <comment ref="A165" authorId="0" shapeId="0" xr:uid="{3CD9D8D8-6C22-4DA7-B459-A39E53FEAAC7}">
      <text>
        <r>
          <rPr>
            <sz val="9"/>
            <color indexed="81"/>
            <rFont val="MS P ゴシック"/>
            <family val="3"/>
            <charset val="128"/>
          </rPr>
          <t>Insight iXlW00001C0000165R0585476093S00000328P01616LAocjBAQBF1NjaVRlZ2ljLmRhdGEuTW9sZWN1bGUBbwF/ARJTY2lUZWdpYy5Nb2xlY3VsZQAAAQFkAv5qAQAAAAIAAgEVGAAAAPz8APwAAgAAAAAAAPC/AigPC7WmeQJAAvyp8dJNYtg/AAAAABwAAAD8/AD8AAIAAAAAAADwvwIoDwu1pnnyvwICK4cW2c7jvwAAAAAcAAAA/PwA/AACAAAAAAAA8L8CDr4wmSoY9z8C/tR46SYx7D8AAAAAIAAAAPz8APwAAgAAAAAAAPC/Akm/fR04ZwlAAv7UeOkmMew/AAAAACAAAAD8/AD8AAIAAAAAAADwvwIoDwu1pnkCQAICK4cW2c7jvwAAAAAYAAAA/PwA/AACAAAAAAAA8L8C0SLb+X4qEEAC/Knx0k1i2D8AAAAAGAAAAPz8APwAAgAAAAAAAPC/ArU3+MJkKgDAAoGVQ4ts5/G/AAAAABgAAAD8/AD8AAIAAAAAAADwvwKZu5aQD3rSvwIcfGEyVTDsPwAAAAAYAAAA/PwA/AACAAAAAAAA8L8Ct2J/2T154j8CAiuHFtnO478AAAAAGAAAAPz8APwAAgAAAAAAAPC/Ardif9k9eeI/Avyp8dJNYtg/AAAAABgAAAD8/AD8AAIAAAAAAADwvwKZu5aQD3rSvwKBlUOLbOfxvwAAAAAYAAAA/PwA/AACAAAAAAAA8L8CKA8LtaZ58r8COPjCZKpg2D8AAAAAGAAAAPz8APwAAgAAAAAAAPC/Ag6+MJkqGAfAAgIrhxbZzuO/AAAAABgAAAD8/AD8AAIAAAAAAADwvwLRItv5fioSQALByqFFtvPzPwAAAAAYAAAA/PwA/AACAAAAAAAA8L8C4noUrkehE0ACEVg5tMh2vr8AAAAAGAAAAPz8APwAAgAAAAAAAPC/AqJFtvP9VAxAAs+I0t7gC9+/AAAAABgAAAD8/AD8AAIAAAAAAADwvwIOvjCZKhgHwAI4+MJkqmDYPwAAAAAYAAAA/PwA/AACAAAAAAAA8L8CL26jAbwFDsACgZVDi2zn8b8AAAAAGAAAAPz8APwAAgAAAAAAAPC/AigPC7WmeRLAAgIrhxbZzuO/AAAAABgAAAD8/AD8AAIAAAAAAADwvwIvbqMBvAUOwAIcfGEyVTDsPwAAAAAYAAAA/PwA/AACAAAAAAAA8L8CKA8LtaZ5EsACOPjCZKpg2D8AAAAAARYEKAFlBAAAAAAAAAAACAABZQQAAAAAAAAAAAwAAWUEAAAAAAAAAAAQAAFlCAAAAAAAAAAAFAwBZQQAAAAAAAAAABgEAWUEAAAAAAAAAAAcJAFlBAAAAAAAAAAAICQBZQQAAAAAAAAAACQIAWUEAAAAAAAAAAAoIAFlBAAAAAAAAAAALBwBZQQAAAAAAAAAADAYAWUEAAAAAAAAAAA0FAFlBAAAAAAAAAAAOBQBZQQAAAAAAAAAADwUAWUEAAAAAAAAAAABEDABZQQAAAAAAAAAAAERMAFlBAAAAAAAAAAAARIBEQFlBAAAAAAAAAAAARMBEAFlBAAAAAAAAAAAARQBEgFlBAAAAAAAAAAABCwBZQQAAAAAAAAAAAEUARMBZQQAAAAAAAAAAAAAAAA=</t>
        </r>
      </text>
    </comment>
    <comment ref="A166" authorId="0" shapeId="0" xr:uid="{0C070FC8-997F-498F-854F-C64316F34485}">
      <text>
        <r>
          <rPr>
            <sz val="9"/>
            <color indexed="81"/>
            <rFont val="MS P ゴシック"/>
            <family val="3"/>
            <charset val="128"/>
          </rPr>
          <t>Insight iXlW00001C0000166R0585476093S00000330P01184LAocjBAQBF1NjaVRlZ2ljLmRhdGEuTW9sZWN1bGUBbwF/ARJTY2lUZWdpYy5Nb2xlY3VsZQAAAQFkAv5qAQAAAAIAAgEQHAAAAPz8APwAAgAAAAAAAPC/AnpYqDXNuwlAAQAAAAAYAAAA/PwA/AACAAAAAAAA8L8CINJvXwfOAkACAAAAAAAA4D8AAAAAGAAAAPz8APwAAgAAAAAAAPC/Av9D+u3rwPc/AQAAAAAYAAAA/PwA/AACAAAAAAAA8L8CescpOpLL4z8CAAAAAAAA4D8AAAAAHAAAAPz8APwAAgAAAAAAAPC/AnrHKTqSy+M/AgAAAAAAAOC/AAAAABgAAAD8/AD8AAIAAAAAAADwvwIm5IOezarPvwIAAAAAAADwvwAAAAAYAAAA/PwA/AACAAAAAAAA8L8COIlBYOXQ8b8CAAAAAAAA4L8AAAAAGAAAAPz8APwAAgAAAAAAAPC/AnnpJjEIrP+/AgAAAAAAAPC/AAAAABgAAAD8/AD8AAIAAAAAAADwvwLdJAaBlcMGwAIAAAAAAADgvwAAAAAYAAAA/PwA/AACAAAAAAAA8L8C3SQGgZXDBsACAAAAAAAA4D8AAAAAGAAAAPz8APwAAgAAAAAAAPC/AnnpJjEIrP+/AQAAAAAYAAAA/PwA/AACAAAAAAAA8L8COIlBYOXQ8b8CAAAAAAAA4D8AAAAAGAAAAPz8APwAAgAAAAAAAPC/Av9D+u3rwPc/AgAAAAAAAPC/AAAAABgAAAD8/AD8AAIAAAAAAADwvwIg0m9fB84CQAIAAAAAAADgvwAAAAABEQAAAPz8APwAAgAAAAAAAPC/AnBfB84ZERBAAt9xio7k8o+/AAAAAAERAAAA/PwA/AACAAAAAAAA8L8C/tR46SYxFEAC33GKjuTyjz8AAAAAPAAEAWUEAAAAAAAAAAAECAFlBAAAAAAAAAAACAwBZQQAAAAAAAAAAAwQAWUEAAAAAAAAAAAQFAFlBAAAAAAAAAAAFBgBZQQAAAAAAAAAABgcAWUEAAAAAAAAAAAcIAFlBAAAAAAAAAAAICQBZQQAAAAAAAAAACQoAWUEAAAAAAAAAAAoLAFlBAAAAAAAAAAALBgBZQQAAAAAAAAAABAwAWUEAAAAAAAAAAAwNAFlBAAAAAAAAAAANAQBZQQAAAAAAAAAAAAAAAA=</t>
        </r>
      </text>
    </comment>
    <comment ref="A167" authorId="0" shapeId="0" xr:uid="{4A031856-C3AD-4428-851C-1D4D6DAB6F45}">
      <text>
        <r>
          <rPr>
            <sz val="9"/>
            <color indexed="81"/>
            <rFont val="MS P ゴシック"/>
            <family val="3"/>
            <charset val="128"/>
          </rPr>
          <t>Insight iXlW00001C0000167R0585476093S00000332P01240LAocjBAQBF1NjaVRlZ2ljLmRhdGEuTW9sZWN1bGUBbwF/ARJTY2lUZWdpYy5Nb2xlY3VsZQAAAQFkAv5qAQAAAAIAAgERHAAAAPz8APwAAgAAAAAAAPC/AnpYqDXNuwlAAgAAAAAAAPC/AAAAABgAAAD8/AD8AAIAAAAAAADwvwIg0m9fB84CQAIAAAAAAADgvwAAAAAYAAAA/PwA/AACAAAAAAAA8L8CINJvXwfOAkACAAAAAAAA4D8AAAAAGAAAAPz8APwAAgAAAAAAAPC/Av9D+u3rwPc/AQAAAAAcAAAA/PwA/AACAAAAAAAA8L8CescpOpLL4z8CAAAAAAAA4D8AAAAAGAAAAPz8APwAAgAAAAAAAPC/Aibkg57Nqs+/AQAAAAAYAAAA/PwA/AACAAAAAAAA8L8COIlBYOXQ8b8CAAAAAAAA4D8AAAAAGAAAAPz8APwAAgAAAAAAAPC/AjiJQWDl0PG/AgAAAAAAAOC/AAAAABgAAAD8/AD8AAIAAAAAAADwvwJ56SYxCKz/vwIAAAAAAADwvwAAAAAcAAAA/PwA/AACAAAAAAAA8L8C3SQGgZXDBsACAAAAAAAA4L8AAAAAGAAAAPz8APwAAgAAAAAAAPC/At0kBoGVwwbAAgAAAAAAAOA/AAAAABgAAAD8/AD8AAIAAAAAAADwvwJ56SYxCKz/vwEAAAAAGAAAAPz8APwAAgAAAAAAAPC/AnrHKTqSy+M/AgAAAAAAAOC/AAAAABgAAAD8/AD8AAIAAAAAAADwvwL/Q/rt68D3PwIAAAAAAADwvwAAAAABEQAAAPz8APwAAgAAAAAAAPC/AnBfB84ZERBAAhwN4C2QoKi/AAAAAAERAAAA/PwA/AACAAAAAAAA8L8C/tR46SYxFEACWag1zTtOkb8AAAAAAREAAAD8/AD8AAIAAAAAAADwvwKoV8oyxHEYQAIcDeAtkKCoPwAAAAA8AAQBZQQAAAAAAAAAAAQIAWUEAAAAAAAAAAAIDAFlBAAAAAAAAAAADBABZQQAAAAAAAAAABAUAWUEAAAAAAAAAAAUGAFlBAAAAAAAAAAAGBwBZQgMAAAAAAAAABwgAWUEAAAAAAAAAAAgJAFlCAgAAAAAAAAAJCgBZQQAAAAAAAAAACgsAWUICAAAAAAAAAAsGAFlBAAAAAAAAAAAEDABZQQAAAAAAAAAADA0AWUEAAAAAAAAAAA0BAFlBAAAAAAAAAAAAAAAAA==</t>
        </r>
      </text>
    </comment>
    <comment ref="A168" authorId="0" shapeId="0" xr:uid="{323430AE-B094-4CEB-99EB-00FE796433E8}">
      <text>
        <r>
          <rPr>
            <sz val="9"/>
            <color indexed="81"/>
            <rFont val="MS P ゴシック"/>
            <family val="3"/>
            <charset val="128"/>
          </rPr>
          <t>Insight iXlW00001C0000168R0585476093S00000334P01684LAocjBAQBF1NjaVRlZ2ljLmRhdGEuTW9sZWN1bGUBbwF/ARJTY2lUZWdpYy5Nb2xlY3VsZQAAAQFkAv5qAQAAAAIAAgEWGAAAAPz8APwAAgAAAAAAAPC/AtejcD0K1wNAAgdfmEwVjN6/AAAAABwAAAD8/AD8AAIAAAAAAADwvwKTy39Iv33vvwJ90LNZ9bngPwAAAAAYAAAA/PwA/AACAAAAAAAA8L8CXynLEMe6BcACfdCzWfW54D8AAAAAHAAAAPz8APwAAgAAAAAAAPC/Am3n+6nx0vk/AoQvTKYKRu+/AAAAABgAAAD8/AD8AAIAAAAAAADwvwILRiV1Apr9vwI+6Nms+lzwPwAAAAAgAAAA/PwA/AACAAAAAAAA8L8C+FPjpZvECkAChC9MpgpG778AAAAAIAAAAPz8APwAAgAAAAAAAPC/AtejcD0K1wNAAn3Qs1n1ueA/AAAAABgAAAD8/AD8AAIAAAAAAADwvwKA2T15WKgMwAI+6Nms+lzwPwAAAAAYAAAA/PwA/AACAAAAAAAA8L8CDQIrhxbZEEACB1+YTBWM3r8AAAAAGAAAAPz8APwAAgAAAAAAAPC/AnS1FfvL7uc/An3Qs1n1ueA/AAAAABgAAAD8/AD8AAIAAAAAAADwvwJ6WKg1zTu+vwKi1jTvOEXvvwAAAAAYAAAA/PwA/AACAAAAAAAA8L8CdLUV+8vu5z8CB1+YTBWM3r8AAAAAGAAAAPz8APwAAgAAAAAAAPC/ApPLf0i/fe+/AgdfmEwVjN6/AAAAABgAAAD8/AD8AAIAAAAAAADwvwJ6WKg1zTu+vwI+6Nms+lzwPwAAAAAkAAAA/PwA/AACAAAAAAAA8L8CgNk9eVioDMACH/RsVn0uAEAAAAAAGAAAAPz8APwAAgAAAAAAAPC/Al8pyxDHugXAAgdfmEwVjN6/AAAAABgAAAD8/AD8AAIAAAAAAADwvwLQRNjw9MoRwAJ90LNZ9bngPwAAAAAYAAAA/PwA/AACAAAAAAAA8L8CGQRWDi2yDUACxNMrZRni2D8AAAAAGAAAAPz8APwAAgAAAAAAAPC/AjlFR3L5TxRAApEPejarPpc/AAAAABgAAAD8/AD8AAIAAAAAAADwvwINAiuHFtkSQAIEeAskKH71vwAAAAAYAAAA/PwA/AACAAAAAAAA8L8CgNk9eVioDMAChC9MpgpG778AAAAAGAAAAPz8APwAAgAAAAAAAPC/AtBE2PD0yhHAAgdfmEwVjN6/AAAAAAEXBDABZQQAAAAAAAAAAAgQAWUEAAAAAAAAAAAMAAFlBAAAAAAAAAAAEAQBZQQAAAAAAAAAABQAAWUEAAAAAAAAAAAYAAFlCAAAAAAAAAAAHAgBZQQAAAAAAAAAACAUAWUEAAAAAAAAAAAkLAFlBAAAAAAAAAAAKCwBZQQAAAAAAAAAACwMAWUEAAAAAAAAAAAwKAFlBAAAAAAAAAAANCQBZQQAAAAAAAAAADgcAWUEAAAAAAAAAAA8CAFlCAwAAAAAAAAAARAcAWUICAAAAAAAAAABESABZQQAAAAAAAAAAAESIAFlBAAAAAAAAAAAARMgAWUEAAAAAAAAAAABFDwBZQQAAAAAAAAAAAEVARQBZQgIAAAAAAAAAAQ0AWUEAAAAAAAAAAABFQEQAWUEAAAAAAAAAAAAAAAA</t>
        </r>
      </text>
    </comment>
    <comment ref="A169" authorId="0" shapeId="0" xr:uid="{8ECACB56-A96D-4FC7-873F-F4FD1564263F}">
      <text>
        <r>
          <rPr>
            <sz val="9"/>
            <color indexed="81"/>
            <rFont val="MS P ゴシック"/>
            <family val="3"/>
            <charset val="128"/>
          </rPr>
          <t>Insight iXlW00001C0000169R0585476093S00000336P01684LAocjBAQBF1NjaVRlZ2ljLmRhdGEuTW9sZWN1bGUBbwF/ARJTY2lUZWdpYy5Nb2xlY3VsZQAAAQFkAv5qAQAAAAIAAgEWGAAAAPz8APwAAgAAAAAAAPC/AtejcD0K1wNAArfz/dR46dK/AAAAABwAAAD8/AD8AAIAAAAAAADwvwKTy39Iv33vvwIlBoGVQ4vmPwAAAAAcAAAA/PwA/AACAAAAAAAA8L8Cbef7qfHS+T8C2/l+arx06b8AAAAAIAAAAPz8APwAAgAAAAAAAPC/AvhT46WbxApAAtv5fmq8dOm/AAAAACAAAAD8/AD8AAIAAAAAAADwvwLXo3A9CtcDQAIlBoGVQ4vmPwAAAAAYAAAA/PwA/AACAAAAAAAA8L8CC0YldQKa/b8CE4PAyqFF8z8AAAAAGAAAAPz8APwAAgAAAAAAAPC/Ag0CK4cW2RBAArfz/dR46dK/AAAAABgAAAD8/AD8AAIAAAAAAADwvwJfKcsQx7oFwAIlBoGVQ4vmPwAAAAAYAAAA/PwA/AACAAAAAAAA8L8CdLUV+8vu5z8CJQaBlUOL5j8AAAAAGAAAAPz8APwAAgAAAAAAAPC/AnpYqDXNO76/AvmgZ7Pqc+m/AAAAABgAAAD8/AD8AAIAAAAAAADwvwJ0tRX7y+7nPwK38/3UeOnSvwAAAAAYAAAA/PwA/AACAAAAAAAA8L8Ck8t/SL99778C8kHPZtXn0r8AAAAAGAAAAPz8APwAAgAAAAAAAPC/AnpYqDXNO76/AhODwMqhRfM/AAAAABgAAAD8/AD8AAIAAAAAAADwvwJfKcsQx7oFwALyQc9m1efSvwAAAAAYAAAA/PwA/AACAAAAAAAA8L8CgNk9eVioDMAC+aBns+pz6b8AAAAAJAAAAPz8APwAAgAAAAAAAPC/AoDZPXlYqAzAAn3Qs1n1ufy/AAAAABgAAAD8/AD8AAIAAAAAAADwvwLQRNjw9MoRwAIHX5hMFYzmPwAAAAAYAAAA/PwA/AACAAAAAAAA8L8CgNk9eVioDMACE4PAyqFF8z8AAAAAGAAAAPz8APwAAgAAAAAAAPC/AhkEVg4tsg1AAoofY+5aQuI/AAAAABgAAAD8/AD8AAIAAAAAAADwvwI5RUdy+U8UQAKUGARWDi3KPwAAAAAYAAAA/PwA/AACAAAAAAAA8L8CDQIrhxbZEkACL90kBoGV8r8AAAAAGAAAAPz8APwAAgAAAAAAAPC/AtBE2PD0yhHAAvJBz2bV59K/AAAAAAEXBCwBZQQAAAAAAAAAAAgAAWUEAAAAAAAAAAAMAAFlBAAAAAAAAAAAEAABZQgAAAAAAAAAABQEAWUEAAAAAAAAAAAYDAFlBAAAAAAAAAAAHBQBZQQAAAAAAAAAACAoAWUEAAAAAAAAAAAkKAFlBAAAAAAAAAAAKAgBZQQAAAAAAAAAACwkAWUEAAAAAAAAAAAwIAFlBAAAAAAAAAAANBwBZQQAAAAAAAAAADg0AWUIDAAAAAAAAAA8OAFlBAAAAAAAAAAAARABEQFlBAAAAAAAAAAAAREcAWUIDAAAAAAAAAABEhgBZQQAAAAAAAAAAAETGAFlBAAAAAAAAAAAARQYAWUEAAAAAAAAAAABFQEQAWUICAAAAAAAAAAEMAFlBAAAAAAAAAAAARU4AWUEAAAAAAAAAAAAAAAA</t>
        </r>
      </text>
    </comment>
    <comment ref="A170" authorId="0" shapeId="0" xr:uid="{FC55517E-AAC9-4487-8E4E-542313F0C9AA}">
      <text>
        <r>
          <rPr>
            <sz val="9"/>
            <color indexed="81"/>
            <rFont val="MS P ゴシック"/>
            <family val="3"/>
            <charset val="128"/>
          </rPr>
          <t>Insight iXlW00001C0000170R0585476093S00000338P01684LAocjBAQBF1NjaVRlZ2ljLmRhdGEuTW9sZWN1bGUBbwF/ARJTY2lUZWdpYy5Nb2xlY3VsZQAAAQFkAv5qAQAAAAIAAgEWGAAAAPz8APwAAgAAAAAAAPC/ApwzorQ3eARAAqk1zTtO0dW/AAAAABwAAAD8/AD8AAIAAAAAAADwvwJ/jLlrCfnsvwIsZRniWBflPwAAAAAcAAAA/PwA/AACAAAAAAAA8L8C9wZfmEwV+z8C1ZrmHafo6r8AAAAAIAAAAPz8APwAAgAAAAAAAPC/Ar3jFB3JZQtAAtWa5h2n6Oq/AAAAACAAAAD8/AD8AAIAAAAAAADwvwKcM6K0N3gEQAIsZRniWBflPwAAAAAYAAAA/PwA/AACAAAAAAAA8L8CC7WmeccpEUACqTXNO07R1b8AAAAAGAAAAPz8APwAAgAAAAAAAPC/AoEmwoanV/y/ApayDHGsi/I/AAAAABgAAAD8/AD8AAIAAAAAAADwvwKI9NvXgXPqPwIsZRniWBflPwAAAAAYAAAA/PwA/AACAAAAAAAA8L8Csr/snjwspL8C1ZrmHafo6r8AAAAAGAAAAPz8APwAAgAAAAAAAPC/AmpN845TdOo/Aqk1zTtO0dW/AAAAABgAAAD8/AD8AAIAAAAAAADwvwJ/jLlrCfnsvwKpNc07TtHVvwAAAAAYAAAA/PwA/AACAAAAAAAA8L8Csr/snjwspL8ClrIMcayL8j8AAAAAGAAAAPz8APwAAgAAAAAAAPC/ApqZmZmZGQXAAixlGeJYF+U/AAAAABgAAAD8/AD8AAIAAAAAAADwvwLSkVz+Q3oRwAKpNc07TtHVvwAAAAAkAAAA/PwA/AACAAAAAAAA8L8C/tR46SbxFMAC1ZrmHafo6r8AAAAAGAAAAPz8APwAAgAAAAAAAPC/AoJzRpT2BgzAAtWa5h2n6Oq/AAAAABgAAAD8/AD8AAIAAAAAAADwvwLufD81XnoRwAIsZRniWBflPwAAAAAYAAAA/PwA/AACAAAAAAAA8L8CYcPTK2UZBcACqTXNO07R1b8AAAAAGAAAAPz8APwAAgAAAAAAAPC/ArtJDAIrBwzAApayDHGsi/I/AAAAABgAAAD8/AD8AAIAAAAAAADwvwIXak3zjlMOQAKvJeSDns3gPwAAAAAYAAAA/PwA/AACAAAAAAAA8L8CHA3gLZCgFEACsJRliGNdxD8AAAAAGAAAAPz8APwAAgAAAAAAAPC/Agu1pnnHKRNAAqyt2F92T/O/AAAAAAEXBCgBZQQAAAAAAAAAAAgAAWUEAAAAAAAAAAAMAAFlBAAAAAAAAAAAEAABZQgAAAAAAAAAABQMAWUEAAAAAAAAAAAYBAFlBAAAAAAAAAAAHCQBZQQAAAAAAAAAACAkAWUEAAAAAAAAAAAkCAFlBAAAAAAAAAAAKCABZQQAAAAAAAAAACwcAWUEAAAAAAAAAAAwGAFlBAAAAAAAAAAANAEQAWUEAAAAAAAAAAA4NAFlBAAAAAAAAAAAPAERAWUEAAAAAAAAAAABEAESAWUICAAAAAAAAAABETABZQgMAAAAAAAAAAESMAFlBAAAAAAAAAAAARMUAWUEAAAAAAAAAAABFBQBZQQAAAAAAAAAAAEVFAFlBAAAAAAAAAAABCwBZQQAAAAAAAAAADQ8AWUICAAAAAAAAAAAAAAA</t>
        </r>
      </text>
    </comment>
    <comment ref="A171" authorId="0" shapeId="0" xr:uid="{BBECED0B-9C3E-4800-B4E9-B583DF47D8D7}">
      <text>
        <r>
          <rPr>
            <sz val="9"/>
            <color indexed="81"/>
            <rFont val="MS P ゴシック"/>
            <family val="3"/>
            <charset val="128"/>
          </rPr>
          <t>Insight iXlW00001C0000171R0585476093S00000340P01280LAocjBAQBF1NjaVRlZ2ljLmRhdGEuTW9sZWN1bGUBbwF/ARJTY2lUZWdpYy5Nb2xlY3VsZQAAAQFkAv5qAQAAAAIAAgERHAAAAPz8APwAAgAAAAAAAPC/AryWkA96tgtAAuhqK/aX3e2/AAAAABgAAAD8/AD8AAIAAAAAAADwvwKb5h2n6MgEQALQ1VbsL7vbvwAAAAAYAAAA/PwA/AACAAAAAAAA8L8CYxBYObTIBEACNjy9UpYh4j8AAAAAGAAAAPz8APwAAgAAAAAAAPC/AoPAyqFFtvs/AhueXinLEPE/AAAAABwAAAD8/AD8AAIAAAAAAADwvwKDwMqhRbbrPwIYldQJaCLiPwAAAAAYAAAA/PwA/AACAAAAAAAA8L8AAoxK6gQ0EfE/AAAAABgAAAD8/AD8AAIAAAAAAADwvwKDwMqhRbbrvwIYldQJaCLiPwAAAAAYAAAA/PwA/AACAAAAAAAA8L8Cg8DKoUW2678C0NVW7C+7278AAAAAGAAAAPz8APwAAgAAAAAAAPC/AoPAyqFFtvu/AuhqK/aX3e2/AAAAABgAAAD8/AD8AAIAAAAAAADwvwJjEFg5tMgEwALQ1VbsL7vbvwAAAAABIwAAAPz8APwAAgAAAAAAAPC/AryWkA96tgvAAuhqK/aX3e2/AAAAABgAAAD8/AD8AAIAAAAAAADwvwJjEFg5tMgEwAIYldQJaCLiPwAAAAAYAAAA/PwA/AACAAAAAAAA8L8Cg8DKoUW2+78CjErqBDQR8T8AAAAAGAAAAPz8APwAAgAAAAAAAPC/AoPAyqFFtus/AtDVVuwvu9u/AAAAABgAAAD8/AD8AAIAAAAAAADwvwKDwMqhRbb7PwLoaiv2l93tvwAAAAABEQAAAPz8APwAAgAAAAAAAPC/ApF++zpwDhFAAgu1pnnHKao/AAAAAAERAAAA/PwA/AACAAAAAAAA8L8CH/RsVn0uFUAC/fZ14JwRtT8AAAAAARAABAFlBAAAAAAAAAAABAgBZQQAAAAAAAAAAAgMAWUEAAAAAAAAAAAMEAFlBAAAAAAAAAAAEBQBZQQAAAAAAAAAABQYAWUEAAAAAAAAAAAYHAFlCAwAAAAAAAAAHCABZQQAAAAAAAAAACAkAWUIDAAAAAAAAAAkKAFlBAAAAAAAAAAAJCwBZQQAAAAAAAAAACwwAWUICAAAAAAAAAAwGAFlBAAAAAAAAAAAEDQBZQQAAAAAAAAAADQ4AWUEAAAAAAAAAAA4BAFlBAAAAAAAAAAAAAAAAA==</t>
        </r>
      </text>
    </comment>
    <comment ref="A172" authorId="0" shapeId="0" xr:uid="{153351CA-D891-4832-86C3-B62A71493DB9}">
      <text>
        <r>
          <rPr>
            <sz val="9"/>
            <color indexed="81"/>
            <rFont val="MS P ゴシック"/>
            <family val="3"/>
            <charset val="128"/>
          </rPr>
          <t>Insight iXlW00001C0000172R0585476093S00000342P01160LAocjBAQBF1NjaVRlZ2ljLmRhdGEuTW9sZWN1bGUBbwF/ARJTY2lUZWdpYy5Nb2xlY3VsZQAAAQFkAv5qAQAAAAIAAjwgAAAA/PwA/AACAAAAAAAA8L8CcoqO5PIf3j8CysNCrWne6z8AAAAAARAAAAD8/AD8AAIAAAAAAADwvwI4iUFg5dDxPwLRs1n1udq6PwAAAAAgAAAA/PwA/AACAAAAAAAA8L8CYcPTK2UZ/D8CysNCrWne6z8AAAAAGAAAAPz8APwAAgAAAAAAAPC/AnnpJjEIrP8/AgyTqYJRSdm/AAAAABgAAAD8/AD8AAIAAAAAAADwvwJ56SYxCKz/PwLDZKpgVFL2vwAAAAAYAAAA/PwA/AACAAAAAAAA8L8COIlBYOXQ8T8Cw2SqYFRS/r8AAAAAGAAAAPz8APwAAgAAAAAAAPC/Aq9H4XoUrs8/AsNkqmBUUva/AAAAABwAAAD8/AD8AAIAAAAAAADwvwKvR+F6FK7PPwIMk6mCUUnZvwAAAAAYAAAA/PwA/AACAAAAAAAA8L8CescpOpLL478C0bNZ9bnauj8AAAAAGAAAAPz8APwAAgAAAAAAAPC/Av9D+u3rwPe/AgyTqYJRSdm/AAAAABgAAAD8/AD8AAIAAAAAAADwvwIg0m9fB84CwALRs1n1udq6PwAAAAAcAAAA/PwA/AACAAAAAAAA8L8CINJvXwfOAsACzO7Jw0Kt8T8AAAAAGAAAAPz8APwAAgAAAAAAAPC/Av9D+u3rwPe/AszuycNCrfk/AAAAABgAAAD8/AD8AAIAAAAAAADwvwJ6xyk6ksvjvwLM7snDQq3xPwAAAAABEQAAAPz8APwAAgAAAAAAAPC/AiPb+X5qPAZAAqCJsOHplcK/AAAAADwABAFlCAAAAAAAAAAABAgBZQgAAAAAAAAAAAQMAWUEAAAAAAAAAAAMEAFlBAAAAAAAAAAAEBQBZQQAAAAAAAAAABQYAWUEAAAAAAAAAAAYHAFlBAAAAAAAAAAAHAQBZQQAAAAAAAAAABwgAWUEAAAAAAAAAAAgJAFlBAAAAAAAAAAAJCgBZQQAAAAAAAAAACgsAWUEAAAAAAAAAAAsMAFlBAAAAAAAAAAAMDQBZQQAAAAAAAAAADQgAWUEAAAAAAAAAAAAAAAA</t>
        </r>
      </text>
    </comment>
    <comment ref="A173" authorId="0" shapeId="0" xr:uid="{6C786355-3BDA-45F5-A1CF-64A0B1011BAF}">
      <text>
        <r>
          <rPr>
            <sz val="9"/>
            <color indexed="81"/>
            <rFont val="MS P ゴシック"/>
            <family val="3"/>
            <charset val="128"/>
          </rPr>
          <t>Insight iXlW00001C0000173R0585476093S00000344P01360LAocjBAQBF1NjaVRlZ2ljLmRhdGEuTW9sZWN1bGUBbwF/ARJTY2lUZWdpYy5Nb2xlY3VsZQAAAQFkAv5qAQAAAAIAAgESGAAAAPz8APwAAgAAAAAAAPC/ArTqc7UV+wnAAgAAAAAAAP0/AAAAACAAAAD8/AD8AAIAAAAAAADwvwK06nO1FfsJwAIAAAAAAADqPwAAAAAYAAAA/PwA/AACAAAAAAAA8L8CWmQ7308NA8ACAAAAAAAA1D8AAAAAGAAAAPz8APwAAgAAAAAAAPC/AlpkO99PDQPAAgAAAAAAAOa/AAAAABgAAAD8/AD8AAIAAAAAAADwvwJzaJHtfD/4vwIAAAAAAADzvwAAAAAYAAAA/PwA/AACAAAAAAAA8L8CYxBYObTI5L8CAAAAAAAA5r8AAAAAGAAAAPz8APwAAgAAAAAAAPC/AmMQWDm0yOS/AgAAAAAAANQ/AAAAABgAAAD8/AD8AAIAAAAAAADwvwKDwMqhRbbLPwIAAAAAAADqPwAAAAAcAAAA/PwA/AACAAAAAAAA8L8CUrgehetR8T8CAAAAAAAA1D8AAAAAGAAAAPz8APwAAgAAAAAAAPC/ApQYBFYOLf8/AgAAAAAAAOo/AAAAABgAAAD8/AD8AAIAAAAAAADwvwKjkjoBTYQGQAIAAAAAAADUPwAAAAAYAAAA/PwA/AACAAAAAAAA8L8Co5I6AU2EBkACAAAAAAAA5r8AAAAAHAAAAPz8APwAAgAAAAAAAPC/AsRCrWnecQ1AAgAAAAAAAPO/AAAAABgAAAD8/AD8AAIAAAAAAADwvwIFxY8xdy3/PwIAAAAAAADzvwAAAAAYAAAA/PwA/AACAAAAAAAA8L8CUrgehetR8T8CAAAAAAAA5r8AAAAAGAAAAPz8APwAAgAAAAAAAPC/AnNoke18P/i/AgAAAAAAAOo/AAAAAAERAAAA/PwA/AACAAAAAAAA8L8CldQJaCLsEUACcayL22gA0z8AAAAAAREAAAD8/AD8AAIAAAAAAADwvwIkSnuDLwwWQAKPU3Qkl//UPwAAAAABEQAEAWUEAAAAAAAAAAAECAFlBAAAAAAAAAAACAwBZQgMAAAAAAAAAAwQAWUEAAAAAAAAAAAQFAFlCAgAAAAAAAAAFBgBZQQAAAAAAAAAABgcAWUEAAAAAAAAAAAcIAFlBAAAAAAAAAAAICQBZQQAAAAAAAAAACQoAWUEAAAAAAAAAAAoLAFlBAAAAAAAAAAALDABZQQAAAAAAAAAACw0AWUEAAAAAAAAAAA0OAFlBAAAAAAAAAAAOCABZQQAAAAAAAAAABg8AWUICAAAAAAAAAA8CAFlBAAAAAAAAAAAAAAAAA==</t>
        </r>
      </text>
    </comment>
    <comment ref="A174" authorId="0" shapeId="0" xr:uid="{58485CBF-4370-470F-BC45-4ECC805E2965}">
      <text>
        <r>
          <rPr>
            <sz val="9"/>
            <color indexed="81"/>
            <rFont val="MS P ゴシック"/>
            <family val="3"/>
            <charset val="128"/>
          </rPr>
          <t>Insight iXlW00001C0000174R0585476093S00000346P01088LAocjBAQBF1NjaVRlZ2ljLmRhdGEuTW9sZWN1bGUBbwF/ARJTY2lUZWdpYy5Nb2xlY3VsZQAAAQFkAv5qAQAAAAIAAjgcAAAA/PwA/AACAAAAAAAA8L8CyzLEsS5u2z8CJuSDns2qzz8AAAAAGAAAAPz8APwAAgAAAAAAAPC/ApvmHafoSOK/Aibkg57Nqs8/AAAAABgAAAD8/AD8AAIAAAAAAADwvwJO845TdCTxvwJ6xyk6ksvjvwAAAAAYAAAA/PwA/AACAAAAAAAA8L8CZhniWBe37T8Cxty1hHzQ8T8AAAAAGAAAAPz8APwAAgAAAAAAAPC/AmYZ4lgXt+0/AnrHKTqSy+O/AAAAACAAAAD8/AD8AAIAAAAAAADwvwJO845TdCTxvwI4iUFg5dDxPwAAAAAYAAAA/PwA/AACAAAAAAAA8L8Cp3nHKTqSAMACescpOpLL478AAAAAGAAAAPz8APwAAgAAAAAAAPC/ArMMcayL2/4/AsbctYR80PE/AAAAABgAAAD8/AD8AAIAAAAAAADwvwKzDHGsi9v+PwJ6xyk6ksvjvwAAAAAYAAAA/PwA/AACAAAAAAAA8L8CWoY41sVtA0ACJuSDns2qzz8AAAAAHAAAAPz8APwAAgAAAAAAAPC/AlqGONbFbQtAAibkg57Nqs8/AAAAABgAAAD8/AD8AAIAAAAAAADwvwKneccpOpIAwAK94xQdyeX5vwAAAAAYAAAA/PwA/AACAAAAAAAA8L8Cp3nHKTqSCMACescpOpLL478AAAAAGAAAAPz8APwAAgAAAAAAAPC/Aqd5xyk6kgDAAg1xrIvbaNg/AAAAADgEAAFlBAAAAAAAAAAACAQBZQQAAAAAAAAAAAwAAWUEAAAAAAAAAAAQAAFlBAAAAAAAAAAAFAQBZQgAAAAAAAAAABgIAWUEAAAAAAAAAAAcDAFlBAAAAAAAAAAAIBABZQQAAAAAAAAAACQgAWUEAAAAAAAAAAAoJAFlBAAAAAAAAAAALBgBZQQAAAAAAAAAADAYAWUEAAAAAAAAAAA0GAFlBAAAAAAAAAAAHCQBZQQAAAAAAAAAAAAAAAA=</t>
        </r>
      </text>
    </comment>
    <comment ref="A175" authorId="0" shapeId="0" xr:uid="{1FFFB692-1088-40E4-9855-988915E9DEA1}">
      <text>
        <r>
          <rPr>
            <sz val="9"/>
            <color indexed="81"/>
            <rFont val="MS P ゴシック"/>
            <family val="3"/>
            <charset val="128"/>
          </rPr>
          <t>Insight iXlW00001C0000175R0585476093S00000348P01000LAocjBAQBF1NjaVRlZ2ljLmRhdGEuTW9sZWN1bGUBbwF/ARJTY2lUZWdpYy5Nb2xlY3VsZQAAAQFkAv5qAQAAAAIAAjQYAAAA/PwA/AACAAAAAAAA8L8C7Q2+MJmqB8ACc2iR7Xw/+L8AAAAAIAAAAPz8APwAAgAAAAAAAPC/Au0NvjCZqgPAAmMQWDm0yOS/AAAAABgAAAD8/AD8AAIAAAAAAADwvwLbG3xhMlX3vwJjEFg5tMjkvwAAAAAYAAAA/PwA/AACAAAAAAAA8L8CtTf4wmSq7r8Cg8DKoUW2yz8AAAAAIAAAAPz8APwAAgAAAAAAAPC/AtsbfGEyVfe/AlK4HoXrUfE/AAAAABwAAAD8/AD8AAIAAAAAAADwvwK2hHzQs1mlPwKDwMqhRbbLPwAAAAAYAAAA/PwA/AACAAAAAAAA8L8CTMgHPZtV4T8CUrgehetR8T8AAAAAGAAAAPz8APwAAgAAAAAAAPC/Aibkg57Nqvg/AlK4HoXrUfE/AAAAABgAAAD8/AD8AAIAAAAAAADwvwIT8kHPZlUAQAKDwMqhRbbLPwAAAAAcAAAA/PwA/AACAAAAAAAA8L8CE/JBz2ZVCEACg8DKoUW2yz8AAAAAGAAAAPz8APwAAgAAAAAAAPC/Aibkg57Nqvg/AmMQWDm0yOS/AAAAABgAAAD8/AD8AAIAAAAAAADwvwJMyAc9m1XhPwJjEFg5tMjkvwAAAAABEQAAAPz8APwAAgAAAAAAAPC/AnpYqDXNuw5AAoPAyqFFtsu/AAAAADAABAFlBAAAAAAAAAAABAgBZQQAAAAAAAAAAAgMAWUEAAAAAAAAAAAMEAFlCAAAAAAAAAAADBQBZQQAAAAAAAAAABQYAWUEAAAAAAAAAAAYHAFlBAAAAAAAAAAAHCABZQQAAAAAAAAAACAkAWUEAAAAAAAAAAAgKAFlBAAAAAAAAAAAKCwBZQQAAAAAAAAAACwUAWUEAAAAAAAAAAAAAAAA</t>
        </r>
      </text>
    </comment>
    <comment ref="A176" authorId="0" shapeId="0" xr:uid="{A17C541B-B1A0-4EC1-9F75-C744683BD5E8}">
      <text>
        <r>
          <rPr>
            <sz val="9"/>
            <color indexed="81"/>
            <rFont val="MS P ゴシック"/>
            <family val="3"/>
            <charset val="128"/>
          </rPr>
          <t>Insight iXlW00001C0000176R0585476093S00000350P01232LAocjBAQBF1NjaVRlZ2ljLmRhdGEuTW9sZWN1bGUBbwF/ARJTY2lUZWdpYy5Nb2xlY3VsZQAAAQFkAv5qAQAAAAIAAgEQHAAAAPz8APwAAgAAAAAAAPC/AuhqK/aX3QlAAqfoSC7/IfI/AAAAABgAAAD8/AD8AAIAAAAAAADwvwKP5PIf0u8CQAJP0ZFc/kPkPwAAAAAYAAAA/PwA/AACAAAAAAAA8L8C3GgAb4EE+D8Cp+hILv8h8j8AAAAAGAAAAPz8APwAAgAAAAAAAPC/AjQRNjy9UuQ/Ak/RkVz+Q+Q/AAAAABwAAAD8/AD8AAIAAAAAAADwvwI0ETY8vVLkPwJkXdxGA3jXvwAAAAAYAAAA/PwA/AACAAAAAAAA8L8C3GgAb4EE+D8C0NVW7C+7678AAAAAGAAAAPz8APwAAgAAAAAAAPC/Ao/k8h/S7wJAAqCrrdhfdte/AAAAABgAAAD8/AD8AAIAAAAAAADwvwI9vVKWIY7NvwKyLm6jAbzrvwAAAAAgAAAA/PwA/AACAAAAAAAA8L8CPb1SliGOzb8CWRe30QDe/b8AAAAAGAAAAPz8APwAAgAAAAAAAPC/AlpkO99PjfG/AmRd3EYDeNe/AAAAABgAAAD8/AD8AAIAAAAAAADwvwKcxCCwcmj/vwLQ1VbsL7vrvwAAAAAYAAAA/PwA/AACAAAAAAAA8L8CbxKDwMqhBsACoKut2F92178AAAAAGAAAAPz8APwAAgAAAAAAAPC/Am8Sg8DKoQbAAk/RkVz+Q+Q/AAAAABgAAAD8/AD8AAIAAAAAAADwvwKcxCCwcmj/vwKn6Egu/yHyPwAAAAAYAAAA/PwA/AACAAAAAAAA8L8CWmQ730+N8b8CT9GRXP5D5D8AAAAAAREAAAD8/AD8AAIAAAAAAADwvwKn6Egu/yEQQAJkXdxGA3jXvwAAAAABEAAEAWUEAAAAAAAAAAAECAFlBAAAAAAAAAAACAwBZQQAAAAAAAAAAAwQAWUEAAAAAAAAAAAQFAFlBAAAAAAAAAAAFBgBZQQAAAAAAAAAABgEAWUEAAAAAAAAAAAQHAFlBAAAAAAAAAAAHCABZQgAAAAAAAAAABwkAWUEAAAAAAAAAAAkKAFlBAAAAAAAAAAAKCwBZQQAAAAAAAAAACwwAWUEAAAAAAAAAAAwNAFlBAAAAAAAAAAANDgBZQQAAAAAAAAAADgkAWUEAAAAAAAAAAAAAAAA</t>
        </r>
      </text>
    </comment>
    <comment ref="A177" authorId="0" shapeId="0" xr:uid="{1733AB7A-0C45-4130-8781-ED753474F879}">
      <text>
        <r>
          <rPr>
            <sz val="9"/>
            <color indexed="81"/>
            <rFont val="MS P ゴシック"/>
            <family val="3"/>
            <charset val="128"/>
          </rPr>
          <t>Insight iXlW00001C0000177R0585476093S00000352P01760LAocjBAQBF1NjaVRlZ2ljLmRhdGEuTW9sZWN1bGUBbwF/ARJTY2lUZWdpYy5Nb2xlY3VsZQAAAQFkAv5qAQAAAAIAAgEXGAAAAPz8APwAAgAAAAAAAPC/Av+ye/KwUPy/AiigibDh6e0/AAAAABgAAAD8/AD8AAIAAAAAAADwvwKgibDh6RUFwAJPQBNhw9PbPwAAAAAcAAAA/PwA/AACAAAAAAAA8L8Ce6UsQxzr7L8CT0ATYcPT2z8AAAAAGAAAAPz8APwAAgAAAAAAAPC/Al1txf6yewRAAtlfdk8eFuK/AAAAABwAAAD8/AD8AAIAAAAAAADwvwJ5eqUsQxz7PwLtL7snDwvxvwAAAAAYAAAA/PwA/AACAAAAAAAA8L8CwTkjSnsDDMACKKCJsOHp7T8AAAAAIAAAAPz8APwAAgAAAAAAAPC/An4dOGdEaQtAAu0vuycPC/G/AAAAACAAAAD8/AD8AAIAAAAAAADwvwL/snvysFD8vwIU0ETY8PT+PwAAAAAYAAAA/PwA/AACAAAAAAAA8L8Cd08eFmpNo78CKKCJsOHp7T8AAAAAGAAAAPz8APwAAgAAAAAAAPC/AnulLEMc6+y/Atlfdk8eFuK/AAAAACAAAAD8/AD8AAIAAAAAAADwvwJdbcX+snsEQAJPQBNhw9PbPwAAAAAYAAAA/PwA/AACAAAAAAAA8L8C7FG4HoUrEUAC2V92Tx4W4r8AAAAAGAAAAPz8APwAAgAAAAAAAPC/Am40gLdAguo/Ak9AE2HD09s/AAAAABgAAAD8/AD8AAIAAAAAAADwvwJVwaikTkCjvwLtL7snDwvxvwAAAAAYAAAA/PwA/AACAAAAAAAA8L8CbjSAt0CC6j8C2V92Tx4W4r8AAAAAJAAAAPz8APwAAgAAAAAAAPC/AsE5I0p7AwzAAhTQRNjw9P4/AAAAABgAAAD8/AD8AAIAAAAAAADwvwKgibDh6RUFwALZX3ZPHhbivwAAAAAYAAAA/PwA/AACAAAAAAAA8L8CDeAtkKB4EcACT0ATYcPT2z8AAAAAGAAAAPz8APwAAgAAAAAAAPC/AtejcD0KVw5AAlXBqKROQNM/AAAAABgAAAD8/AD8AAIAAAAAAADwvwL8qfHSTaIUQALG/rJ78rCwvwAAAAAYAAAA/PwA/AACAAAAAAAA8L8C7FG4HoUrE0ACLpCg+DHm9r8AAAAAGAAAAPz8APwAAgAAAAAAAPC/AvoP6bevAwzAAu0vuycPC/G/AAAAABgAAAD8/AD8AAIAAAAAAADwvwIN4C2QoHgRwALZX3ZPHhbivwAAAAABGAQAAWUEAAAAAAAAAAAIAAFlBAAAAAAAAAAADBABZQQAAAAAAAAAABA4AWUEAAAAAAAAAAAUBAFlBAAAAAAAAAAAGAwBZQQAAAAAAAAAABwAAWUIAAAAAAAAAAAgCAFlBAAAAAAAAAAAJAgBZQQAAAAAAAAAACgMAWUIAAAAAAAAAAAsGAFlBAAAAAAAAAAAMCABZQQAAAAAAAAAADQkAWUEAAAAAAAAAAA4NAFlBAAAAAAAAAAAPBQBZQQAAAAAAAAAAAEQBAFlCAwAAAAAAAAAAREUAWUICAAAAAAAAAABEiwBZQQAAAAAAAAAAAETLAFlBAAAAAAAAAAAARQsAWUEAAAAAAAAAAABFQEQAWUEAAAAAAAAAAABFgEVAWUICAAAAAAAAAAwOAFlBAAAAAAAAAAAARYBEQFlBAAAAAAAAAAAAAAAAA==</t>
        </r>
      </text>
    </comment>
    <comment ref="A178" authorId="0" shapeId="0" xr:uid="{DEB4F9B2-CFFF-4DE4-B27B-FBC80E230666}">
      <text>
        <r>
          <rPr>
            <sz val="9"/>
            <color indexed="81"/>
            <rFont val="MS P ゴシック"/>
            <family val="3"/>
            <charset val="128"/>
          </rPr>
          <t>Insight iXlW00001C0000178R0585476093S00000354P01756LAocjBAQBF1NjaVRlZ2ljLmRhdGEuTW9sZWN1bGUBbwF/ARJTY2lUZWdpYy5Nb2xlY3VsZQAAAQFkAv5qAQAAAAIAAgEXGAAAAPz8APwAAgAAAAAAAPC/Av+ye/KwUPy/AgU0ETY8vfE/AAAAABwAAAD8/AD8AAIAAAAAAADwvwJ7pSxDHOvsvwIKaCJseHrjPwAAAAAYAAAA/PwA/AACAAAAAAAA8L8CXW3F/rJ7BEAC7S+7Jw8L2b8AAAAAGAAAAPz8APwAAgAAAAAAAPC/AqCJsOHpFQXAAgpoImx4euM/AAAAABwAAAD8/AD8AAIAAAAAAADwvwJ5eqUsQxz7PwL3l92Th4XsvwAAAAAgAAAA/PwA/AACAAAAAAAA8L8Cfh04Z0RpC0AC95fdk4eF7L8AAAAAGAAAAPz8APwAAgAAAAAAAPC/AndPHhZqTaO/AgU0ETY8vfE/AAAAABgAAAD8/AD8AAIAAAAAAADwvwJ7pSxDHOvsvwLtL7snDwvZvwAAAAAgAAAA/PwA/AACAAAAAAAA8L8C/7J78rBQ/L8CA5oIG57eAEAAAAAAIAAAAPz8APwAAgAAAAAAAPC/Al1txf6yewRAAgpoImx4euM/AAAAABgAAAD8/AD8AAIAAAAAAADwvwKgibDh6RUFwALtL7snDwvZvwAAAAAYAAAA/PwA/AACAAAAAAAA8L8C7FG4HoUrEUAC7S+7Jw8L2b8AAAAAGAAAAPz8APwAAgAAAAAAAPC/Am40gLdAguo/AgpoImx4euM/AAAAABgAAAD8/AD8AAIAAAAAAADwvwJVwaikTkCjvwL3l92Th4XsvwAAAAAYAAAA/PwA/AACAAAAAAAA8L8CbjSAt0CC6j8C7S+7Jw8L2b8AAAAAGAAAAPz8APwAAgAAAAAAAPC/AsE5I0p7AwzAAveX3ZOHhey/AAAAACQAAAD8/AD8AAIAAAAAAADwvwL6D+m3rwMMwAL7y+7Jw0L+vwAAAAAYAAAA/PwA/AACAAAAAAAA8L8C+g/pt68DDMACBTQRNjy98T8AAAAAGAAAAPz8APwAAgAAAAAAAPC/Ag3gLZCgeBHAAgpoImx4euM/AAAAABgAAAD8/AD8AAIAAAAAAADwvwLXo3A9ClcOQAIaUdobfGHePwAAAAAYAAAA/PwA/AACAAAAAAAA8L8C/Knx0k2iFEACT0ATYcPTuz8AAAAAGAAAAPz8APwAAgAAAAAAAPC/AuxRuB6FKxNAAj0s1JrmHfS/AAAAABgAAAD8/AD8AAIAAAAAAADwvwIN4C2QoHgRwALtL7snDwvZvwAAAAABGAQAAWUEAAAAAAAAAAAIEAFlBAAAAAAAAAAADAABZQQAAAAAAAAAABA4AWUEAAAAAAAAAAAUCAFlBAAAAAAAAAAAGAQBZQQAAAAAAAAAABwEAWUEAAAAAAAAAAAgAAFlCAAAAAAAAAAAJAgBZQgAAAAAAAAAACgMAWUEAAAAAAAAAAAsFAFlBAAAAAAAAAAAMBgBZQQAAAAAAAAAADQcAWUEAAAAAAAAAAA4NAFlBAAAAAAAAAAAPCgBZQgMAAAAAAAAAAEQPAFlBAAAAAAAAAAAAREMAWUIDAAAAAAAAAABEgERAWUEAAAAAAAAAAABEywBZQQAAAAAAAAAAAEULAFlBAAAAAAAAAAAARUsAWUEAAAAAAAAAAABFgESAWUICAAAAAAAAAABFjwBZQQAAAAAAAAAADA4AWUEAAAAAAAAAAAAAAAA</t>
        </r>
      </text>
    </comment>
    <comment ref="A179" authorId="0" shapeId="0" xr:uid="{9E4339A6-75D2-41DC-ACC4-418AB261C575}">
      <text>
        <r>
          <rPr>
            <sz val="9"/>
            <color indexed="81"/>
            <rFont val="MS P ゴシック"/>
            <family val="3"/>
            <charset val="128"/>
          </rPr>
          <t>Insight iXlW00001C0000179R0585476093S00000356P01760LAocjBAQBF1NjaVRlZ2ljLmRhdGEuTW9sZWN1bGUBbwF/ARJTY2lUZWdpYy5Nb2xlY3VsZQAAAQFkAv5qAQAAAAIAAgEXGAAAAPz8APwAAgAAAAAAAPC/Anl6pSxDHPu/Au0vuycPC/E/AAAAABwAAAD8/AD8AAIAAAAAAADwvwJuNIC3QILqvwLZX3ZPHhbiPwAAAAAYAAAA/PwA/AACAAAAAAAA8L8CoImw4ekVBUACT0ATYcPT278AAAAAHAAAAPz8APwAAgAAAAAAAPC/Av+ye/KwUPw/AiigibDh6e2/AAAAABgAAAD8/AD8AAIAAAAAAADwvwJdbcX+snsEwALZX3ZPHhbiPwAAAAAgAAAA/PwA/AACAAAAAAAA8L8CwTkjSnsDDEACKKCJsOHp7b8AAAAAGAAAAPz8APwAAgAAAAAAAPC/Am40gLdAguq/Ak9AE2HD09u/AAAAABgAAAD8/AD8AAIAAAAAAADwvwJVwaikTkCjPwLtL7snDwvxPwAAAAAgAAAA/PwA/AACAAAAAAAA8L8CeXqlLEMc+78C9pfdk4eFAEAAAAAAIAAAAPz8APwAAgAAAAAAAPC/AqCJsOHpFQVAAtlfdk8eFuI/AAAAABgAAAD8/AD8AAIAAAAAAADwvwIN4C2QoHgRQAJPQBNhw9PbvwAAAAAYAAAA/PwA/AACAAAAAAAA8L8Ce6UsQxzr7D8C2V92Tx4W4j8AAAAAGAAAAPz8APwAAgAAAAAAAPC/AndPHhZqTaM/AiigibDh6e2/AAAAABgAAAD8/AD8AAIAAAAAAADwvwJ+HThnRGkLwALtL7snDwvxPwAAAAAYAAAA/PwA/AACAAAAAAAA8L8CXW3F/rJ7BMACT0ATYcPT278AAAAAGAAAAPz8APwAAgAAAAAAAPC/AnulLEMc6+w/Ak9AE2HD09u/AAAAABgAAAD8/AD8AAIAAAAAAADwvwLPZtXnaisRwAJPQBNhw9PbvwAAAAAYAAAA/PwA/AACAAAAAAAA8L8Cfh04Z0RpC8ACKKCJsOHp7b8AAAAAGAAAAPz8APwAAgAAAAAAAPC/As9m1edqKxHAAtlfdk8eFuI/AAAAACQAAAD8/AD8AAIAAAAAAADwvwL8qfHSTaIUwAIooImw4entvwAAAAAYAAAA/PwA/AACAAAAAAAA8L8CG8BbIEHxDkACuECC4seY2z8AAAAAGAAAAPz8APwAAgAAAAAAAPC/Ah44Z0Rp7xRAAsb+snvysLA/AAAAABgAAAD8/AD8AAIAAAAAAADwvwIN4C2QoHgTQAJVMCqpE9D0vwAAAAABGAQAAWUEAAAAAAAAAAAIDAFlBAAAAAAAAAAADDwBZQQAAAAAAAAAABAAAWUEAAAAAAAAAAAUCAFlBAAAAAAAAAAAGAQBZQQAAAAAAAAAABwEAWUEAAAAAAAAAAAgAAFlCAAAAAAAAAAAJAgBZQgAAAAAAAAAACgUAWUEAAAAAAAAAAAsHAFlBAAAAAAAAAAAMBgBZQQAAAAAAAAAADQQAWUIDAAAAAAAAAA4EAFlBAAAAAAAAAAAPCwBZQQAAAAAAAAAAAEQAREBZQQAAAAAAAAAAAEROAFlCAgAAAAAAAAAARI0AWUEAAAAAAAAAAABEwEQAWUEAAAAAAAAAAABFCgBZQQAAAAAAAAAAAEVKAFlBAAAAAAAAAAAARYoAWUEAAAAAAAAAAABEAESAWUICAAAAAAAAAAwPAFlBAAAAAAAAAAAAAAAAA==</t>
        </r>
      </text>
    </comment>
    <comment ref="A180" authorId="0" shapeId="0" xr:uid="{109A2988-DC42-4D1B-B965-1B1E71107976}">
      <text>
        <r>
          <rPr>
            <sz val="9"/>
            <color indexed="81"/>
            <rFont val="MS P ゴシック"/>
            <family val="3"/>
            <charset val="128"/>
          </rPr>
          <t>Insight iXlW00001C0000180R0585476093S00000358P01284LAocjBAQBF1NjaVRlZ2ljLmRhdGEuTW9sZWN1bGUBbwF/ARJTY2lUZWdpYy5Nb2xlY3VsZQAAAQFkAv5qAQAAAAIAAgERHAAAAPz8APwAAgAAAAAAAPC/AryWkA96tgtAAgAAAAAAAPG/AAAAABgAAAD8/AD8AAIAAAAAAADwvwKb5h2n6MgEQAIAAAAAAADivwAAAAAYAAAA/PwA/AACAAAAAAAA8L8CYxBYObTIBEACAAAAAAAA3D8AAAAAGAAAAPz8APwAAgAAAAAAAPC/AoPAyqFFtvs/AgAAAAAAAO4/AAAAABwAAAD8/AD8AAIAAAAAAADwvwKDwMqhRbbrPwIAAAAAAADcPwAAAAAYAAAA/PwA/AACAAAAAAAA8L8Cg8DKoUW26z8CAAAAAAAA4r8AAAAAGAAAAPz8APwAAgAAAAAAAPC/AoPAyqFFtvs/AgAAAAAAAPG/AAAAABgAAAD8/AD8AAIAAAAAAADwvwACAAAAAAAA7j8AAAAAIAAAAPz8APwAAgAAAAAAAPC/AAIAAAAAAAD/PwAAAAAYAAAA/PwA/AACAAAAAAAA8L8Cg8DKoUW2678CAAAAAAAA3D8AAAAAGAAAAPz8APwAAgAAAAAAAPC/AoPAyqFFtuu/AgAAAAAAAOK/AAAAABgAAAD8/AD8AAIAAAAAAADwvwKDwMqhRbb7vwIAAAAAAADxvwAAAAAYAAAA/PwA/AACAAAAAAAA8L8CYxBYObTIBMACAAAAAAAA4r8AAAAAJAAAAPz8APwAAgAAAAAAAPC/AryWkA96tgvAAgAAAAAAAPG/AAAAABgAAAD8/AD8AAIAAAAAAADwvwJjEFg5tMgEwAIAAAAAAADcPwAAAAAYAAAA/PwA/AACAAAAAAAA8L8Cg8DKoUW2+78CAAAAAAAA7j8AAAAAAREAAAD8/AD8AAIAAAAAAADwvwKRfvs6cA4RQAIAAAAAAADcPwAAAAABEQAEAWUEAAAAAAAAAAAECAFlBAAAAAAAAAAACAwBZQQAAAAAAAAAAAwQAWUEAAAAAAAAAAAQFAFlBAAAAAAAAAAAFBgBZQQAAAAAAAAAABgEAWUEAAAAAAAAAAAQHAFlBAAAAAAAAAAAHCABZQgAAAAAAAAAABwkAWUEAAAAAAAAAAAkKAFlCAwAAAAAAAAAKCwBZQQAAAAAAAAAACwwAWUIDAAAAAAAAAAwNAFlBAAAAAAAAAAAMDgBZQQAAAAAAAAAADg8AWUICAAAAAAAAAA8JAFlBAAAAAAAAAAAAAAAAA==</t>
        </r>
      </text>
    </comment>
    <comment ref="A181" authorId="0" shapeId="0" xr:uid="{08C3B157-68B0-4CFC-B603-FCEE6A12CABE}">
      <text>
        <r>
          <rPr>
            <sz val="9"/>
            <color indexed="81"/>
            <rFont val="MS P ゴシック"/>
            <family val="3"/>
            <charset val="128"/>
          </rPr>
          <t>Insight iXlW00001C0000181R0585476093S00000360P01448LAocjBAQBF1NjaVRlZ2ljLmRhdGEuTW9sZWN1bGUBbwF/ARJTY2lUZWdpYy5Nb2xlY3VsZQAAAQFkAv5qAQAAAAIAAgETARAAAAD8/AD8AAIAAAAAAADwvwJKe4MvTCYFwAL+ZffkYaHsPwAAAAAcAAAA/PwA/AACAAAAAAAA8L8C4umVsgxx/L8C+8vuycNC2T8AAAAAGAAAAPz8APwAAgAAAAAAAPC/ApZDi2zn+/o/AgOaCBueXuO/AAAAACAAAAD8/AD8AAIAAAAAAADwvwJKe4MvTCYJwAJPr5RliGOdPwAAAAAgAAAA/PwA/AACAAAAAAAA8L8CSnuDL0wmAcACsr/snjws/D8AAAAAHAAAAPz8APwAAgAAAAAAAPC/AsZtNIC3QOo/AgFNhA1Pr/G/AAAAACAAAAD8/AD8AAIAAAAAAADwvwLsUbgehWsEQAIBTYQNT6/xvwAAAAAYAAAA/PwA/AACAAAAAAAA8L8CQRNhw9Mr7b8C/mX35GGh7D8AAAAAGAAAAPz8APwAAgAAAAAAAPC/AuLplbIMcfy/AiFB8WPMXeO/AAAAACAAAAD8/AD8AAIAAAAAAADwvwKWQ4ts5/v6PwL7y+7Jw0LZPwAAAAAYAAAA/PwA/AACAAAAAAAA8L8CDQIrhxZZC0ACA5oIG55e478AAAAAGAAAAPz8APwAAgAAAAAAAPC/AtQrZRniWKe/AvvL7snDQtk/AAAAABgAAAD8/AD8AAIAAAAAAADwvwJBE2HD0yvtvwKQoPgx5q7xvwAAAAAYAAAA/PwA/AACAAAAAAAA8L8C1CtlGeJYp78CA5oIG55e478AAAAAGAAAAPz8APwAAgAAAAAAAPC/Amsr9pfdEwzAAv+ye/KwUPY/AAAAABgAAAD8/AD8AAIAAAAAAADwvwINAiuHFlkHQALG/rJ78rDQPwAAAAAYAAAA/PwA/AACAAAAAAAA8L8CF9nO91MjEUACFNBE2PD0ur8AAAAAGAAAAPz8APwAAgAAAAAAAPC/Ag0CK4cWWQ9AAkOtad5xive/AAAAABgAAAD8/AD8AAIAAAAAAADwvwLGbTSAt4ARwAL+ZffkYaHsPwAAAAABEwQAAWUEAAAAAAAAAAAIFAFlBAAAAAAAAAAADAABZQgAAAAAAAAAABAAAWUIAAAAAAAAAAAUNAFlBAAAAAAAAAAAGAgBZQQAAAAAAAAAABwEAWUEAAAAAAAAAAAgBAFlBAAAAAAAAAAAJAgBZQgAAAAAAAAAACgYAWUEAAAAAAAAAAAsHAFlBAAAAAAAAAAAMCABZQQAAAAAAAAAADQwAWUEAAAAAAAAAAA4AAFlBAAAAAAAAAAAPCgBZQQAAAAAAAAAAAEQKAFlBAAAAAAAAAAAAREoAWUEAAAAAAAAAAABEjgBZQQAAAAAAAAAADQsAWUEAAAAAAAAAAAAAAAA</t>
        </r>
      </text>
    </comment>
    <comment ref="A182" authorId="0" shapeId="0" xr:uid="{D67E04D9-B2E8-495B-BCC6-CDEAD31A529C}">
      <text>
        <r>
          <rPr>
            <sz val="9"/>
            <color indexed="81"/>
            <rFont val="MS P ゴシック"/>
            <family val="3"/>
            <charset val="128"/>
          </rPr>
          <t>Insight iXlW00001C0000182R0585476093S00000362P01004LAocjBAQBF1NjaVRlZ2ljLmRhdGEuTW9sZWN1bGUBbwF/ARJTY2lUZWdpYy5Nb2xlY3VsZQAAAQFkAv5qAQAAAAIAAjQYAAAA/PwA/AACAAAAAAAA8L8CAAAAAAAABcACumsJ+aBn6b8AAAAAGAAAAPz8APwAAgAAAAAAAPC/AgAAAAAAAAHAAl1txf6ye7I/AAAAAAEQAAAA/PwA/AACAAAAAAAA8L8CAAAAAAAA8r8CXW3F/rJ7sj8AAAAAIAAAAPz8APwAAgAAAAAAAPC/AgAAAAAAAPK/AlVSJ6CJsO2/AAAAACAAAAD8/AD8AAIAAAAAAADwvwIAAAAAAADyvwLWVuwvuyfxPwAAAAAcAAAA/PwA/AACAAAAAAAA8L8CAAAAAAAAwL8CXW3F/rJ7sj8AAAAAGAAAAPz8APwAAgAAAAAAAPC/AgAAAAAAANg/Ai9uowG8Be4/AAAAABgAAAD8/AD8AAIAAAAAAADwvwIAAAAAAAD2PwIvbqMBvAXuPwAAAAAYAAAA/PwA/AACAAAAAAAA8L8CAAAAAAAA/j8CXW3F/rJ7sj8AAAAAHAAAAPz8APwAAgAAAAAAAPC/AgAAAAAAAAdAAl1txf6ye7I/AAAAABgAAAD8/AD8AAIAAAAAAADwvwIAAAAAAAD2PwLYEvJBz2bpvwAAAAAYAAAA/PwA/AACAAAAAAAA8L8CAAAAAAAA2D8C2BLyQc9m6b8AAAAAAREAAAD8/AD8AAIAAAAAAADwvwJnZmZmZmYNQAJdbcX+snuyPwAAAAAwAAQBZQQAAAAAAAAAAAQIAWUEAAAAAAAAAAAIDAFlCAAAAAAAAAAACBABZQgAAAAAAAAAAAgUAWUEAAAAAAAAAAAUGAFlBAAAAAAAAAAAGBwBZQQAAAAAAAAAABwgAWUEAAAAAAAAAAAgJAFlBAAAAAAAAAAAICgBZQQAAAAAAAAAACgsAWUEAAAAAAAAAAAsFAFlBAAAAAAAAAAAAAAAAA==</t>
        </r>
      </text>
    </comment>
    <comment ref="A183" authorId="0" shapeId="0" xr:uid="{6506B478-AE3C-489A-A5EB-C55450FD9A9A}">
      <text>
        <r>
          <rPr>
            <sz val="9"/>
            <color indexed="81"/>
            <rFont val="MS P ゴシック"/>
            <family val="3"/>
            <charset val="128"/>
          </rPr>
          <t>Insight iXlW00001C0000183R0585476093S00000364P01520LAocjBAQBF1NjaVRlZ2ljLmRhdGEuTW9sZWN1bGUBbwF/ARJTY2lUZWdpYy5Nb2xlY3VsZQAAAQFkAv5qAQAAAAIAAgEUARAAAAD8/AD8AAIAAAAAAADwvwIzMzMzMzMEwAKJY13cRgPivwAAAAAcAAAA/PwA/AACAAAAAAAA8L8CZ2ZmZmZm+L8CiWNd3EYD4r8AAAAAGAAAAPz8APwAAgAAAAAAAPC/ApqZmZmZmf8/Ava52or9ZdM/AAAAACAAAAD8/AD8AAIAAAAAAADwvwIzMzMzMzMEwALFsS5uowH5vwAAAAAgAAAA/PwA/AACAAAAAAAA8L8CMzMzMzMzBMAC8DhFR3L52z8AAAAAHAAAAPz8APwAAgAAAAAAAPC/ApqZmZmZmfc/AoljXdxGA+K/AAAAACAAAAD8/AD8AAIAAAAAAADwvwLNzMzMzMwHQAL2udqK/WXTPwAAAAAYAAAA/PwA/AACAAAAAAAA8L8CNDMzMzMzDMACiWNd3EYD4r8AAAAAGAAAAPz8APwAAgAAAAAAAPC/AmdmZmZmZvC/Ava52or9ZdM/AAAAABgAAAD8/AD8AAIAAAAAAADwvwJnZmZmZmbwvwIGEhQ/xtz2vwAAAAAgAAAA/PwA/AACAAAAAAAA8L8CmpmZmZmZ9z8Cvw6cM6K08j8AAAAAGAAAAPz8APwAAgAAAAAAAPC/As3MzMzMzAtAAr8OnDOitPI/AAAAABgAAAD8/AD8AAIAAAAAAADwvwKamZmZmZmZvwL2udqK/WXTPwAAAAAYAAAA/PwA/AACAAAAAAAA8L8CmpmZmZmZmb8CBhIUP8bc9r8AAAAAGAAAAPz8APwAAgAAAAAAAPC/AmdmZmZmZt4/AoljXdxGA+K/AAAAABgAAAD8/AD8AAIAAAAAAADwvwKsHFpkO98EQAK/DpwzorT6PwAAAAAYAAAA/PwA/AACAAAAAAAA8L8CzczMzMzMD0ACuY0G8BZIAEAAAAAAGAAAAPz8APwAAgAAAAAAAPC/Ane+nxovXRFAAn4dOGdEaeU/AAAAABgAAAD8/AD8AAIAAAAAAADwvwKamZmZmRkQwAIGEhQ/xtz2vwAAAAAYAAAA/PwA/AACAAAAAAAA8L8CmpmZmZkZEMAC9rnaiv1l0z8AAAAAARQEAAFlBAAAAAAAAAAACBQBZQQAAAAAAAAAAAwAAWUIAAAAAAAAAAAQAAFlCAAAAAAAAAAAFDgBZQQAAAAAAAAAABgIAWUEAAAAAAAAAAAcAAFlBAAAAAAAAAAAIAQBZQQAAAAAAAAAACQEAWUEAAAAAAAAAAAoCAFlCAAAAAAAAAAALBgBZQQAAAAAAAAAADAgAWUEAAAAAAAAAAA0JAFlBAAAAAAAAAAAODQBZQQAAAAAAAAAADwsAWUEAAAAAAAAAAABECwBZQQAAAAAAAAAAAERLAFlBAAAAAAAAAAAARIcAWUEAAAAAAAAAAABExwBZQQAAAAAAAAAADA4AWUEAAAAAAAAAAAAAAAA</t>
        </r>
      </text>
    </comment>
    <comment ref="A184" authorId="0" shapeId="0" xr:uid="{1D6680ED-C28D-4BEA-AAA2-E20ABE6308DF}">
      <text>
        <r>
          <rPr>
            <sz val="9"/>
            <color indexed="81"/>
            <rFont val="MS P ゴシック"/>
            <family val="3"/>
            <charset val="128"/>
          </rPr>
          <t>Insight iXlW00001C0000184R0585476093S00000366P01000LAocjBAQBF1NjaVRlZ2ljLmRhdGEuTW9sZWN1bGUBbwF/ARJTY2lUZWdpYy5Nb2xlY3VsZQAAAQFkAv5qAQAAAAIAAjgYAAAA/PwA/AACAAAAAAAA8L8CNYC3QIJiA8ACg8DKoUW2678AAAAAGAAAAPz8APwAAgAAAAAAAPC/AmkAb4EExf6/AAAAAAAYAAAA/PwA/AACAAAAAAAA8L8CNYC3QIJiA8ACg8DKoUW26z8AAAAAARAAAAD8/AD8AAIAAAAAAADwvwLSAN4CCYrtvwAAAAAAIAAAAPz8APwAAgAAAAAAAPC/AtIA3gIJiu2/AgAAAAAAAPC/AAAAACAAAAD8/AD8AAIAAAAAAADwvwLSAN4CCYrtvwEAAAAAHAAAAPz8APwAAgAAAAAAAPC/AnP5D+m3r7M/AAAAAAAYAAAA/PwA/AACAAAAAAAA8L8CL/8h/fZ14j8Cg8DKoUW26z8AAAAAGAAAAPz8APwAAgAAAAAAAPC/Apf/kH77Ovk/AoPAyqFFtus/AAAAABgAAAD8/AD8AAIAAAAAAADwvwLMf0i/fZ0AQAAAAAAAHAAAAPz8APwAAgAAAAAAAPC/Asx/SL99nQhAAAAAAAAYAAAA/PwA/AACAAAAAAAA8L8Cl/+Qfvs6+T8Cg8DKoUW2678AAAAAGAAAAPz8APwAAgAAAAAAAPC/Ai//If32deI/AoPAyqFFtuu/AAAAAAERAAAA/PwA/AACAAAAAAAA8L8CMuauJeQDD0AAAAAAADQABAFlBAAAAAAAAAAABAgBZQQAAAAAAAAAAAQMAWUEAAAAAAAAAAAMEAFlCAAAAAAAAAAADBQBZQgAAAAAAAAAAAwYAWUEAAAAAAAAAAAYHAFlBAAAAAAAAAAAHCABZQQAAAAAAAAAACAkAWUEAAAAAAAAAAAkKAFlBAAAAAAAAAAAJCwBZQQAAAAAAAAAACwwAWUEAAAAAAAAAAAwGAFlBAAAAAAAAAAAAAAAAA==</t>
        </r>
      </text>
    </comment>
    <comment ref="A185" authorId="0" shapeId="0" xr:uid="{E524D092-AE03-4888-BBD1-824906ABD523}">
      <text>
        <r>
          <rPr>
            <sz val="9"/>
            <color indexed="81"/>
            <rFont val="MS P ゴシック"/>
            <family val="3"/>
            <charset val="128"/>
          </rPr>
          <t>Insight iXlW00001C0000185R0585476093S00000368P01468LAocjBAQBF1NjaVRlZ2ljLmRhdGEuTW9sZWN1bGUBbwF/ARJTY2lUZWdpYy5Nb2xlY3VsZQAAAQFkAv5qAQAAAAIAAgEUGAAAAPz8APwAAgAAAAAAAPC/AouO5PIfUgFAAgAAAAAAAOC/AAAAABwAAAD8/AD8AAIAAAAAAADwvwJjEFg5tMj0vwIAAAAAAADgPwAAAAAcAAAA/PwA/AACAAAAAAAA8L8CYxBYObTI9D8CAAAAAAAA8L8AAAAAGAAAAPz8APwAAgAAAAAAAPC/Aqw+V1uxPwjAAgAAAAAAAOA/AAAAACAAAAD8/AD8AAIAAAAAAADwvwKsPldbsT8IQAIAAAAAAADwvwAAAAAgAAAA/PwA/AACAAAAAAAA8L8Ci47k8h9SAUACAAAAAAAA4D8AAAAAGAAAAPz8APwAAgAAAAAAAPC/AouO5PIfUgHAAQAAAAAgAAAA/PwA/AACAAAAAAAA8L8CrD5XW7E/CMACAAAAAAAA4L8AAAAAGAAAAPz8APwAAgAAAAAAAPC/AszuycNCLQ9AAgAAAAAAAOC/AAAAABgAAAD8/AD8AAIAAAAAAADwvwKDwMqhRbbbPwIAAAAAAADgPwAAAAAYAAAA/PwA/AACAAAAAAAA8L8Cg8DKoUW2278CAAAAAAAA8L8AAAAAGAAAAPz8APwAAgAAAAAAAPC/AoPAyqFFtts/AgAAAAAAAOC/AAAAABgAAAD8/AD8AAIAAAAAAADwvwJjEFg5tMj0vwIAAAAAAADgvwAAAAAYAAAA/PwA/AACAAAAAAAA8L8Cg8DKoUW2278BAAAAACAAAAD8/AD8AAIAAAAAAADwvwLM7snDQi0PwAEAAAAAGAAAAPz8APwAAgAAAAAAAPC/AszuycNCLQtAAgaBlUOLbNc/AAAAABgAAAD8/AD8AAIAAAAAAADwvwJ3Tx4Wag0TQAAAAAAAGAAAAPz8APwAAgAAAAAAAPC/Amb35GGhlhFAAkJg5dAi2/W/AAAAABgAAAD8/AD8AAIAAAAAAADwvwJ3Tx4Wag0TwAIAAAAAAADgPwAAAAAYAAAA/PwA/AACAAAAAAAA8L8Co5I6AU2EFsABAAAAAAEUBDABZQQAAAAAAAAAAAgAAWUEAAAAAAAAAAAMGAFlBAAAAAAAAAAAEAABZQQAAAAAAAAAABQAAWUIAAAAAAAAAAAYBAFlBAAAAAAAAAAAHAwBZQgAAAAAAAAAACAQAWUEAAAAAAAAAAAkLAFlBAAAAAAAAAAAKCwBZQQAAAAAAAAAACwIAWUEAAAAAAAAAAAwKAFlBAAAAAAAAAAANCQBZQQAAAAAAAAAADgMAWUEAAAAAAAAAAA8IAFlBAAAAAAAAAAAARAgAWUEAAAAAAAAAAABESABZQQAAAAAAAAAAAESOAFlBAAAAAAAAAAAARMBEgFlBAAAAAAAAAAABDQBZQQAAAAAAAAAAAAAAAA=</t>
        </r>
      </text>
    </comment>
    <comment ref="A186" authorId="0" shapeId="0" xr:uid="{631A0F84-1731-48A0-8D83-AE13CA190231}">
      <text>
        <r>
          <rPr>
            <sz val="9"/>
            <color indexed="81"/>
            <rFont val="MS P ゴシック"/>
            <family val="3"/>
            <charset val="128"/>
          </rPr>
          <t>Insight iXlW00001C0000186R0585476093S00000370P01088LAocjBAQBF1NjaVRlZ2ljLmRhdGEuTW9sZWN1bGUBbwF/ARJTY2lUZWdpYy5Nb2xlY3VsZQAAAQFkAv5qAQAAAAIAAjggAAAA/PwA/AACAAAAAAAA8L8C8KfGSzeJ3T8CTYQNT6+U+b8AAAAAGAAAAPz8APwAAgAAAAAAAPC/AvhT46WbxO4/AhdIUPwYc+e/AAAAABgAAAD8/AD8AAIAAAAAAADwvwL8qfHSTWL/PwIXSFD8GHPnvwAAAAAYAAAA/PwA/AACAAAAAAAA8L8C/tR46SaxA0ACseHplbIMwT8AAAAAGAAAAPz8APwAAgAAAAAAAPC/Avyp8dJNYv8/AvA4RUdy+e8/AAAAABgAAAD8/AD8AAIAAAAAAADwvwL4U+Olm8TuPwLwOEVHcvnvPwAAAAAcAAAA/PwA/AACAAAAAAAA8L8C8KfGSzeJ3T8CseHplbIMwT8AAAAAGAAAAPz8APwAAgAAAAAAAPC/AgisHFpkO+G/ArHh6ZWyDME/AAAAABgAAAD8/AD8AAIAAAAAAADwvwIEVg4tsp3wvwIXSFD8GHPnvwAAAAAYAAAA/PwA/AACAAAAAAAA8L8CAiuHFtlOAMACF0hQ/Bhz578AAAAAHAAAAPz8APwAAgAAAAAAAPC/AgIrhxbZTgTAArHh6ZWyDME/AAAAABgAAAD8/AD8AAIAAAAAAADwvwICK4cW2U4AwALwOEVHcvnvPwAAAAAYAAAA/PwA/AACAAAAAAAA8L8CBFYOLbKd8L8C8DhFR3L57z8AAAAAAREAAAD8/AD8AAIAAAAAAADwvwJlO99PjRcKQAKrz9VW7C/TvwAAAAA4AAQBZQgAAAAAAAAAAAQIAWUEAAAAAAAAAAAIDAFlBAAAAAAAAAAADBABZQQAAAAAAAAAABAUAWUEAAAAAAAAAAAUGAFlBAAAAAAAAAAAGAQBZQQAAAAAAAAAABgcAWUEAAAAAAAAAAAcIAFlBAAAAAAAAAAAICQBZQQAAAAAAAAAACQoAWUEAAAAAAAAAAAoLAFlBAAAAAAAAAAALDABZQQAAAAAAAAAADAcAWUEAAAAAAAAAAAAAAAA</t>
        </r>
      </text>
    </comment>
    <comment ref="A187" authorId="0" shapeId="0" xr:uid="{9F8B52E5-5BD5-4F35-AB94-99BC93BC83E2}">
      <text>
        <r>
          <rPr>
            <sz val="9"/>
            <color indexed="81"/>
            <rFont val="MS P ゴシック"/>
            <family val="3"/>
            <charset val="128"/>
          </rPr>
          <t>Insight iXlW00001C0000187R0585476093S00000372P01600LAocjBAQBF1NjaVRlZ2ljLmRhdGEuTW9sZWN1bGUBbwF/ARJTY2lUZWdpYy5Nb2xlY3VsZQAAAQFkAv5qAQAAAAIAAgEVGAAAAPz8APwAAgAAAAAAAPC/AgAAAAAAgBJAApm7lpAPevW/AAAAACAAAAD8/AD8AAIAAAAAAADwvwIAAAAAAAANQAKZu5aQD3r1vwAAAAAYAAAA/PwA/AACAAAAAAAA8L8CAAAAAAAACUACXW3F/rJ73r8AAAAAIAAAAPz8APwAAgAAAAAAAPC/AgAAAAAAAA1AAqoT0ETY8Ng/AAAAABgAAAD8/AD8AAIAAAAAAADwvwIAAAAAAAABQAJdbcX+snvevwAAAAAYAAAA/PwA/AACAAAAAAAA8L8CAAAAAAAA+j8CqhPQRNjw2D8AAAAAGAAAAPz8APwAAgAAAAAAAPC/AgAAAAAAAOQ/AqoT0ETY8Ng/AAAAABgAAAD8/AD8AAIAAAAAAADwvwIAAAAAAADAPwJdbcX+snvevwAAAAAYAAAA/PwA/AACAAAAAAAA8L8CAAAAAAAA5D8CmbuWkA969b8AAAAAGAAAAPz8APwAAgAAAAAAAPC/AgAAAAAAAPo/Apm7lpAPevW/AAAAAAEQAAAA/PwA/AACAAAAAAAA8L8CAAAAAAAA7L8CXW3F/rJ73r8AAAAAIAAAAPz8APwAAgAAAAAAAPC/AgAAAAAAAOy/AlJJnYAmwuA/AAAAACAAAAD8/AD8AAIAAAAAAADwvwIAAAAAAADsvwJYW7G/7J73vwAAAAAcAAAA/PwA/AACAAAAAAAA8L8CAAAAAAAA/r8CXW3F/rJ73r8AAAAAGAAAAPz8APwAAgAAAAAAAPC/AgAAAAAAAAPAAqoT0ETY8Ng/AAAAABgAAAD8/AD8AAIAAAAAAADwvwIAAAAAAAALwAKqE9BE2PDYPwAAAAAYAAAA/PwA/AACAAAAAAAA8L8CAAAAAAAAD8ACLGUZ4lgX9D8AAAAAHAAAAPz8APwAAgAAAAAAAPC/AgAAAAAAAAvAArdif9k9+QBAAAAAABgAAAD8/AD8AAIAAAAAAADwvwIAAAAAAAADwAK3Yn/ZPfkAQAAAAAAYAAAA/PwA/AACAAAAAAAA8L8CAAAAAAAA/r8CLGUZ4lgX9D8AAAAAAREAAAD8/AD8AAIAAAAAAADwvwIzMzMzM7MVQAIt1JrmHafUPwAAAAABFQAEAWUEAAAAAAAAAAAECAFlBAAAAAAAAAAACAwBZQgAAAAAAAAAAAgQAWUEAAAAAAAAAAAQFAFlCAwAAAAAAAAAFBgBZQQAAAAAAAAAABgcAWUICAAAAAAAAAAcIAFlBAAAAAAAAAAAICQBZQgIAAAAAAAAACQQAWUEAAAAAAAAAAAcKAFlBAAAAAAAAAAAKCwBZQgAAAAAAAAAACgwAWUIAAAAAAAAAAAoNAFlBAAAAAAAAAAANDgBZQQAAAAAAAAAADg8AWUEAAAAAAAAAAA8ARABZQQAAAAAAAAAAAEQAREBZQQAAAAAAAAAAAERARIBZQQAAAAAAAAAAAESARMBZQQAAAAAAAAAAAETOAFlBAAAAAAAAAAAAAAAAA==</t>
        </r>
      </text>
    </comment>
    <comment ref="A188" authorId="0" shapeId="0" xr:uid="{3534CC77-3C14-4D59-BC67-33DDB467755E}">
      <text>
        <r>
          <rPr>
            <sz val="9"/>
            <color indexed="81"/>
            <rFont val="MS P ゴシック"/>
            <family val="3"/>
            <charset val="128"/>
          </rPr>
          <t>Insight iXlW00001C0000188R0585476093S00000374P01812LAocjBAQBF1NjaVRlZ2ljLmRhdGEuTW9sZWN1bGUBbwF/ARJTY2lUZWdpYy5Nb2xlY3VsZQAAAQFkAv5qAQAAAAIAAgEYARAAAAD8/AD8AAIAAAAAAADwvwL0bFZ9rrb7PwJMyAc9m1XtvwAAAAAYAAAA/PwA/AACAAAAAAAA8L8Cm+Ydp+jIBMACtTf4wmSq4j8AAAAAHAAAAPz8APwAAgAAAAAAAPC/AoPAyqFFtvu/AqW9wRcmU7U/AAAAABwAAAD8/AD8AAIAAAAAAADwvwKDwMqhRbbrPwIm5IOezar2vwAAAAAYAAAA/PwA/AACAAAAAAAA8L8Cm+Ydp+jIBEACl5APejar2r8AAAAAIAAAAPz8APwAAgAAAAAAAPC/AryWkA96tgvAAqW9wRcmU7U/AAAAACAAAAD8/AD8AAIAAAAAAADwvwL0bFZ9rrbzPwJj7lpCPuipvwAAAAAgAAAA/PwA/AACAAAAAAAA8L8CejarPlfbAUACaERpb/CF/L8AAAAAIAAAAPz8APwAAgAAAAAAAPC/ApvmHafoyATAAtsbfGEyVfk/AAAAABgAAAD8/AD8AAIAAAAAAADwvwKDwMqhRbbrvwK1N/jCZKriPwAAAAAYAAAA/PwA/AACAAAAAAAA8L8Cg8DKoUW2+78Cam/whclU7b8AAAAAGAAAAPz8APwAAgAAAAAAAPC/Am6jAbwFUhHAArU3+MJkquI/AAAAABgAAAD8/AD8AAIAAAAAAADwvwACTMgHPZtV7b8AAAAAGAAAAPz8APwAAgAAAAAAAPC/AAKlvcEXJlO1PwAAAAAYAAAA/PwA/AACAAAAAAAA8L8Cg8DKoUW2678CtTf4wmSq9r8AAAAAGAAAAPz8APwAAgAAAAAAAPC/ApvmHafoyARAArU3+MJkquI/AAAAABgAAAD8/AD8AAIAAAAAAADwvwK8lpAPerYLQAJMyAc9m1XtvwAAAAAYAAAA/PwA/AACAAAAAAAA8L8CbqMBvAVSEUACtTf4wmSq4j8AAAAAHAAAAPz8APwAAgAAAAAAAPC/An/7OnDOyBRAAtsbfGEyVfE/AAAAABgAAAD8/AD8AAIAAAAAAADwvwK8lpAPerYLQALbG3xhMlXxPwAAAAAYAAAA/PwA/AACAAAAAAAA8L8CbqMBvAVSEUACl5APejar2r8AAAAAGAAAAPz8APwAAgAAAAAAAPC/Am6jAbwFUhPAAp0Rpb3BF9K/AAAAABgAAAD8/AD8AAIAAAAAAADwvwJ/+zpwzsgUwALbG3xhMlXxPwAAAAAYAAAA/PwA/AACAAAAAAAA8L8C3UYDeAukDsACjSjtDb4w9z8AAAAAARkECAFlBAAAAAAAAAAACCgBZQQAAAAAAAAAAAwAAWUEAAAAAAAAAAAQAAFlBAAAAAAAAAAAFAQBZQQAAAAAAAAAABgAAWUIAAAAAAAAAAAcAAFlCAAAAAAAAAAAIAQBZQgAAAAAAAAAACQ0AWUEAAAAAAAAAAAoOAFlBAAAAAAAAAAALBQBZQQAAAAAAAAAADAMAWUEAAAAAAAAAAA0MAFlBAAAAAAAAAAAODABZQQAAAAAAAAAADwQAWUIDAAAAAAAAAABEBABZQQAAAAAAAAAAAERARQBZQQAAAAAAAAAAAESAREBZQQAAAAAAAAAAAETPAFlBAAAAAAAAAAAARQBEAFlCAgAAAAAAAAAARUsAWUEAAAAAAAAAAABFiwBZQQAAAAAAAAAAAEXLAFlBAAAAAAAAAAAAREBEwFlCAgAAAAAAAAACCQBZQQAAAAAAAAAAAAAAAA=</t>
        </r>
      </text>
    </comment>
    <comment ref="A189" authorId="0" shapeId="0" xr:uid="{6DE5EE91-9A03-403B-9A11-B84B245AFDEC}">
      <text>
        <r>
          <rPr>
            <sz val="9"/>
            <color indexed="81"/>
            <rFont val="MS P ゴシック"/>
            <family val="3"/>
            <charset val="128"/>
          </rPr>
          <t>Insight iXlW00001C0000189R0585476093S00000376P01264LAocjBAQBF1NjaVRlZ2ljLmRhdGEuTW9sZWN1bGUBbwF/ARJTY2lUZWdpYy5Nb2xlY3VsZQAAAQFkAv5qAQAAAAIAAgERHAAAAPz8APwAAgAAAAAAAPC/ApxVn6ut2ApAAgAAAAAAAPC/AAAAABgAAAD8/AD8AAIAAAAAAADwvwJ7pSxDHOsDQAIAAAAAAADgvwAAAAAYAAAA/PwA/AACAAAAAAAA8L8Ce6UsQxzrA0ACAAAAAAAA4D8AAAAAGAAAAPz8APwAAgAAAAAAAPC/ArTqc7UV+/k/AQAAAAAcAAAA/PwA/AACAAAAAAAA8L8C5BQdyeU/6D8CAAAAAAAA4D8AAAAAGAAAAPz8APwAAgAAAAAAAPC/AuQUHcnlP+g/AgAAAAAAAOC/AAAAABgAAAD8/AD8AAIAAAAAAADwvwK06nO1Ffv5PwIAAAAAAADwvwAAAAAYAAAA/PwA/AACAAAAAAAA8L8CDCQofoy5u78BAAAAACAAAAD8/AD8AAIAAAAAAADwvwIMJCh+jLm7vwIAAAAAAAAAQAAAAAAYAAAA/PwA/AACAAAAAAAA8L8CBcWPMXct778CAAAAAAAA4D8AAAAAGAAAAPz8APwAAgAAAAAAAPC/AsRCrWnecf2/AQAAAAAYAAAA/PwA/AACAAAAAAAA8L8Cg1FJnYCmBcACAAAAAAAA4D8AAAAAGAAAAPz8APwAAgAAAAAAAPC/AoNRSZ2ApgXAAgAAAAAAAOC/AAAAABgAAAD8/AD8AAIAAAAAAADwvwLEQq1p3nH9vwIAAAAAAADwvwAAAAABIwAAAPz8APwAAgAAAAAAAPC/AsRCrWnecf2/AgAAAAAAAADAAAAAABgAAAD8/AD8AAIAAAAAAADwvwIFxY8xdy3vvwIAAAAAAADgvwAAAAABEQAAAPz8APwAAgAAAAAAAPC/AgHeAgmKnxBAAAAAAAABEQAEAWUEAAAAAAAAAAAECAFlBAAAAAAAAAAACAwBZQQAAAAAAAAAAAwQAWUEAAAAAAAAAAAQFAFlBAAAAAAAAAAAFBgBZQQAAAAAAAAAABgEAWUEAAAAAAAAAAAQHAFlBAAAAAAAAAAAHCABZQgAAAAAAAAAABwkAWUEAAAAAAAAAAAkKAFlCAwAAAAAAAAAKCwBZQQAAAAAAAAAACwwAWUICAAAAAAAAAAwNAFlBAAAAAAAAAAANDgBZQQAAAAAAAAAADQ8AWUICAAAAAAAAAA8JAFlBAAAAAAAAAAAAAAAAA==</t>
        </r>
      </text>
    </comment>
    <comment ref="A190" authorId="0" shapeId="0" xr:uid="{65FBBAE9-7AA8-46EA-9C16-7FBD0177109F}">
      <text>
        <r>
          <rPr>
            <sz val="9"/>
            <color indexed="81"/>
            <rFont val="MS P ゴシック"/>
            <family val="3"/>
            <charset val="128"/>
          </rPr>
          <t>Insight iXlW00001C0000190R0585476093S00000378P01376LAocjBAQBF1NjaVRlZ2ljLmRhdGEuTW9sZWN1bGUBbwF/ARJTY2lUZWdpYy5Nb2xlY3VsZQAAAQFkAv5qAQAAAAIAAgESGAAAAPz8APwAAgAAAAAAAPC/Ah8Wak3zDgvAAoj029eBc+i/AAAAACAAAAD8/AD8AAIAAAAAAADwvwIfFmpN8w4DwAKI9NvXgXPovwAAAAAYAAAA/PwA/AACAAAAAAAA8L8CPSzUmuYd/r8C2V92Tx4Wuj8AAAAAGAAAAPz8APwAAgAAAAAAAPC/Ah8Wak3zDgPAAn+MuWsJ+e4/AAAAABgAAAD8/AD8AAIAAAAAAADwvwI9LNSa5h3+vwKBJsKGp1f9PwAAAAAYAAAA/PwA/AACAAAAAAAA8L8CXLG/7J487L8CgSbChqdX/T8AAAAAGAAAAPz8APwAAgAAAAAAAPC/Ardif9k9edi/An+MuWsJ+e4/AAAAABgAAAD8/AD8AAIAAAAAAADwvwJ6WKg1zTvsvwLZX3ZPHha6PwAAAAAYAAAA/PwA/AACAAAAAAAA8L8CpU5AE2HD4z8Cf4y5awn57j8AAAAAIAAAAPz8APwAAgAAAAAAAPC/AlMnoImw4fE/AoEmwoanV/0/AAAAABwAAAD8/AD8AAIAAAAAAADwvwJTJ6CJsOHxPwLZX3ZPHha6PwAAAAAYAAAA/PwA/AACAAAAAAAA8L8CqRPQRNjwAEAC2V92Tx4Wuj8AAAAAGAAAAPz8APwAAgAAAAAAAPC/AqkT0ETY8ARAAmpN845TdOi/AAAAABgAAAD8/AD8AAIAAAAAAADwvwKpE9BE2PAAQAL3Bl+YTBX6vwAAAAAcAAAA/PwA/AACAAAAAAAA8L8CqRPQRNjwBEACnDOitDf4A8AAAAAAGAAAAPz8APwAAgAAAAAAAPC/AsTTK2UZ4vE/AvcGX5hMFfq/AAAAABgAAAD8/AD8AAIAAAAAAADwvwKHp1fKMsTjPwKI9NvXgXPovwAAAAABEQAAAPz8APwAAgAAAAAAAPC/AhB6Nqs+VwtAAlHaG3xhMtW/AAAAAAESAAQBZQQAAAAAAAAAAAQIAWUEAAAAAAAAAAAIDAFlBAAAAAAAAAAADBABZQgIAAAAAAAAABAUAWUEAAAAAAAAAAAUGAFlCAgAAAAAAAAAGBwBZQQAAAAAAAAAABwIAWUIDAAAAAAAAAAYIAFlBAAAAAAAAAAAICQBZQgAAAAAAAAAACAoAWUEAAAAAAAAAAAoLAFlBAAAAAAAAAAALDABZQQAAAAAAAAAADA0AWUEAAAAAAAAAAA0OAFlBAAAAAAAAAAANDwBZQQAAAAAAAAAADwBEAFlBAAAAAAAAAAAARAoAWUEAAAAAAAAAAAAAAAA</t>
        </r>
      </text>
    </comment>
    <comment ref="A191" authorId="0" shapeId="0" xr:uid="{4E5DB060-0452-46A5-8AED-744DF1701CFE}">
      <text>
        <r>
          <rPr>
            <sz val="9"/>
            <color indexed="81"/>
            <rFont val="MS P ゴシック"/>
            <family val="3"/>
            <charset val="128"/>
          </rPr>
          <t>Insight iXlW00001C0000191R0585476093S00000380P01448LAocjBAQBF1NjaVRlZ2ljLmRhdGEuTW9sZWN1bGUBbwF/ARJTY2lUZWdpYy5Nb2xlY3VsZQAAAQFkAv5qAQAAAAIAAgETHAAAAPz8APwAAgAAAAAAAPC/Au4NvjCZqg5AAifChqdXyt6/AAAAABgAAAD8/AD8AAIAAAAAAADwvwLtDb4wmaoGQAInwoanV8revwAAAAAYAAAA/PwA/AACAAAAAAAA8L8C7Q2+MJmqAkAC4L4OnDOi2D8AAAAAGAAAAPz8APwAAgAAAAAAAPC/AtsbfGEyVfU/AuC+Dpwzotg/AAAAABwAAAD8/AD8AAIAAAAAAADwvwK1N/jCZKrqPwInwoanV8revwAAAAAYAAAA/PwA/AACAAAAAAAA8L8C2xt8YTJV9T8CyxDHuriN9b8AAAAAGAAAAPz8APwAAgAAAAAAAPC/Au0NvjCZqgJAAssQx7q4jfW/AAAAABgAAAD8/AD8AAIAAAAAAADwvwIuIR/0bFbFvwInwoanV8revwAAAAAgAAAA/PwA/AACAAAAAAAA8L8CTMgHPZtV5b8CyxDHuriN9b8AAAAAGAAAAPz8APwAAgAAAAAAAPC/AkzIBz2bVeW/AuC+Dpwzotg/AAAAABgAAAD8/AD8AAIAAAAAAADwvwIuIR/0bFbFvwL6D+m3rwP0PwAAAAAYAAAA/PwA/AACAAAAAAAA8L8Cam/whclU5b8CHjhnRGnvAEAAAAAAGAAAAPz8APwAAgAAAAAAAPC/ArU3+MJkqvq/Ah44Z0Rp7wBAAAAAABgAAAD8/AD8AAIAAAAAAADwvwLbG3xhMlUBwAL6D+m3rwP0PwAAAAAYAAAA/PwA/AACAAAAAAAA8L8CJuSDns2q+r8C4L4OnDOi2D8AAAAAHAAEAPz8APwAAgAAAAAAAPC/AhPyQc9mVQHAAifChqdXyt6/AAAAACAAAAD8/AD8AAIAAAAAAADwvwIm5IOezar6vwI9vVKWIY71vwAAAAAgAPwA/PwA/AACAAAAAAAA8L8CE/JBz2ZVCcACJ8KGp1fK3r8AAAAAAREAAAD8/AD8AAIAAAAAAADwvwIqOpLLf4gSQALgvg6cM6LYPwAAAAABEwAEAWUEAAAAAAAAAAAECAFlBAAAAAAAAAAACAwBZQQAAAAAAAAAAAwQAWUEAAAAAAAAAAAQFAFlBAAAAAAAAAAAFBgBZQQAAAAAAAAAABgEAWUEAAAAAAAAAAAQHAFlBAAAAAAAAAAAHCABZQgAAAAAAAAAABwkAWUEAAAAAAAAAAAkKAFlCAwAAAAAAAAAKCwBZQQAAAAAAAAAACwwAWUICAAAAAAAAAAwNAFlBAAAAAAAAAAANDgBZQgIAAAAAAAAADgkAWUEAAAAAAAAAAA4PAFlBAAAAAAAAAAAPAEQAWUIAAAAAAAAAAA8AREBZQQAAAAAAAAAAAAAAAA=</t>
        </r>
      </text>
    </comment>
    <comment ref="A192" authorId="0" shapeId="0" xr:uid="{BFEE5B78-B419-4129-A64A-BCBF6D7BB1BC}">
      <text>
        <r>
          <rPr>
            <sz val="9"/>
            <color indexed="81"/>
            <rFont val="MS P ゴシック"/>
            <family val="3"/>
            <charset val="128"/>
          </rPr>
          <t>Insight iXlW00001C0000192R0585476093S00000382P01448LAocjBAQBF1NjaVRlZ2ljLmRhdGEuTW9sZWN1bGUBbwF/ARJTY2lUZWdpYy5Nb2xlY3VsZQAAAQFkAv5qAQAAAAIAAgETHAAAAPz8APwAAgAAAAAAAPC/AszuycNCLQ9AAhfZzvdT4/S/AAAAABgAAAD8/AD8AAIAAAAAAADwvwKsPldbsT8IQAItsp3vp8bpvwAAAAAYAAAA/PwA/AACAAAAAAAA8L8CrD5XW7E/CEACxNMrZRniyD8AAAAAGAAAAPz8APwAAgAAAAAAAPC/AlK4HoXrUQFAAvH0SlmGOOY/AAAAABwAAAD8/AD8AAIAAAAAAADwvwJjEFg5tMj0PwJMN4lBYOXIPwAAAAAYAAAA/PwA/AACAAAAAAAA8L8CYxBYObTI9D8CLbKd76fG6b8AAAAAGAAAAPz8APwAAgAAAAAAAPC/AouO5PIfUgFAAhfZzvdT4/S/AAAAABgAAAD8/AD8AAIAAAAAAADwvwKDwMqhRbbbPwLTTWIQWDnmPwAAAAAgAAAA/PwA/AACAAAAAAAA8L8Cg8DKoUW22z8C6iYxCKwc+z8AAAAAGAAAAPz8APwAAgAAAAAAAPC/AoPAyqFFttu/Akw3iUFg5cg/AAAAABgAAAD8/AD8AAIAAAAAAADwvwKDwMqhRbbbvwItsp3vp8bpvwAAAAAYAAAA/PwA/AACAAAAAAAA8L8CYxBYObTI9L8CiIVa07zj9L8AAAAAGAAAAPz8APwAAgAAAAAAAPC/AlK4HoXrUQHAAhALtaZ5x+m/AAAAABgAAAD8/AD8AAIAAAAAAADwvwJSuB6F61EBwALE0ytlGeLIPwAAAAAYAAAA/PwA/AACAAAAAAAA8L8CYxBYObTI9L8C8fRKWYY45j8AAAAAHAAEAPz8APwAAgAAAAAAAPC/Aqw+V1uxPwjAAvH0SlmGOOY/AAAAACAAAAD8/AD8AAIAAAAAAADwvwLM7snDQi0PwALE0ytlGeLIPwAAAAAgAPwA/PwA/AACAAAAAAAA8L8CrD5XW7E/CMACeXqlLEMc+z8AAAAAAREAAAD8/AD8AAIAAAAAAADwvwKZKhiV1MkSQALE0ytlGeLIPwAAAAABEwAEAWUEAAAAAAAAAAAECAFlBAAAAAAAAAAACAwBZQQAAAAAAAAAAAwQAWUEAAAAAAAAAAAQFAFlBAAAAAAAAAAAFBgBZQQAAAAAAAAAABgEAWUEAAAAAAAAAAAQHAFlBAAAAAAAAAAAHCABZQgAAAAAAAAAABwkAWUEAAAAAAAAAAAkKAFlBAAAAAAAAAAAKCwBZQgIAAAAAAAAACwwAWUEAAAAAAAAAAAwNAFlCAgAAAAAAAAANDgBZQQAAAAAAAAAADgkAWUIDAAAAAAAAAA0PAFlBAAAAAAAAAAAPAEQAWUIAAAAAAAAAAA8AREBZQQAAAAAAAAAAAAAAAA=</t>
        </r>
      </text>
    </comment>
    <comment ref="A193" authorId="0" shapeId="0" xr:uid="{3D3CDA82-4A6D-484C-AC5C-E2EBB11F6B69}">
      <text>
        <r>
          <rPr>
            <sz val="9"/>
            <color indexed="81"/>
            <rFont val="MS P ゴシック"/>
            <family val="3"/>
            <charset val="128"/>
          </rPr>
          <t>Insight iXlW00001C0000193R0585476093S00000384P01524LAocjBAQBF1NjaVRlZ2ljLmRhdGEuTW9sZWN1bGUBbwF/ARJTY2lUZWdpYy5Nb2xlY3VsZQAAAQFkAv5qAQAAAAIAAgEUGAAAAPz8APwAAgAAAAAAAPC/AsWPMXctoQ7AAiqpE9BE2OA/AAAAACAAAAD8/AD8AAIAAAAAAADwvwKl374OnLMHwAIkKH6MuWvwPwAAAAAYAAAA/PwA/AACAAAAAAAA8L8ChC9MpgrGAMACSFD8GHPX4D8AAAAAIAAAAPz8APwAAgAAAAAAAPC/AoQvTKYKxgDAAnBfB84ZUd6/AAAAABgAAAD8/AD8AAIAAAAAAADwvwJVUiegibDzvwIkKH6MuWvwPwAAAAAYAAAA/PwA/AACAAAAAAAA8L8CVVInoImw878CEhQ/xtw1AEAAAAAAGAAAAPz8APwAAgAAAAAAAPC/AkzIBz2bVde/AhIUP8bcNQRAAAAAABgAAAD8/AD8AAIAAAAAAADwvwJe3EYDeAvgPwISFD/G3DUAQAAAAAAYAAAA/PwA/AACAAAAAAAA8L8CXtxGA3gL4D8CJCh+jLlr8D8AAAAAGAAAAPz8APwAAgAAAAAAAPC/AkzIBz2bVde/AkhQ/Bhz1+A/AAAAABgAAAD8/AD8AAIAAAAAAADwvwJxzojS3uD1PwJIUPwYc9fgPwAAAAAgAAAA/PwA/AACAAAAAAAA8L8CWRe30QDeAUACJCh+jLlr8D8AAAAAHAAAAPz8APwAAgAAAAAAAPC/AnHOiNLe4PU/AnBfB84ZUd6/AAAAABgAAAD8/AD8AAIAAAAAAADwvwJZF7fRAN4BQAK4rwPnjCjvvwAAAAAYAAAA/PwA/AACAAAAAAAA8L8CWRe30QDeAUAC3NeBc0aU/78AAAAAGAAAAPz8APwAAgAAAAAAAPC/AnHOiNLe4PU/Au7rwDkjygPAAAAAABwAAAD8/AD8AAIAAAAAAADwvwJxzojS3uD1PwLu68A5I8oLwAAAAAAYAAAA/PwA/AACAAAAAAAA8L8CXtxGA3gL4D8C3NeBc0aU/78AAAAAGAAAAPz8APwAAgAAAAAAAPC/Al7cRgN4C+A/ArivA+eMKO+/AAAAAAERAAAA/PwA/AACAAAAAAAA8L8CwH0dOGdECEACcF8HzhlR3r8AAAAAARQABAFlBAAAAAAAAAAABAgBZQQAAAAAAAAAAAgMAWUIAAAAAAAAAAAIEAFlBAAAAAAAAAAAEBQBZQQAAAAAAAAAABQYAWUICAAAAAAAAAAYHAFlBAAAAAAAAAAAHCABZQgIAAAAAAAAACAkAWUEAAAAAAAAAAAkEAFlCAwAAAAAAAAAICgBZQQAAAAAAAAAACgsAWUIAAAAAAAAAAAoMAFlBAAAAAAAAAAAMDQBZQQAAAAAAAAAADQ4AWUEAAAAAAAAAAA4PAFlBAAAAAAAAAAAPAEQAWUEAAAAAAAAAAA8AREBZQQAAAAAAAAAAAERARIBZQQAAAAAAAAAAAESMAFlBAAAAAAAAAAAAAAAAA==</t>
        </r>
      </text>
    </comment>
    <comment ref="A194" authorId="0" shapeId="0" xr:uid="{8C27DA3D-AE97-4853-AC16-67AB557F3EA8}">
      <text>
        <r>
          <rPr>
            <sz val="9"/>
            <color indexed="81"/>
            <rFont val="MS P ゴシック"/>
            <family val="3"/>
            <charset val="128"/>
          </rPr>
          <t>Insight iXlW00001C0000194R0585476093S00000386P01592LAocjBAQBF1NjaVRlZ2ljLmRhdGEuTW9sZWN1bGUBbwF/ARJTY2lUZWdpYy5Nb2xlY3VsZQAAAQFkAv5qAQAAAAIAAgEVGAAAAPz8APwAAgAAAAAAAPC/AjBMpgpGJQJAAs+I0t7gC+O/AAAAABgAAAD8/AD8AAIAAAAAAADwvwIGgZVDi2wHwAJj7lpCPujZPwAAAAAcAAAA/PwA/AACAAAAAAAA8L8CGJXUCWgi878CY+5aQj7o2T8AAAAAHAAAAPz8APwAAgAAAAAAAPC/Aq2L22gAb/Y/AmdEaW/whfG/AAAAABgAAAD8/AD8AAIAAAAAAADwvwLm0CLb+X4AwAIydy0hH/TsPwAAAAAYAAAA/PwA/AACAAAAAAAA8L8CJzEIrBxaDsACMnctIR/07D8AAAAAIAAAAPz8APwAAgAAAAAAAPC/AlH8GHPXEglAAmdEaW/whfG/AAAAACAAAAD8/AD8AAIAAAAAAADwvwIwTKYKRiUCQAJj7lpCPujZPwAAAAAgAAAA/PwA/AACAAAAAAAA8L8CBoGVQ4tsB8ACz4jS3uAL478AAAAAGAAAAPz8APwAAgAAAAAAAPC/AjnWxW00ABBAAs+I0t7gC+O/AAAAABgAAAD8/AD8AAIAAAAAAADwvwLWVuwvuyfhPwKfPCzUmubZPwAAAAAYAAAA/PwA/AACAAAAAAAA8L8CW9O84xQd1b8CZ0Rpb/CF8b8AAAAAGAAAAPz8APwAAgAAAAAAAPC/AtZW7C+7J+E/As+I0t7gC+O/AAAAABgAAAD8/AD8AAIAAAAAAADwvwIYldQJaCLzvwLPiNLe4AvjvwAAAAAYAAAA/PwA/AACAAAAAAAA8L8CW9O84xQd1b8CUB4Wak3z7D8AAAAAGAAAAPz8APwAAgAAAAAAAPC/ApQYBFYOLRHAAsfctYR80KM/AAAAABgAAAD8/AD8AAIAAAAAAADwvwKkcD0K16MSwAKZu5aQD3r2PwAAAAAYAAAA/PwA/AACAAAAAAAA8L8CJzEIrBxaCsAC2xt8YTJV/D8AAAAAGAAAAPz8APwAAgAAAAAAAPC/AnGsi9toAAxAAmpv8IXJVNE/AAAAABgAAAD8/AD8AAIAAAAAAADwvwJJLv8h/XYTQAJ0RpT2Bl+4vwAAAAAYAAAA/PwA/AACAAAAAAAA8L8COdbFbTQAEkACGlHaG3xh978AAAAAARUEEAFlBAAAAAAAAAAACDQBZQQAAAAAAAAAAAwAAWUEAAAAAAAAAAAQCAFlBAAAAAAAAAAAFAQBZQQAAAAAAAAAABgAAWUEAAAAAAAAAAAcAAFlCAAAAAAAAAAAIAQBZQgAAAAAAAAAACQYAWUEAAAAAAAAAAAoMAFlBAAAAAAAAAAALDABZQQAAAAAAAAAADAMAWUEAAAAAAAAAAA0LAFlBAAAAAAAAAAAOCgBZQQAAAAAAAAAADwUAWUEAAAAAAAAAAABEBQBZQQAAAAAAAAAAAERFAFlBAAAAAAAAAAAARIkAWUEAAAAAAAAAAABEyQBZQQAAAAAAAAAAAEUJAFlBAAAAAAAAAAACDgBZQQAAAAAAAAAAAAAAAA=</t>
        </r>
      </text>
    </comment>
    <comment ref="A195" authorId="0" shapeId="0" xr:uid="{1B3DBC78-7198-4415-866E-A5AC180A604A}">
      <text>
        <r>
          <rPr>
            <sz val="9"/>
            <color indexed="81"/>
            <rFont val="MS P ゴシック"/>
            <family val="3"/>
            <charset val="128"/>
          </rPr>
          <t>Insight iXlW00001C0000195R0585476093S00000388P01200LAocjBAQBF1NjaVRlZ2ljLmRhdGEuTW9sZWN1bGUBbwF/ARJTY2lUZWdpYy5Nb2xlY3VsZQAAAQFkAv5qAQAAAAIAAgEQGAAAAPz8APwAAgAAAAAAAPC/Ano2qz5X2wDAAiGwcmiR7fa/AAAAABgAAAD8/AD8AAIAAAAAAADwvwJ6Nqs+V9sAwAKDwMqhRbbbvwAAAAAYAAAA/PwA/AACAAAAAAAA8L8CejarPlfbCMACg8DKoUW2278AAAAAGAAAAPz8APwAAgAAAAAAAPC/Ano2qz5X2wDAAr+fGi/dJOI/AAAAABgAAAD8/AD8AAIAAAAAAADwvwL0bFZ9rrbxvwKDwMqhRbbbvwAAAAAgAAAA/PwA/AACAAAAAAAA8L8C6dms+lxt478CYxBYObTI9L8AAAAAGAAAAPz8APwAAgAAAAAAAPC/AunZrPpcbeO/AoPAyqFFtts/AAAAABwAAAD8/AD8AAIAAAAAAADwvwIwTKYKRiXZPwKDwMqhRbbbPwAAAAAYAAAA/PwA/AACAAAAAAAA8L8CGCZTBaOS7D8CYxBYObTI9D8AAAAAGAAAAPz8APwAAgAAAAAAAPC/AgyTqYJRSf4/AmMQWDm0yPQ/AAAAABgAAAD8/AD8AAIAAAAAAADwvwKGyVTBqCQDQAKDwMqhRbbbPwAAAAAcAAAA/PwA/AACAAAAAAAA8L8ChslUwagkC0ACg8DKoUW22z8AAAAAGAAAAPz8APwAAgAAAAAAAPC/AgyTqYJRSf4/AoPAyqFFttu/AAAAABgAAAD8/AD8AAIAAAAAAADwvwIYJlMFo5LsPwKDwMqhRbbbvwAAAAABEQAAAPz8APwAAgAAAAAAAPC/AvaX3ZOHxRBAAjBMpgpGJbW/AAAAAAERAAAA/PwA/AACAAAAAAAA8L8ChQ1Pr5TlFEACcF8HzhlRqr8AAAAAOAAEAWUEAAAAAAAAAAAECAFlBAAAAAAAAAAABAwBZQQAAAAAAAAAAAQQAWUEAAAAAAAAAAAQFAFlCAAAAAAAAAAAEBgBZQQAAAAAAAAAABgcAWUEAAAAAAAAAAAcIAFlBAAAAAAAAAAAICQBZQQAAAAAAAAAACQoAWUEAAAAAAAAAAAoLAFlBAAAAAAAAAAAKDABZQQAAAAAAAAAADA0AWUEAAAAAAAAAAA0HAFlBAAAAAAAAAAAAAAAAA==</t>
        </r>
      </text>
    </comment>
    <comment ref="A196" authorId="0" shapeId="0" xr:uid="{25A4906E-14F1-4987-99D8-A79E77531495}">
      <text>
        <r>
          <rPr>
            <sz val="9"/>
            <color indexed="81"/>
            <rFont val="MS P ゴシック"/>
            <family val="3"/>
            <charset val="128"/>
          </rPr>
          <t>Insight iXlW00001C0000196R0585476093S00000390P01000LAocjBAQBF1NjaVRlZ2ljLmRhdGEuTW9sZWN1bGUBbwF/ARJTY2lUZWdpYy5Nb2xlY3VsZQAAAQFkAv5qAQAAAAIAAjQYAAAA/PwA/AACAAAAAAAA8L8C7Q2+MJmqB8ACc2iR7Xw/+L8AAAAAGAAAAPz8APwAAgAAAAAAAPC/Au0NvjCZqgPAAmMQWDm0yOS/AAAAABwAAAD8/AD8AAIAAAAAAADwvwLbG3xhMlX3vwJjEFg5tMjkvwAAAAAYAAAA/PwA/AACAAAAAAAA8L8CtTf4wmSq7r8Cg8DKoUW2yz8AAAAAIAAAAPz8APwAAgAAAAAAAPC/AtsbfGEyVfe/AlK4HoXrUfE/AAAAABwAAAD8/AD8AAIAAAAAAADwvwK2hHzQs1mlPwKDwMqhRbbLPwAAAAAYAAAA/PwA/AACAAAAAAAA8L8CTMgHPZtV4T8CUrgehetR8T8AAAAAGAAAAPz8APwAAgAAAAAAAPC/Aibkg57Nqvg/AlK4HoXrUfE/AAAAABgAAAD8/AD8AAIAAAAAAADwvwIT8kHPZlUAQAKDwMqhRbbLPwAAAAAcAAAA/PwA/AACAAAAAAAA8L8CE/JBz2ZVCEACg8DKoUW2yz8AAAAAGAAAAPz8APwAAgAAAAAAAPC/Aibkg57Nqvg/AmMQWDm0yOS/AAAAABgAAAD8/AD8AAIAAAAAAADwvwJMyAc9m1XhPwJjEFg5tMjkvwAAAAABEQAAAPz8APwAAgAAAAAAAPC/AnpYqDXNuw5AAoPAyqFFtsu/AAAAADAABAFlBAAAAAAAAAAABAgBZQQAAAAAAAAAAAgMAWUEAAAAAAAAAAAMEAFlCAAAAAAAAAAADBQBZQQAAAAAAAAAABQYAWUEAAAAAAAAAAAYHAFlBAAAAAAAAAAAHCABZQQAAAAAAAAAACAkAWUEAAAAAAAAAAAgKAFlBAAAAAAAAAAAKCwBZQQAAAAAAAAAACwUAWUEAAAAAAAAAAAAAAAA</t>
        </r>
      </text>
    </comment>
    <comment ref="A197" authorId="0" shapeId="0" xr:uid="{B36BBA7A-7C2F-4C73-9C21-3802DDEF5631}">
      <text>
        <r>
          <rPr>
            <sz val="9"/>
            <color indexed="81"/>
            <rFont val="MS P ゴシック"/>
            <family val="3"/>
            <charset val="128"/>
          </rPr>
          <t>Insight iXlW00001C0000197R0585476093S00000392P01072LAocjBAQBF1NjaVRlZ2ljLmRhdGEuTW9sZWN1bGUBbwF/ARJTY2lUZWdpYy5Nb2xlY3VsZQAAAQFkAv5qAQAAAAIAAjgYAAAA/PwA/AACAAAAAAAA8L8CnFWfq63YBcACMuauJeSD+L8AAAAAGAAAAPz8APwAAgAAAAAAAPC/AptVn6ut2AHAAuELk6mCUeW/AAAAABgAAAD8/AD8AAIAAAAAAADwvwKcVZ+rrdgFwAKJ0t7gC5PJPwAAAAAcAAAA/PwA/AACAAAAAAAA8L8CN6s+V1ux878C4QuTqYJR5b8AAAAAGAAAAPz8APwAAgAAAAAAAPC/Am1Wfa62Yue/AhI2PL1Slsk/AAAAACAAAAD8/AD8AAIAAAAAAADwvwI3qz5XW7HzvwIE54wo7Q3xPwAAAAAcAAAA/PwA/AACAAAAAAAA8L8CJlMFo5I60T8CEjY8vVKWyT8AAAAAGAAAAPz8APwAAgAAAAAAAPC/ApOpglFJneg/AgTnjCjtDfE/AAAAABgAAAD8/AD8AAIAAAAAAADwvwLKVMGopE78PwIE54wo7Q3xPwAAAAAYAAAA/PwA/AACAAAAAAAA8L8CZapgVFInAkACEjY8vVKWyT8AAAAAHAAAAPz8APwAAgAAAAAAAPC/AmWqYFRSJwpAAhI2PL1Slsk/AAAAABgAAAD8/AD8AAIAAAAAAADwvwLKVMGopE78PwL/snvysFDlvwAAAAAYAAAA/PwA/AACAAAAAAAA8L8Ck6mCUUmd6D8C/7J78rBQ5b8AAAAAAREAAAD8/AD8AAIAAAAAAADwvwJmiGNd3EYQQAJ+rrZif9nNvwAAAAA0AAQBZQQAAAAAAAAAAAQIAWUEAAAAAAAAAAAEDAFlBAAAAAAAAAAADBABZQQAAAAAAAAAABAUAWUIAAAAAAAAAAAQGAFlBAAAAAAAAAAAGBwBZQQAAAAAAAAAABwgAWUEAAAAAAAAAAAgJAFlBAAAAAAAAAAAJCgBZQQAAAAAAAAAACQsAWUEAAAAAAAAAAAsMAFlBAAAAAAAAAAAMBgBZQQAAAAAAAAAAAAAAAA=</t>
        </r>
      </text>
    </comment>
    <comment ref="A198" authorId="0" shapeId="0" xr:uid="{0A8033B0-A25F-40B9-8116-C5192B19622C}">
      <text>
        <r>
          <rPr>
            <sz val="9"/>
            <color indexed="81"/>
            <rFont val="MS P ゴシック"/>
            <family val="3"/>
            <charset val="128"/>
          </rPr>
          <t>Insight iXlW00001C0000198R0585476093S00000394P01756LAocjBAQBF1NjaVRlZ2ljLmRhdGEuTW9sZWN1bGUBbwF/ARJTY2lUZWdpYy5Nb2xlY3VsZQAAAQFkAv5qAQAAAAIAAgEXGAAAAPz8APwAAgAAAAAAAPC/AuSlm8QgsAVAAk9AE2HD09u/AAAAABgAAAD8/AD8AAIAAAAAAADwvwIaUdobfOEDwALZX3ZPHhbiPwAAAAAcAAAA/PwA/AACAAAAAAAA8L8CYcPTK2UZ6L8C2V92Tx4W4j8AAAAAGAAAAPz8APwAAgAAAAAAAPC/AjsBTYQNzwrAAu0vuycPC/E/AAAAABwAAAD8/AD8AAIAAAAAAADwvwKG61G4HoX9PwIooImw4entvwAAAAAYAAAA/PwA/AACAAAAAAAA8L8Crthfdk/eEMAC2V92Tx4W4j8AAAAAGAAAAPz8APwAAgAAAAAAAPC/AvJBz2bV5/m/Au0vuycPC/E/AAAAACAAAAD8/AD8AAIAAAAAAADwvwI9LNSa5p0MQAIooImw4entvwAAAAAgAAAA/PwA/AACAAAAAAAA8L8C5KWbxCCwBUAC2V92Tx4W4j8AAAAAGAAAAPz8APwAAgAAAAAAAPC/AhpR2ht84QPAAk9AE2HD09u/AAAAABgAAAD8/AD8AAIAAAAAAADwvwIvbqMBvMURQAJPQBNhw9PbvwAAAAAYAAAA/PwA/AACAAAAAAAA8L8Crthfdk/eEMACT0ATYcPT278AAAAAGAAAAPz8APwAAgAAAAAAAPC/AogW2c73U+8/Atlfdk8eFuI/AAAAABgAAAD8/AD8AAIAAAAAAADwvwIhsHJoke28PwIooImw4entvwAAAAAYAAAA/PwA/AACAAAAAAAA8L8CiBbZzvdT7z8CT0ATYcPT278AAAAAGAAAAPz8APwAAgAAAAAAAPC/AhDpt68D57w/Au0vuycPC/E/AAAAABgAAAD8/AD8AAIAAAAAAADwvwJhw9MrZRnovwJPQBNhw9PbvwAAAAAkAAAA/PwA/AACAAAAAAAA8L8COwFNhA3PCsAC9pfdk4eFAEAAAAAAGAAAAPz8APwAAgAAAAAAAPC/AjsBTYQNzwrAAiigibDh6e2/AAAAACQAAAD8/AD8AAIAAAAAAADwvwK+MJkqGFUUwAIooImw4entvwAAAAAYAAAA/PwA/AACAAAAAAAA8L8CXtxGA3iLD0ACuECC4seY2z8AAAAAGAAAAPz8APwAAgAAAAAAAPC/Aj/G3LWEPBVAAsb+snvysLA/AAAAABgAAAD8/AD8AAIAAAAAAADwvwIvbqMBvMUTQAJVMCqpE9D0vwAAAAABGAQYAWUEAAAAAAAAAAAIARABZQQAAAAAAAAAAAwEAWUIDAAAAAAAAAAQAAFlBAAAAAAAAAAAFAwBZQQAAAAAAAAAABgIAWUEAAAAAAAAAAAcAAFlBAAAAAAAAAAAIAABZQgAAAAAAAAAACQEAWUEAAAAAAAAAAAoHAFlBAAAAAAAAAAALAESAWUEAAAAAAAAAAAwOAFlBAAAAAAAAAAANDgBZQQAAAAAAAAAADgQAWUEAAAAAAAAAAA8MAFlBAAAAAAAAAAAARA0AWUEAAAAAAAAAAABEQwBZQQAAAAAAAAAAAESJAFlCAgAAAAAAAAAARMsAWUEAAAAAAAAAAABFCgBZQQAAAAAAAAAAAEVKAFlBAAAAAAAAAAAARYoAWUEAAAAAAAAAAAIPAFlBAAAAAAAAAAALBQBZQgIAAAAAAAAAAAAAAA=</t>
        </r>
      </text>
    </comment>
    <comment ref="A199" authorId="0" shapeId="0" xr:uid="{2C14D252-37CD-406E-8E7A-7C4B3943F9D0}">
      <text>
        <r>
          <rPr>
            <sz val="9"/>
            <color indexed="81"/>
            <rFont val="MS P ゴシック"/>
            <family val="3"/>
            <charset val="128"/>
          </rPr>
          <t>Insight iXlW00001C0000199R0585476093S00000396P01756LAocjBAQBF1NjaVRlZ2ljLmRhdGEuTW9sZWN1bGUBbwF/ARJTY2lUZWdpYy5Nb2xlY3VsZQAAAQFkAv5qAQAAAAIAAgEXGAAAAPz8APwAAgAAAAAAAPC/AuSlm8QgsAVAAk9AE2HD09u/AAAAABgAAAD8/AD8AAIAAAAAAADwvwIaUdobfOEDwALZX3ZPHhbiPwAAAAAcAAAA/PwA/AACAAAAAAAA8L8CYcPTK2UZ6L8C2V92Tx4W4j8AAAAAGAAAAPz8APwAAgAAAAAAAPC/AjsBTYQNzwrAAu0vuycPC/E/AAAAABwAAAD8/AD8AAIAAAAAAADwvwKG61G4HoX9PwIooImw4entvwAAAAAYAAAA/PwA/AACAAAAAAAA8L8Crthfdk/eEMAC2V92Tx4W4j8AAAAAGAAAAPz8APwAAgAAAAAAAPC/AvJBz2bV5/m/Au0vuycPC/E/AAAAACAAAAD8/AD8AAIAAAAAAADwvwI9LNSa5p0MQAIooImw4entvwAAAAAgAAAA/PwA/AACAAAAAAAA8L8C5KWbxCCwBUAC2V92Tx4W4j8AAAAAGAAAAPz8APwAAgAAAAAAAPC/AhpR2ht84QPAAk9AE2HD09u/AAAAABgAAAD8/AD8AAIAAAAAAADwvwIvbqMBvMURQAJPQBNhw9PbvwAAAAAYAAAA/PwA/AACAAAAAAAA8L8Crthfdk/eEMACT0ATYcPT278AAAAAGAAAAPz8APwAAgAAAAAAAPC/AogW2c73U+8/Atlfdk8eFuI/AAAAABgAAAD8/AD8AAIAAAAAAADwvwIhsHJoke28PwIooImw4entvwAAAAAYAAAA/PwA/AACAAAAAAAA8L8CiBbZzvdT7z8CT0ATYcPT278AAAAAGAAAAPz8APwAAgAAAAAAAPC/AhDpt68D57w/Au0vuycPC/E/AAAAABgAAAD8/AD8AAIAAAAAAADwvwJhw9MrZRnovwJPQBNhw9PbvwAAAAAkAAAA/PwA/AACAAAAAAAA8L8COwFNhA3PCsAC9pfdk4eFAEAAAAAAGAAAAPz8APwAAgAAAAAAAPC/AjsBTYQNzwrAAiigibDh6e2/AAAAAAERAAAA/PwA/AACAAAAAAAA8L8CvjCZKhhVFMACKKCJsOHp7b8AAAAAGAAAAPz8APwAAgAAAAAAAPC/Al7cRgN4iw9AArhAguLHmNs/AAAAABgAAAD8/AD8AAIAAAAAAADwvwI/xty1hDwVQALG/rJ78rCwPwAAAAAYAAAA/PwA/AACAAAAAAAA8L8CL26jAbzFE0ACVTAqqRPQ9L8AAAAAARgEGAFlBAAAAAAAAAAACAEQAWUEAAAAAAAAAAAMBAFlCAwAAAAAAAAAEAABZQQAAAAAAAAAABQMAWUEAAAAAAAAAAAYCAFlBAAAAAAAAAAAHAABZQQAAAAAAAAAACAAAWUIAAAAAAAAAAAkBAFlBAAAAAAAAAAAKBwBZQQAAAAAAAAAACwBEgFlBAAAAAAAAAAAMDgBZQQAAAAAAAAAADQ4AWUEAAAAAAAAAAA4EAFlBAAAAAAAAAAAPDABZQQAAAAAAAAAAAEQNAFlBAAAAAAAAAAAAREMAWUEAAAAAAAAAAABEiQBZQgIAAAAAAAAAAETLAFlBAAAAAAAAAAAARQoAWUEAAAAAAAAAAABFSgBZQQAAAAAAAAAAAEWKAFlBAAAAAAAAAAACDwBZQQAAAAAAAAAACwUAWUICAAAAAAAAAAAAAAA</t>
        </r>
      </text>
    </comment>
    <comment ref="A200" authorId="0" shapeId="0" xr:uid="{6B7C7DEA-0675-48FB-A4B3-849688D1AB3F}">
      <text>
        <r>
          <rPr>
            <sz val="9"/>
            <color indexed="81"/>
            <rFont val="MS P ゴシック"/>
            <family val="3"/>
            <charset val="128"/>
          </rPr>
          <t>Insight iXlW00001C0000200R0585476093S00000398P01756LAocjBAQBF1NjaVRlZ2ljLmRhdGEuTW9sZWN1bGUBbwF/ARJTY2lUZWdpYy5Nb2xlY3VsZQAAAQFkAv5qAQAAAAIAAgEXGAAAAPz8APwAAgAAAAAAAPC/AuSlm8QgsAVAAk9AE2HD09u/AAAAABgAAAD8/AD8AAIAAAAAAADwvwIaUdobfOEDwALZX3ZPHhbiPwAAAAAcAAAA/PwA/AACAAAAAAAA8L8CYcPTK2UZ6L8C2V92Tx4W4j8AAAAAGAAAAPz8APwAAgAAAAAAAPC/AjsBTYQNzwrAAu0vuycPC/E/AAAAABwAAAD8/AD8AAIAAAAAAADwvwKG61G4HoX9PwIooImw4entvwAAAAAYAAAA/PwA/AACAAAAAAAA8L8Crthfdk/eEMAC2V92Tx4W4j8AAAAAGAAAAPz8APwAAgAAAAAAAPC/AvJBz2bV5/m/Au0vuycPC/E/AAAAACAAAAD8/AD8AAIAAAAAAADwvwI9LNSa5p0MQAIooImw4entvwAAAAAgAAAA/PwA/AACAAAAAAAA8L8C5KWbxCCwBUAC2V92Tx4W4j8AAAAAGAAAAPz8APwAAgAAAAAAAPC/AhpR2ht84QPAAk9AE2HD09u/AAAAABgAAAD8/AD8AAIAAAAAAADwvwIvbqMBvMURQAJPQBNhw9PbvwAAAAAYAAAA/PwA/AACAAAAAAAA8L8Crthfdk/eEMACT0ATYcPT278AAAAAGAAAAPz8APwAAgAAAAAAAPC/AogW2c73U+8/Atlfdk8eFuI/AAAAABgAAAD8/AD8AAIAAAAAAADwvwIhsHJoke28PwIooImw4entvwAAAAAYAAAA/PwA/AACAAAAAAAA8L8CiBbZzvdT7z8CT0ATYcPT278AAAAAGAAAAPz8APwAAgAAAAAAAPC/AhDpt68D57w/Au0vuycPC/E/AAAAABgAAAD8/AD8AAIAAAAAAADwvwJhw9MrZRnovwJPQBNhw9PbvwAAAAABEQAAAPz8APwAAgAAAAAAAPC/AjsBTYQNzwrAAvaX3ZOHhQBAAAAAABgAAAD8/AD8AAIAAAAAAADwvwI7AU2EDc8KwAIooImw4entvwAAAAAkAAAA/PwA/AACAAAAAAAA8L8CvjCZKhhVFMACKKCJsOHp7b8AAAAAGAAAAPz8APwAAgAAAAAAAPC/Al7cRgN4iw9AArhAguLHmNs/AAAAABgAAAD8/AD8AAIAAAAAAADwvwI/xty1hDwVQALG/rJ78rCwPwAAAAAYAAAA/PwA/AACAAAAAAAA8L8CL26jAbzFE0ACVTAqqRPQ9L8AAAAAARgEGAFlBAAAAAAAAAAACAEQAWUEAAAAAAAAAAAMBAFlCAwAAAAAAAAAEAABZQQAAAAAAAAAABQMAWUEAAAAAAAAAAAYCAFlBAAAAAAAAAAAHAABZQQAAAAAAAAAACAAAWUIAAAAAAAAAAAkBAFlBAAAAAAAAAAAKBwBZQQAAAAAAAAAACwBEgFlBAAAAAAAAAAAMDgBZQQAAAAAAAAAADQ4AWUEAAAAAAAAAAA4EAFlBAAAAAAAAAAAPDABZQQAAAAAAAAAAAEQNAFlBAAAAAAAAAAAAREMAWUEAAAAAAAAAAABEiQBZQgIAAAAAAAAAAETLAFlBAAAAAAAAAAAARQoAWUEAAAAAAAAAAABFSgBZQQAAAAAAAAAAAEWKAFlBAAAAAAAAAAACDwBZQQAAAAAAAAAACwUAWUICAAAAAAAAAAAAAAA</t>
        </r>
      </text>
    </comment>
    <comment ref="A201" authorId="0" shapeId="0" xr:uid="{AAA5EFA4-1624-4015-A8A4-1B8644538146}">
      <text>
        <r>
          <rPr>
            <sz val="9"/>
            <color indexed="81"/>
            <rFont val="MS P ゴシック"/>
            <family val="3"/>
            <charset val="128"/>
          </rPr>
          <t>Insight iXlW00001C0000201R0585476093S00000400P01360LAocjBAQBF1NjaVRlZ2ljLmRhdGEuTW9sZWN1bGUBbwF/ARJTY2lUZWdpYy5Nb2xlY3VsZQAAAQFkAv5qAQAAAAIAAgESGAAAAPz8APwAAgAAAAAAAPC/ArTqc7UV+/m/AgAAAAAAAP8/AAAAABgAAAD8/AD8AAIAAAAAAADwvwK06nO1Ffv5vwIAAAAAAADuPwAAAAAYAAAA/PwA/AACAAAAAAAA8L8Ce6UsQxzrA8ACAAAAAAAA3D8AAAAAGAAAAPz8APwAAgAAAAAAAPC/AnulLEMc6wPAAgAAAAAAAOK/AAAAACQAAAD8/AD8AAIAAAAAAADwvwKcVZ+rrdgKwAIAAAAAAADxvwAAAAAYAAAA/PwA/AACAAAAAAAA8L8CtOpztRX7+b8CAAAAAAAA8b8AAAAAGAAAAPz8APwAAgAAAAAAAPC/AuQUHcnlP+i/AgAAAAAAAOK/AAAAABgAAAD8/AD8AAIAAAAAAADwvwLkFB3J5T/ovwIAAAAAAADcPwAAAAAYAAAA/PwA/AACAAAAAAAA8L8C+1xtxf6yuz8CAAAAAAAA7j8AAAAAHAAAAPz8APwAAgAAAAAAAPC/AgXFjzF3Le8/AgAAAAAAANw/AAAAABgAAAD8/AD8AAIAAAAAAADwvwLEQq1p3nH9PwIAAAAAAADuPwAAAAAYAAAA/PwA/AACAAAAAAAA8L8Cg1FJnYCmBUACAAAAAAAA3D8AAAAAGAAAAPz8APwAAgAAAAAAAPC/AoNRSZ2ApgVAAgAAAAAAAOK/AAAAABwAAAD8/AD8AAIAAAAAAADwvwKkAbwFEpQMQAIAAAAAAADxvwAAAAAYAAAA/PwA/AACAAAAAAAA8L8CxEKtad5x/T8CAAAAAAAA8b8AAAAAGAAAAPz8APwAAgAAAAAAAPC/AgXFjzF3Le8/AgAAAAAAAOK/AAAAAAERAAAA/PwA/AACAAAAAAAA8L8CBTQRNjx9EUACcayL22gA2z8AAAAAAREAAAD8/AD8AAIAAAAAAADwvwKTqYJRSZ0VQAKPU3Qkl//cPwAAAAABEQAEAWUEAAAAAAAAAAAECAFlCAwAAAAAAAAACAwBZQQAAAAAAAAAAAwQAWUEAAAAAAAAAAAMFAFlCAgAAAAAAAAAFBgBZQQAAAAAAAAAABgcAWUICAAAAAAAAAAcBAFlBAAAAAAAAAAAHCABZQQAAAAAAAAAACAkAWUEAAAAAAAAAAAkKAFlBAAAAAAAAAAAKCwBZQQAAAAAAAAAACwwAWUEAAAAAAAAAAAwNAFlBAAAAAAAAAAAMDgBZQQAAAAAAAAAADg8AWUEAAAAAAAAAAA8JAFlBAAAAAAAAAAAAAAAAA==</t>
        </r>
      </text>
    </comment>
    <comment ref="A202" authorId="0" shapeId="0" xr:uid="{FC020E4E-599F-485E-A811-BBBE58D28BF1}">
      <text>
        <r>
          <rPr>
            <sz val="9"/>
            <color indexed="81"/>
            <rFont val="MS P ゴシック"/>
            <family val="3"/>
            <charset val="128"/>
          </rPr>
          <t>Insight iXlW00001C0000202R0585476093S00000402P01756LAocjBAQBF1NjaVRlZ2ljLmRhdGEuTW9sZWN1bGUBbwF/ARJTY2lUZWdpYy5Nb2xlY3VsZQAAAQFkAv5qAQAAAAIAAgEXGAAAAPz8APwAAgAAAAAAAPC/AifChqdXSgZAAu0vuycPC9m/AAAAABwAAAD8/AD8AAIAAAAAAADwvwJVUiegibDlvwIKaCJseHrjPwAAAAAYAAAA/PwA/AACAAAAAAAA8L8CjErqBDSREMACCmgibHh64z8AAAAAHAAAAPz8APwAAgAAAAAAAPC/AgwkKH6Muf4/AveX3ZOHhey/AAAAACAAAAD8/AD8AAIAAAAAAADwvwKASL99HTgNQAL3l92Th4XsvwAAAAAYAAAA/PwA/AACAAAAAAAA8L8CjErqBDSREMAC7S+7Jw8L2b8AAAAAIAAAAPz8APwAAgAAAAAAAPC/AifChqdXSgZAAgpoImx4euM/AAAAABgAAAD8/AD8AAIAAAAAAADwvwL45GGh1jQKwAIFNBE2PL3xPwAAAAAYAAAA/PwA/AACAAAAAAAA8L8C1zTvOEVHA8ACCmgibHh64z8AAAAAGAAAAPz8APwAAgAAAAAAAPC/AmwJ+aBns/i/AgU0ETY8vfE/AAAAABgAAAD8/AD8AAIAAAAAAADwvwJR/Bhz1xISQALtL7snDwvZvwAAAAAYAAAA/PwA/AACAAAAAAAA8L8C+ORhodY0CsAC95fdk4eF7L8AAAAAGAAAAPz8APwAAgAAAAAAAPC/AsrDQq1p3vA/AgpoImx4euM/AAAAABgAAAD8/AD8AAIAAAAAAADwvwJDHOviNhrIPwL3l92Th4XsvwAAAAAYAAAA/PwA/AACAAAAAAAA8L8CysNCrWne8D8C7S+7Jw8L2b8AAAAAGAAAAPz8APwAAgAAAAAAAPC/Aru4jQbwFsg/AgU0ETY8vfE/AAAAABgAAAD8/AD8AAIAAAAAAADwvwJVUiegibDlvwLtL7snDwvZvwAAAAAkAAAA/PwA/AACAAAAAAAA8L8CuY0G8BYIFMACBTQRNjy98T8AAAAAGAAAAPz8APwAAgAAAAAAAPC/Atc07zhFRwPAAu0vuycPC9m/AAAAACQAAAD8/AD8AAIAAAAAAADwvwKdoiO5/AcUwAL3l92Th4XsvwAAAAAYAAAA/PwA/AACAAAAAAAA8L8CUPwYc9cSEEACGlHaG3xh3j8AAAAAGAAAAPz8APwAAgAAAAAAAPC/AmFUUiegiRVAAk9AE2HD07s/AAAAABgAAAD8/AD8AAIAAAAAAADwvwJR/Bhz1xIUQAI9LNSa5h30vwAAAAABGAQBEAFlBAAAAAAAAAAACBwBZQQAAAAAAAAAAAwAAWUEAAAAAAAAAAAQAAFlBAAAAAAAAAAAFCwBZQQAAAAAAAAAABgAAWUIAAAAAAAAAAAcIAFlCAwAAAAAAAAAICQBZQQAAAAAAAAAACQEAWUEAAAAAAAAAAAoEAFlBAAAAAAAAAAALAESAWUICAAAAAAAAAAwOAFlBAAAAAAAAAAANDgBZQQAAAAAAAAAADgMAWUEAAAAAAAAAAA8MAFlBAAAAAAAAAAAARA0AWUEAAAAAAAAAAABEQgBZQQAAAAAAAAAAAESIAFlBAAAAAAAAAAAARMUAWUEAAAAAAAAAAABFCgBZQQAAAAAAAAAAAEVKAFlBAAAAAAAAAAAARYoAWUEAAAAAAAAAAAEPAFlBAAAAAAAAAAAFAgBZQgIAAAAAAAAAAAAAAA=</t>
        </r>
      </text>
    </comment>
    <comment ref="A203" authorId="0" shapeId="0" xr:uid="{263B9EDB-33D7-40A2-8F21-ABFFCACF64CB}">
      <text>
        <r>
          <rPr>
            <sz val="9"/>
            <color indexed="81"/>
            <rFont val="MS P ゴシック"/>
            <family val="3"/>
            <charset val="128"/>
          </rPr>
          <t>Insight iXlW00001C0000203R0585476093S00000404P01756LAocjBAQBF1NjaVRlZ2ljLmRhdGEuTW9sZWN1bGUBbwF/ARJTY2lUZWdpYy5Nb2xlY3VsZQAAAQFkAv5qAQAAAAIAAgEXGAAAAPz8APwAAgAAAAAAAPC/AifChqdXSgZAAu0vuycPC9m/AAAAABwAAAD8/AD8AAIAAAAAAADwvwJVUiegibDlvwIKaCJseHrjPwAAAAAYAAAA/PwA/AACAAAAAAAA8L8CjErqBDSREMACCmgibHh64z8AAAAAHAAAAPz8APwAAgAAAAAAAPC/AgwkKH6Muf4/AveX3ZOHhey/AAAAACAAAAD8/AD8AAIAAAAAAADwvwKASL99HTgNQAL3l92Th4XsvwAAAAAYAAAA/PwA/AACAAAAAAAA8L8CjErqBDSREMAC7S+7Jw8L2b8AAAAAIAAAAPz8APwAAgAAAAAAAPC/AifChqdXSgZAAgpoImx4euM/AAAAABgAAAD8/AD8AAIAAAAAAADwvwL45GGh1jQKwAIFNBE2PL3xPwAAAAAYAAAA/PwA/AACAAAAAAAA8L8C1zTvOEVHA8ACCmgibHh64z8AAAAAGAAAAPz8APwAAgAAAAAAAPC/AmwJ+aBns/i/AgU0ETY8vfE/AAAAABgAAAD8/AD8AAIAAAAAAADwvwJR/Bhz1xISQALtL7snDwvZvwAAAAAYAAAA/PwA/AACAAAAAAAA8L8C+ORhodY0CsAC95fdk4eF7L8AAAAAGAAAAPz8APwAAgAAAAAAAPC/AsrDQq1p3vA/AgpoImx4euM/AAAAABgAAAD8/AD8AAIAAAAAAADwvwJDHOviNhrIPwL3l92Th4XsvwAAAAAYAAAA/PwA/AACAAAAAAAA8L8CysNCrWne8D8C7S+7Jw8L2b8AAAAAGAAAAPz8APwAAgAAAAAAAPC/Aru4jQbwFsg/AgU0ETY8vfE/AAAAABgAAAD8/AD8AAIAAAAAAADwvwJVUiegibDlvwLtL7snDwvZvwAAAAABEQAAAPz8APwAAgAAAAAAAPC/ArmNBvAWCBTAAgU0ETY8vfE/AAAAABgAAAD8/AD8AAIAAAAAAADwvwLXNO84RUcDwALtL7snDwvZvwAAAAAkAAAA/PwA/AACAAAAAAAA8L8CnaIjufwHFMAC95fdk4eF7L8AAAAAGAAAAPz8APwAAgAAAAAAAPC/AlD8GHPXEhBAAhpR2ht8Yd4/AAAAABgAAAD8/AD8AAIAAAAAAADwvwJhVFInoIkVQAJPQBNhw9O7PwAAAAAYAAAA/PwA/AACAAAAAAAA8L8CUfwYc9cSFEACPSzUmuYd9L8AAAAAARgEARABZQQAAAAAAAAAAAgcAWUEAAAAAAAAAAAMAAFlBAAAAAAAAAAAEAABZQQAAAAAAAAAABQsAWUEAAAAAAAAAAAYAAFlCAAAAAAAAAAAHCABZQgMAAAAAAAAACAkAWUEAAAAAAAAAAAkBAFlBAAAAAAAAAAAKBABZQQAAAAAAAAAACwBEgFlCAgAAAAAAAAAMDgBZQQAAAAAAAAAADQ4AWUEAAAAAAAAAAA4DAFlBAAAAAAAAAAAPDABZQQAAAAAAAAAAAEQNAFlBAAAAAAAAAAAAREIAWUEAAAAAAAAAAABEiABZQQAAAAAAAAAAAETFAFlBAAAAAAAAAAAARQoAWUEAAAAAAAAAAABFSgBZQQAAAAAAAAAAAEWKAFlBAAAAAAAAAAABDwBZQQAAAAAAAAAABQIAWUICAAAAAAAAAAAAAAA</t>
        </r>
      </text>
    </comment>
    <comment ref="A204" authorId="0" shapeId="0" xr:uid="{0AB2B857-2CC4-4636-AF54-4F484B2827D9}">
      <text>
        <r>
          <rPr>
            <sz val="9"/>
            <color indexed="81"/>
            <rFont val="MS P ゴシック"/>
            <family val="3"/>
            <charset val="128"/>
          </rPr>
          <t>Insight iXlW00001C0000204R0585476093S00000406P01316LAocjBAQBF1NjaVRlZ2ljLmRhdGEuTW9sZWN1bGUBbwF/ARJTY2lUZWdpYy5Nb2xlY3VsZQAAAQFkAv5qAQAAAAIAAgESHAAAAPz8APwAAgAAAAAAAPC/AsRCrWnecQ1AAgAAAAAAAPC/AAAAABgAAAD8/AD8AAIAAAAAAADwvwKjkjoBTYQGQAIAAAAAAADgvwAAAAAYAAAA/PwA/AACAAAAAAAA8L8Co5I6AU2EBkACAAAAAAAA4D8AAAAAGAAAAPz8APwAAgAAAAAAAPC/ApQYBFYOLf8/AQAAAAAcAAAA/PwA/AACAAAAAAAA8L8CUrgehetR8T8CAAAAAAAA4D8AAAAAGAAAAPz8APwAAgAAAAAAAPC/AoPAyqFFtss/AQAAAAAYAAAA/PwA/AACAAAAAAAA8L8CYxBYObTI5L8CAAAAAAAA4D8AAAAAGAAAAPz8APwAAgAAAAAAAPC/AmMQWDm0yOS/AgAAAAAAAOC/AAAAABgAAAD8/AD8AAIAAAAAAADwvwJzaJHtfD/4vwIAAAAAAADwvwAAAAAYAAAA/PwA/AACAAAAAAAA8L8CWmQ7308NA8ACAAAAAAAA4L8AAAAAJAAAAPz8APwAAgAAAAAAAPC/ArTqc7UV+wnAAgAAAAAAAPC/AAAAABgAAAD8/AD8AAIAAAAAAADwvwJaZDvfTw0DwAIAAAAAAADgPwAAAAABEQAAAPz8APwAAgAAAAAAAPC/ArTqc7UV+wnAAQAAAAAYAAAA/PwA/AACAAAAAAAA8L8Cc2iR7Xw/+L8BAAAAABgAAAD8/AD8AAIAAAAAAADwvwJSuB6F61HxPwIAAAAAAADgvwAAAAAYAAAA/PwA/AACAAAAAAAA8L8CBcWPMXct/z8CAAAAAAAA8L8AAAAAAREAAAD8/AD8AAIAAAAAAADwvwKV1AloIuwRQALfcYqO5PKPvwAAAAABEQAAAPz8APwAAgAAAAAAAPC/AiRKe4MvDBZAAt9xio7k8o8/AAAAAAERAAQBZQQAAAAAAAAAAAQIAWUEAAAAAAAAAAAIDAFlBAAAAAAAAAAADBABZQQAAAAAAAAAABAUAWUEAAAAAAAAAAAUGAFlBAAAAAAAAAAAGBwBZQgMAAAAAAAAABwgAWUEAAAAAAAAAAAgJAFlCAwAAAAAAAAAJCgBZQQAAAAAAAAAACQsAWUEAAAAAAAAAAAsMAFlBAAAAAAAAAAALDQBZQgIAAAAAAAAADQYAWUEAAAAAAAAAAAQOAFlBAAAAAAAAAAAODwBZQQAAAAAAAAAADwEAWUEAAAAAAAAAAAAAAAA</t>
        </r>
      </text>
    </comment>
    <comment ref="A205" authorId="0" shapeId="0" xr:uid="{EDACB023-D30E-4243-B0D8-E79520429480}">
      <text>
        <r>
          <rPr>
            <sz val="9"/>
            <color indexed="81"/>
            <rFont val="MS P ゴシック"/>
            <family val="3"/>
            <charset val="128"/>
          </rPr>
          <t>Insight iXlW00001C0000205R0585476093S00000408P01400LAocjBAQBF1NjaVRlZ2ljLmRhdGEuTW9sZWN1bGUBbwF/ARJTY2lUZWdpYy5Nb2xlY3VsZQAAAQFkAv5qAQAAAAIAAgETHAAAAPz8APwAAgAAAAAAAPC/ArtJDAIrhwxAAgAAAAAAAPC/AAAAABgAAAD8/AD8AAIAAAAAAADwvwKamZmZmZkFQAIAAAAAAADgvwAAAAAYAAAA/PwA/AACAAAAAAAA8L8CYcPTK2WZBUACAAAAAAAA4D8AAAAAGAAAAPz8APwAAgAAAAAAAPC/AoEmwoanV/0/AQAAAAAcAAAA/PwA/AACAAAAAAAA8L8Cf4y5awn57j8CAAAAAAAA4D8AAAAAGAAAAPz8APwAAgAAAAAAAPC/Atlfdk8eFro/AQAAAAAYAAAA/PwA/AACAAAAAAAA8L8CiPTb14Fz6L8CAAAAAAAA4D8AAAAAGAAAAPz8APwAAgAAAAAAAPC/AvcGX5hMFfq/AQAAAAAkAAAA/PwA/AACAAAAAAAA8L8C9wZfmEwV+r8CAAAAAAAAAEAAAAAAGAAAAPz8APwAAgAAAAAAAPC/ApwzorQ3+APAAgAAAAAAAOA/AAAAABgAAAD8/AD8AAIAAAAAAADwvwKcM6K0N/gDwAIAAAAAAADgvwAAAAAkAAAA/PwA/AACAAAAAAAA8L8CveMUHcnlCsACAAAAAAAA8L8AAAAAGAAAAPz8APwAAgAAAAAAAPC/AvcGX5hMFfq/AgAAAAAAAPC/AAAAABgAAAD8/AD8AAIAAAAAAADwvwKI9NvXgXPovwIAAAAAAADgvwAAAAAkAAAA/PwA/AACAAAAAAAA8L8C2V92Tx4Wuj8CAAAAAAAA8L8AAAAAGAAAAPz8APwAAgAAAAAAAPC/An+MuWsJ+e4/AgAAAAAAAOC/AAAAABgAAAD8/AD8AAIAAAAAAADwvwKBJsKGp1f9PwIAAAAAAADwvwAAAAABEQAAAPz8APwAAgAAAAAAAPC/AhFYObTIdhFAAnGsi9toAN8/AAAAAAERAAAA/PwA/AACAAAAAAAA8L8Cn82qz9WWFUACyCk6kst/4D8AAAAAARIABAFlBAAAAAAAAAAABAgBZQQAAAAAAAAAAAgMAWUEAAAAAAAAAAAMEAFlBAAAAAAAAAAAEBQBZQQAAAAAAAAAABQYAWUEAAAAAAAAAAAYHAFlCAgAAAAAAAAAHCABZQQAAAAAAAAAABwkAWUEAAAAAAAAAAAkKAFlCAwAAAAAAAAAKCwBZQQAAAAAAAAAACgwAWUEAAAAAAAAAAAwNAFlCAgAAAAAAAAANBgBZQQAAAAAAAAAADQ4AWUEAAAAAAAAAAAQPAFlBAAAAAAAAAAAPAEQAWUEAAAAAAAAAAABEAQBZQQAAAAAAAAAAAAAAAA=</t>
        </r>
      </text>
    </comment>
    <comment ref="A206" authorId="0" shapeId="0" xr:uid="{4A0FBA49-1394-470F-8DD5-5EEBFC452F82}">
      <text>
        <r>
          <rPr>
            <sz val="9"/>
            <color indexed="81"/>
            <rFont val="MS P ゴシック"/>
            <family val="3"/>
            <charset val="128"/>
          </rPr>
          <t>Insight iXlW00001C0000206R0585476093S00000410P01756LAocjBAQBF1NjaVRlZ2ljLmRhdGEuTW9sZWN1bGUBbwF/ARJTY2lUZWdpYy5Nb2xlY3VsZQAAAQFkAv5qAQAAAAIAAgEXGAAAAPz8APwAAgAAAAAAAPC/AqCJsOHpFQXAAtlfdk8eFuI/AAAAABgAAAD8/AD8AAIAAAAAAADwvwJdbcX+snsEQAJPQBNhw9PbvwAAAAAcAAAA/PwA/AACAAAAAAAA8L8Ce6UsQxzr7L8C2V92Tx4W4j8AAAAAGAAAAPz8APwAAgAAAAAAAPC/Av+ye/KwUPy/Au0vuycPC/E/AAAAABwAAAD8/AD8AAIAAAAAAADwvwJ5eqUsQxz7PwIooImw4entvwAAAAAYAAAA/PwA/AACAAAAAAAA8L8CoImw4ekVBcACT0ATYcPT278AAAAAGAAAAPz8APwAAgAAAAAAAPC/AsE5I0p7AwzAAu0vuycPC/E/AAAAACAAAAD8/AD8AAIAAAAAAADwvwJ+HThnRGkLQAIooImw4entvwAAAAAgAAAA/PwA/AACAAAAAAAA8L8CXW3F/rJ7BEAC2V92Tx4W4j8AAAAAGAAAAPz8APwAAgAAAAAAAPC/AuxRuB6FKxFAAk9AE2HD09u/AAAAABgAAAD8/AD8AAIAAAAAAADwvwJuNIC3QILqPwLZX3ZPHhbiPwAAAAAYAAAA/PwA/AACAAAAAAAA8L8CVcGopE5Ao78CKKCJsOHp7b8AAAAAGAAAAPz8APwAAgAAAAAAAPC/Am40gLdAguo/Ak9AE2HD09u/AAAAABgAAAD8/AD8AAIAAAAAAADwvwJ3Tx4Wak2jvwLtL7snDwvxPwAAAAAYAAAA/PwA/AACAAAAAAAA8L8Ce6UsQxzr7L8CT0ATYcPT278AAAAAJAAAAPz8APwAAgAAAAAAAPC/Av+ye/KwUPy/AiigibDh6e2/AAAAACQAAAD8/AD8AAIAAAAAAADwvwLBOSNKewMMwAL2l92Th4UAQAAAAAAYAAAA/PwA/AACAAAAAAAA8L8CDeAtkKB4EcACT0ATYcPT278AAAAAGAAAAPz8APwAAgAAAAAAAPC/Ag3gLZCgeBHAAtlfdk8eFuI/AAAAABgAAAD8/AD8AAIAAAAAAADwvwL6D+m3rwMMwAIooImw4entvwAAAAAYAAAA/PwA/AACAAAAAAAA8L8C16NwPQpXDkACuECC4seY2z8AAAAAGAAAAPz8APwAAgAAAAAAAPC/Avyp8dJNohRAAsb+snvysLA/AAAAABgAAAD8/AD8AAIAAAAAAADwvwLsUbgehSsTQAJVMCqpE9D0vwAAAAABGAQQAWUEAAAAAAAAAAAIDAFlBAAAAAAAAAAADAABZQQAAAAAAAAAABAwAWUEAAAAAAAAAAAUAAFlCAgAAAAAAAAAGAABZQQAAAAAAAAAABwEAWUEAAAAAAAAAAAgBAFlCAAAAAAAAAAAJBwBZQQAAAAAAAAAACg0AWUEAAAAAAAAAAAsOAFlBAAAAAAAAAAAMCwBZQQAAAAAAAAAADQIAWUEAAAAAAAAAAA4CAFlBAAAAAAAAAAAPBQBZQQAAAAAAAAAAAEQGAFlBAAAAAAAAAAAAREBEgFlBAAAAAAAAAAAARIYAWUICAAAAAAAAAABExQBZQQAAAAAAAAAAAEUJAFlBAAAAAAAAAAAARUkAWUEAAAAAAAAAAABFiQBZQQAAAAAAAAAAAERARMBZQgIAAAAAAAAADAoAWUEAAAAAAAAAAAAAAAA</t>
        </r>
      </text>
    </comment>
    <comment ref="A207" authorId="0" shapeId="0" xr:uid="{D8F98AB0-5B82-4F91-A6CE-903643397D63}">
      <text>
        <r>
          <rPr>
            <sz val="9"/>
            <color indexed="81"/>
            <rFont val="MS P ゴシック"/>
            <family val="3"/>
            <charset val="128"/>
          </rPr>
          <t>Insight iXlW00001C0000207R0585476093S00000412P01360LAocjBAQBF1NjaVRlZ2ljLmRhdGEuTW9sZWN1bGUBbwF/ARJTY2lUZWdpYy5Nb2xlY3VsZQAAAQFkAv5qAQAAAAIAAgESHAAAAPz8APwAAgAAAAAAAPC/ApxVn6ut2ApAAgAAAAAAAPG/AAAAABgAAAD8/AD8AAIAAAAAAADwvwJ7pSxDHOsDQAIAAAAAAADivwAAAAAYAAAA/PwA/AACAAAAAAAA8L8Ce6UsQxzrA0ACAAAAAAAA3D8AAAAAGAAAAPz8APwAAgAAAAAAAPC/ArTqc7UV+/k/AgAAAAAAAO4/AAAAABwAAAD8/AD8AAIAAAAAAADwvwLkFB3J5T/oPwIAAAAAAADcPwAAAAAYAAAA/PwA/AACAAAAAAAA8L8CDCQofoy5u78CAAAAAAAA7j8AAAAAGAAAAPz8APwAAgAAAAAAAPC/AgXFjzF3Le+/AgAAAAAAANw/AAAAABgAAAD8/AD8AAIAAAAAAADwvwIFxY8xdy3vvwIAAAAAAADivwAAAAAkAAAA/PwA/AACAAAAAAAA8L8CDCQofoy5u78CAAAAAAAA8b8AAAAAGAAAAPz8APwAAgAAAAAAAPC/AsRCrWnecf2/AgAAAAAAAPG/AAAAABgAAAD8/AD8AAIAAAAAAADwvwKDUUmdgKYFwAIAAAAAAADivwAAAAAYAAAA/PwA/AACAAAAAAAA8L8Cg1FJnYCmBcACAAAAAAAA3D8AAAAAGAAAAPz8APwAAgAAAAAAAPC/AsRCrWnecf2/AgAAAAAAAO4/AAAAACQAAAD8/AD8AAIAAAAAAADwvwLEQq1p3nH9vwIAAAAAAAD/PwAAAAAYAAAA/PwA/AACAAAAAAAA8L8C5BQdyeU/6D8CAAAAAAAA4r8AAAAAGAAAAPz8APwAAgAAAAAAAPC/ArTqc7UV+/k/AgAAAAAAAPG/AAAAAAERAAAA/PwA/AACAAAAAAAA8L8CAd4CCYqfEEACcayL22gA2z8AAAAAAREAAAD8/AD8AAIAAAAAAADwvwKPU3Qkl78UQAKPU3Qkl//cPwAAAAABEQAEAWUEAAAAAAAAAAAECAFlBAAAAAAAAAAACAwBZQQAAAAAAAAAAAwQAWUEAAAAAAAAAAAQFAFlBAAAAAAAAAAAFBgBZQQAAAAAAAAAABgcAWUICAAAAAAAAAAcIAFlBAAAAAAAAAAAHCQBZQQAAAAAAAAAACQoAWUICAAAAAAAAAAoLAFlBAAAAAAAAAAALDABZQgIAAAAAAAAADAYAWUEAAAAAAAAAAAwNAFlBAAAAAAAAAAAEDgBZQQAAAAAAAAAADg8AWUEAAAAAAAAAAA8BAFlBAAAAAAAAAAAAAAAAA==</t>
        </r>
      </text>
    </comment>
    <comment ref="A208" authorId="0" shapeId="0" xr:uid="{6D7F934D-5A13-4124-AA6C-C84F2FD78983}">
      <text>
        <r>
          <rPr>
            <sz val="9"/>
            <color indexed="81"/>
            <rFont val="MS P ゴシック"/>
            <family val="3"/>
            <charset val="128"/>
          </rPr>
          <t>Insight iXlW00001C0000208R0585476093S00000414P01760LAocjBAQBF1NjaVRlZ2ljLmRhdGEuTW9sZWN1bGUBbwF/ARJTY2lUZWdpYy5Nb2xlY3VsZQAAAQFkAv5qAQAAAAIAAgEXGAAAAPz8APwAAgAAAAAAAPC/AqCJsOHpFQXAAtlfdk8eFuI/AAAAABgAAAD8/AD8AAIAAAAAAADwvwJdbcX+snsEQAJPQBNhw9PbvwAAAAAcAAAA/PwA/AACAAAAAAAA8L8Ce6UsQxzr7L8C2V92Tx4W4j8AAAAAGAAAAPz8APwAAgAAAAAAAPC/Av+ye/KwUPy/Au0vuycPC/E/AAAAABwAAAD8/AD8AAIAAAAAAADwvwJ5eqUsQxz7PwIooImw4entvwAAAAAYAAAA/PwA/AACAAAAAAAA8L8CoImw4ekVBcACT0ATYcPT278AAAAAGAAAAPz8APwAAgAAAAAAAPC/AsE5I0p7AwzAAu0vuycPC/E/AAAAACAAAAD8/AD8AAIAAAAAAADwvwJ+HThnRGkLQAIooImw4entvwAAAAAgAAAA/PwA/AACAAAAAAAA8L8CXW3F/rJ7BEAC2V92Tx4W4j8AAAAAGAAAAPz8APwAAgAAAAAAAPC/AuxRuB6FKxFAAk9AE2HD09u/AAAAABgAAAD8/AD8AAIAAAAAAADwvwJuNIC3QILqPwLZX3ZPHhbiPwAAAAAYAAAA/PwA/AACAAAAAAAA8L8CVcGopE5Ao78CKKCJsOHp7b8AAAAAGAAAAPz8APwAAgAAAAAAAPC/Am40gLdAguo/Ak9AE2HD09u/AAAAABgAAAD8/AD8AAIAAAAAAADwvwJ3Tx4Wak2jvwLtL7snDwvxPwAAAAAYAAAA/PwA/AACAAAAAAAA8L8Ce6UsQxzr7L8CT0ATYcPT278AAAAAJAAAAPz8APwAAgAAAAAAAPC/Av+ye/KwUPy/AiigibDh6e2/AAAAAAERAAAA/PwA/AACAAAAAAAA8L8CwTkjSnsDDMAC9pfdk4eFAEAAAAAAGAAAAPz8APwAAgAAAAAAAPC/Ag3gLZCgeBHAAk9AE2HD09u/AAAAABgAAAD8/AD8AAIAAAAAAADwvwIN4C2QoHgRwALZX3ZPHhbiPwAAAAAYAAAA/PwA/AACAAAAAAAA8L8C+g/pt68DDMACKKCJsOHp7b8AAAAAGAAAAPz8APwAAgAAAAAAAPC/AtejcD0KVw5AArhAguLHmNs/AAAAABgAAAD8/AD8AAIAAAAAAADwvwL8qfHSTaIUQALG/rJ78rCwPwAAAAAYAAAA/PwA/AACAAAAAAAA8L8C7FG4HoUrE0ACVTAqqRPQ9L8AAAAAARgEEAFlBAAAAAAAAAAACAwBZQQAAAAAAAAAAAwAAWUEAAAAAAAAAAAQMAFlBAAAAAAAAAAAFAABZQgIAAAAAAAAABgAAWUEAAAAAAAAAAAcBAFlBAAAAAAAAAAAIAQBZQgAAAAAAAAAACQcAWUEAAAAAAAAAAAoNAFlBAAAAAAAAAAALDgBZQQAAAAAAAAAADAsAWUEAAAAAAAAAAA0CAFlBAAAAAAAAAAAOAgBZQQAAAAAAAAAADwUAWUEAAAAAAAAAAABEBgBZQQAAAAAAAAAAAERARIBZQQAAAAAAAAAAAESGAFlCAgAAAAAAAAAARMUAWUEAAAAAAAAAAABFCQBZQQAAAAAAAAAAAEVJAFlBAAAAAAAAAAAARYkAWUEAAAAAAAAAAABEQETAWUICAAAAAAAAAAwKAFlBAAAAAAAAAAAAAAAAA==</t>
        </r>
      </text>
    </comment>
    <comment ref="A209" authorId="0" shapeId="0" xr:uid="{3DDCECDF-1986-4BEB-BA14-D5A67C5EEEE6}">
      <text>
        <r>
          <rPr>
            <sz val="9"/>
            <color indexed="81"/>
            <rFont val="MS P ゴシック"/>
            <family val="3"/>
            <charset val="128"/>
          </rPr>
          <t>Insight iXlW00001C0000209R0585476093S00000416P01980LAocjBAQBF1NjaVRlZ2ljLmRhdGEuTW9sZWN1bGUBbwF/ARJTY2lUZWdpYy5Nb2xlY3VsZQAAAQFkAv5qAQAAAAIAAgEaGAAAAPz8APwAAgAAAAAAAPC/Atc07zhFxwzAAvtcbcX+ssO/AAAAABgAAAD8/AD8AAIAAAAAAADwvwJ88rBQa9oRwAI/V1uxv+zkvwAAAAAYAAAA/PwA/AACAAAAAAAA8L8CaCJseHqlCkACc/kP6bevw78AAAAAGAAAAPz8APwAAgAAAAAAAPC/AraEfNCz2QXAAl3+Q/rt6+S/AAAAABwAAAD8/AD8AAIAAAAAAADwvwI5RUdy+Q/BvwKkAbwFEhTrPwAAAAAYAAAA/PwA/AACAAAAAAAA8L8C1zTvOEXHDMACwqikTkAT6z8AAAAAHAAAAPz8APwAAgAAAAAAAPC/Akhy+Q/ptwNAAl3+Q/rt6+S/AAAAACAAAAD8/AD8AAIAAAAAAADwvwJhVFInoMkQQAJd/kP67evkvwAAAAAYAAAA/PwA/AACAAAAAAAA8L8CK6kT0ETY/b8Cc/kP6bevw78AAAAAIAAAAPz8APwAAgAAAAAAAPC/AmgibHh6pQpAAqQBvAUSFOs/AAAAABgAAAD8/AD8AAIAAAAAAADwvwIrqRPQRNj9vwKkAbwFEhTrPwAAAAAYAAAA/PwA/AACAAAAAAAA8L8C0pFc/kP6778C0gDeAgmK9T8AAAAAJAAAAPz8APwAAgAAAAAAAPC/AvjkYaHWtA/AAuELk6mCUfi/AAAAACQAAAD8/AD8AAIAAAAAAADwvwKMSuoENFEVwAKgq63YX3byvwAAAAAkAAAA/PwA/AACAAAAAAAA8L8CfPKwUGvaE8ACmggbnl4pyz8AAAAAGAAAAPz8APwAAgAAAAAAAPC/AnGsi9toQBRAAnP5D+m3r8O/AAAAABgAAAD8/AD8AAIAAAAAAADwvwJNhA1Pr5T5PwLCqKROQBPrPwAAAAAYAAAA/PwA/AACAAAAAAAA8L8CF0hQ/Bhz5z8CXf5D+u3r5L8AAAAAGAAAAPz8APwAAgAAAAAAAPC/Ak2EDU+vlPk/AnP5D+m3r8O/AAAAABgAAAD8/AD8AAIAAAAAAADwvwIXSFD8GHPnPwJhVFInoIn1PwAAAAAYAAAA/PwA/AACAAAAAAAA8L8CseHplbIMwb8Cc/kP6bevw78AAAAAJAAAAPz8APwAAgAAAAAAAPC/AraEfNCz2QXAAi//If32dfq/AAAAABgAAAD8/AD8AAIAAAAAAADwvwK2hHzQs9kFwALSAN4CCYr1PwAAAAAYAAAA/PwA/AACAAAAAAAA8L8CcayL22hAEkACJ8KGp1fK5j8AAAAAGAAAAPz8APwAAgAAAAAAAPC/AoIExY8xtxdAAkcDeAskKNY/AAAAABgAAAD8/AD8AAIAAAAAAADwvwJxrIvbaEAWQALhC5OpglHwvwAAAAABGwQAAWUEAAAAAAAAAAAIGAFlBAAAAAAAAAAADAABZQQAAAAAAAAAABAsAWUEAAAAAAAAAAAUAAFlCAwAAAAAAAAAGAESAWUEAAAAAAAAAAAcCAFlBAAAAAAAAAAAIAwBZQgIAAAAAAAAACQIAWUIAAAAAAAAAAAoARYBZQgMAAAAAAAAACwoAWUEAAAAAAAAAAAwBAFlBAAAAAAAAAAANAQBZQQAAAAAAAAAADgEAWUEAAAAAAAAAAA8HAFlBAAAAAAAAAAAARABEwFlBAAAAAAAAAAAAREBFAFlBAAAAAAAAAAAARIBEQFlBAAAAAAAAAAAARMQAWUEAAAAAAAAAAABFBABZQQAAAAAAAAAAAEVDAFlBAAAAAAAAAAAARYUAWUEAAAAAAAAAAABFzwBZQQAAAAAAAAAAAEYPAFlBAAAAAAAAAAAARk8AWUEAAAAAAAAAAAgKAFlBAAAAAAAAAAAARIBEAFlBAAAAAAAAAAAAAAAAA==</t>
        </r>
      </text>
    </comment>
    <comment ref="A210" authorId="0" shapeId="0" xr:uid="{5C8A3152-E7F2-49B4-BCEC-722F1D7385BC}">
      <text>
        <r>
          <rPr>
            <sz val="9"/>
            <color indexed="81"/>
            <rFont val="MS P ゴシック"/>
            <family val="3"/>
            <charset val="128"/>
          </rPr>
          <t>Insight iXlW00001C0000210R0585476093S00000418P01756LAocjBAQBF1NjaVRlZ2ljLmRhdGEuTW9sZWN1bGUBbwF/ARJTY2lUZWdpYy5Nb2xlY3VsZQAAAQFkAv5qAQAAAAIAAgEXGAAAAPz8APwAAgAAAAAAAPC/Al1txf6yewRAAoqw4emVstC/AAAAABgAAAD8/AD8AAIAAAAAAADwvwKgibDh6RUFwAK8Jw8LtabnPwAAAAAYAAAA/PwA/AACAAAAAAAA8L8CoImw4ekVBcACirDh6ZWy0L8AAAAAHAAAAPz8APwAAgAAAAAAAPC/AnulLEMc6+y/ArwnDwu1puc/AAAAABgAAAD8/AD8AAIAAAAAAADwvwL/snvysFD8vwLek4eFWtPzPwAAAAAcAAAA/PwA/AACAAAAAAAA8L8CeXqlLEMc+z8CRdjw9EpZ6L8AAAAAIAAAAPz8APwAAgAAAAAAAPC/An4dOGdEaQtAAkXY8PRKWei/AAAAACAAAAD8/AD8AAIAAAAAAADwvwJdbcX+snsEQAK8Jw8LtabnPwAAAAAYAAAA/PwA/AACAAAAAAAA8L8CwTkjSnsDDMACY3/ZPXlY6L8AAAAAGAAAAPz8APwAAgAAAAAAAPC/AuxRuB6FKxFAAoqw4emVstC/AAAAABgAAAD8/AD8AAIAAAAAAADwvwJuNIC3QILqPwK8Jw8LtabnPwAAAAAYAAAA/PwA/AACAAAAAAAA8L8CVcGopE5Ao78CRdjw9EpZ6L8AAAAAGAAAAPz8APwAAgAAAAAAAPC/Am40gLdAguo/Aoqw4emVstC/AAAAABgAAAD8/AD8AAIAAAAAAADwvwJ3Tx4Wak2jvwLek4eFWtPzPwAAAAAYAAAA/PwA/AACAAAAAAAA8L8Ce6UsQxzr7L8CirDh6ZWy0L8AAAAAJAAAAPz8APwAAgAAAAAAAPC/Av+ye/KwUPy/AkXY8PRKWei/AAAAACQAAAD8/AD8AAIAAAAAAADwvwL6D+m3rwMMwAKyv+yePCz8vwAAAAAYAAAA/PwA/AACAAAAAAAA8L8C+g/pt68DDMAC3pOHhVrT8z8AAAAAGAAAAPz8APwAAgAAAAAAAPC/Ag3gLZCgeBHAAp6AJsKGp+c/AAAAABgAAAD8/AD8AAIAAAAAAADwvwIN4C2QoHgRwALG/rJ78rDQvwAAAAAYAAAA/PwA/AACAAAAAAAA8L8C16NwPQpXDkACP+jZrPpc4z8AAAAAGAAAAPz8APwAAgAAAAAAAPC/Avyp8dJNohRAAu2ePCzUms4/AAAAABgAAAD8/AD8AAIAAAAAAADwvwLsUbgehSsTQAJkzF1LyAfyvwAAAAABGAQQAWUEAAAAAAAAAAAIBAFlCAwAAAAAAAAADDgBZQQAAAAAAAAAABAMAWUEAAAAAAAAAAAUAAFlBAAAAAAAAAAAGAABZQQAAAAAAAAAABwAAWUIAAAAAAAAAAAgCAFlBAAAAAAAAAAAJBgBZQQAAAAAAAAAACgwAWUEAAAAAAAAAAAsMAFlBAAAAAAAAAAAMBQBZQQAAAAAAAAAADQoAWUEAAAAAAAAAAA4LAFlBAAAAAAAAAAAPAgBZQQAAAAAAAAAAAEQIAFlBAAAAAAAAAAAAREEAWUEAAAAAAAAAAABEgERAWUICAAAAAAAAAABEwESAWUEAAAAAAAAAAABFCQBZQQAAAAAAAAAAAEVJAFlBAAAAAAAAAAAARYkAWUEAAAAAAAAAAAMNAFlBAAAAAAAAAAAARMgAWUICAAAAAAAAAAAAAAA</t>
        </r>
      </text>
    </comment>
    <comment ref="A211" authorId="0" shapeId="0" xr:uid="{B7ECA8DF-7EE1-42EB-B984-24C633577472}">
      <text>
        <r>
          <rPr>
            <sz val="9"/>
            <color indexed="81"/>
            <rFont val="MS P ゴシック"/>
            <family val="3"/>
            <charset val="128"/>
          </rPr>
          <t>Insight iXlW00001C0000211R0585476093S00000420P01760LAocjBAQBF1NjaVRlZ2ljLmRhdGEuTW9sZWN1bGUBbwF/ARJTY2lUZWdpYy5Nb2xlY3VsZQAAAQFkAv5qAQAAAAIAAgEXGAAAAPz8APwAAgAAAAAAAPC/Al1txf6yewRAAoqw4emVstC/AAAAABgAAAD8/AD8AAIAAAAAAADwvwKgibDh6RUFwAK8Jw8LtabnPwAAAAAYAAAA/PwA/AACAAAAAAAA8L8CoImw4ekVBcACirDh6ZWy0L8AAAAAHAAAAPz8APwAAgAAAAAAAPC/AnulLEMc6+y/ArwnDwu1puc/AAAAABgAAAD8/AD8AAIAAAAAAADwvwL/snvysFD8vwLek4eFWtPzPwAAAAAcAAAA/PwA/AACAAAAAAAA8L8CeXqlLEMc+z8CRdjw9EpZ6L8AAAAAIAAAAPz8APwAAgAAAAAAAPC/An4dOGdEaQtAAkXY8PRKWei/AAAAACAAAAD8/AD8AAIAAAAAAADwvwJdbcX+snsEQAK8Jw8LtabnPwAAAAAYAAAA/PwA/AACAAAAAAAA8L8CwTkjSnsDDMACY3/ZPXlY6L8AAAAAGAAAAPz8APwAAgAAAAAAAPC/AuxRuB6FKxFAAoqw4emVstC/AAAAABgAAAD8/AD8AAIAAAAAAADwvwJuNIC3QILqPwK8Jw8LtabnPwAAAAAYAAAA/PwA/AACAAAAAAAA8L8CVcGopE5Ao78CRdjw9EpZ6L8AAAAAGAAAAPz8APwAAgAAAAAAAPC/Am40gLdAguo/Aoqw4emVstC/AAAAABgAAAD8/AD8AAIAAAAAAADwvwJ3Tx4Wak2jvwLek4eFWtPzPwAAAAAYAAAA/PwA/AACAAAAAAAA8L8Ce6UsQxzr7L8CirDh6ZWy0L8AAAAAJAAAAPz8APwAAgAAAAAAAPC/Av+ye/KwUPy/AkXY8PRKWei/AAAAAAERAAAA/PwA/AACAAAAAAAA8L8C+g/pt68DDMACsr/snjws/L8AAAAAGAAAAPz8APwAAgAAAAAAAPC/AvoP6bevAwzAAt6Th4Va0/M/AAAAABgAAAD8/AD8AAIAAAAAAADwvwIN4C2QoHgRwAKegCbChqfnPwAAAAAYAAAA/PwA/AACAAAAAAAA8L8CDeAtkKB4EcACxv6ye/Kw0L8AAAAAGAAAAPz8APwAAgAAAAAAAPC/AtejcD0KVw5AAj/o2az6XOM/AAAAABgAAAD8/AD8AAIAAAAAAADwvwL8qfHSTaIUQALtnjws1JrOPwAAAAAYAAAA/PwA/AACAAAAAAAA8L8C7FG4HoUrE0ACZMxdS8gH8r8AAAAAARgEEAFlBAAAAAAAAAAACAQBZQgMAAAAAAAAAAw4AWUEAAAAAAAAAAAQDAFlBAAAAAAAAAAAFAABZQQAAAAAAAAAABgAAWUEAAAAAAAAAAAcAAFlCAAAAAAAAAAAIAgBZQQAAAAAAAAAACQYAWUEAAAAAAAAAAAoMAFlBAAAAAAAAAAALDABZQQAAAAAAAAAADAUAWUEAAAAAAAAAAA0KAFlBAAAAAAAAAAAOCwBZQQAAAAAAAAAADwIAWUEAAAAAAAAAAABECABZQQAAAAAAAAAAAERBAFlBAAAAAAAAAAAARIBEQFlCAgAAAAAAAAAARMBEgFlBAAAAAAAAAAAARQkAWUEAAAAAAAAAAABFSQBZQQAAAAAAAAAAAEWJAFlBAAAAAAAAAAADDQBZQQAAAAAAAAAAAETIAFlCAgAAAAAAAAAAAAAAA==</t>
        </r>
      </text>
    </comment>
    <comment ref="A212" authorId="0" shapeId="0" xr:uid="{7528180C-03ED-4E57-BC42-73AB19387BB2}">
      <text>
        <r>
          <rPr>
            <sz val="9"/>
            <color indexed="81"/>
            <rFont val="MS P ゴシック"/>
            <family val="3"/>
            <charset val="128"/>
          </rPr>
          <t>Insight iXlW00001C0000212R0585476093S00000422P01756LAocjBAQBF1NjaVRlZ2ljLmRhdGEuTW9sZWN1bGUBbwF/ARJTY2lUZWdpYy5Nb2xlY3VsZQAAAQFkAv5qAQAAAAIAAgEXGAAAAPz8APwAAgAAAAAAAPC/Al1txf6yewRAAoqw4emVstC/AAAAABwAAAD8/AD8AAIAAAAAAADwvwJ7pSxDHOvsvwK8Jw8LtabnPwAAAAAYAAAA/PwA/AACAAAAAAAA8L8CoImw4ekVBcACvCcPC7Wm5z8AAAAAGAAAAPz8APwAAgAAAAAAAPC/AqCJsOHpFQXAAoqw4emVstC/AAAAABwAAAD8/AD8AAIAAAAAAADwvwJ5eqUsQxz7PwJF2PD0SlnovwAAAAAYAAAA/PwA/AACAAAAAAAA8L8C/7J78rBQ/L8C3pOHhVrT8z8AAAAAIAAAAPz8APwAAgAAAAAAAPC/An4dOGdEaQtAAkXY8PRKWei/AAAAACAAAAD8/AD8AAIAAAAAAADwvwJdbcX+snsEQAK8Jw8LtabnPwAAAAAYAAAA/PwA/AACAAAAAAAA8L8CwTkjSnsDDMACY3/ZPXlY6L8AAAAAGAAAAPz8APwAAgAAAAAAAPC/AuxRuB6FKxFAAoqw4emVstC/AAAAABgAAAD8/AD8AAIAAAAAAADwvwJuNIC3QILqPwK8Jw8LtabnPwAAAAAYAAAA/PwA/AACAAAAAAAA8L8CVcGopE5Ao78CRdjw9EpZ6L8AAAAAGAAAAPz8APwAAgAAAAAAAPC/Am40gLdAguo/Aoqw4emVstC/AAAAABgAAAD8/AD8AAIAAAAAAADwvwJ3Tx4Wak2jvwLek4eFWtPzPwAAAAAYAAAA/PwA/AACAAAAAAAA8L8Ce6UsQxzr7L8CirDh6ZWy0L8AAAAAJAAAAPz8APwAAgAAAAAAAPC/AvoP6bevAwzAArK/7J48LPy/AAAAABgAAAD8/AD8AAIAAAAAAADwvwL6D+m3rwMMwALek4eFWtPzPwAAAAAYAAAA/PwA/AACAAAAAAAA8L8CDeAtkKB4EcACnoAmwoan5z8AAAAAGAAAAPz8APwAAgAAAAAAAPC/Av+ye/KwUPy/AkXY8PRKWei/AAAAABgAAAD8/AD8AAIAAAAAAADwvwIN4C2QoHgRwALG/rJ78rDQvwAAAAAYAAAA/PwA/AACAAAAAAAA8L8C16NwPQpXDkACP+jZrPpc4z8AAAAAGAAAAPz8APwAAgAAAAAAAPC/Avyp8dJNohRAAu2ePCzUms4/AAAAABgAAAD8/AD8AAIAAAAAAADwvwLsUbgehSsTQAJkzF1LyAfyvwAAAAABGAQ4AWUEAAAAAAAAAAAIFAFlBAAAAAAAAAAADAgBZQgMAAAAAAAAABAAAWUEAAAAAAAAAAAUBAFlBAAAAAAAAAAAGAABZQQAAAAAAAAAABwAAWUIAAAAAAAAAAAgDAFlBAAAAAAAAAAAJBgBZQQAAAAAAAAAACgwAWUEAAAAAAAAAAAsMAFlBAAAAAAAAAAAMBABZQQAAAAAAAAAADQoAWUEAAAAAAAAAAA4LAFlBAAAAAAAAAAAPCABZQQAAAAAAAAAAAEQCAFlBAAAAAAAAAAAAREBEAFlCAgAAAAAAAAAARIMAWUEAAAAAAAAAAABEwERAWUEAAAAAAAAAAABFCQBZQQAAAAAAAAAAAEVJAFlBAAAAAAAAAAAARYkAWUEAAAAAAAAAAAENAFlBAAAAAAAAAAAARMgAWUICAAAAAAAAAAAAAAA</t>
        </r>
      </text>
    </comment>
    <comment ref="A213" authorId="0" shapeId="0" xr:uid="{13D5B0A3-F6BA-48B5-8BA1-1FA66EE2F685}">
      <text>
        <r>
          <rPr>
            <sz val="9"/>
            <color indexed="81"/>
            <rFont val="MS P ゴシック"/>
            <family val="3"/>
            <charset val="128"/>
          </rPr>
          <t>Insight iXlW00001C0000213R0585476093S00000424P01360LAocjBAQBF1NjaVRlZ2ljLmRhdGEuTW9sZWN1bGUBbwF/ARJTY2lUZWdpYy5Nb2xlY3VsZQAAAQFkAv5qAQAAAAIAAgESGAAAAPz8APwAAgAAAAAAAPC/AgwkKH6Mubu/AgAAAAAAAOq/AAAAABgAAAD8/AD8AAIAAAAAAADwvwIFxY8xdy3vvwIAAAAAAADUvwAAAAAYAAAA/PwA/AACAAAAAAAA8L8CxEKtad5x/b8CAAAAAAAA6r8AAAAAJAAAAPz8APwAAgAAAAAAAPC/AsRCrWnecf2/AgAAAAAAAP2/AAAAABgAAAD8/AD8AAIAAAAAAADwvwKDUUmdgKYFwAIAAAAAAADUvwAAAAAYAAAA/PwA/AACAAAAAAAA8L8Cg1FJnYCmBcACAAAAAAAA5j8AAAAAGAAAAPz8APwAAgAAAAAAAPC/AsRCrWnecf2/AgAAAAAAAPM/AAAAABgAAAD8/AD8AAIAAAAAAADwvwIFxY8xdy3vvwIAAAAAAADmPwAAAAAYAAAA/PwA/AACAAAAAAAA8L8CDCQofoy5u78CAAAAAAAA8z8AAAAAHAAAAPz8APwAAgAAAAAAAPC/AuQUHcnlP+g/AgAAAAAAAOY/AAAAABgAAAD8/AD8AAIAAAAAAADwvwK06nO1Ffv5PwIAAAAAAADzPwAAAAAYAAAA/PwA/AACAAAAAAAA8L8Ce6UsQxzrA0ACAAAAAAAA5j8AAAAAGAAAAPz8APwAAgAAAAAAAPC/AnulLEMc6wNAAgAAAAAAANS/AAAAABwAAAD8/AD8AAIAAAAAAADwvwKcVZ+rrdgKQAIAAAAAAADqvwAAAAAYAAAA/PwA/AACAAAAAAAA8L8CtOpztRX7+T8CAAAAAAAA6r8AAAAAGAAAAPz8APwAAgAAAAAAAPC/AuQUHcnlP+g/AgAAAAAAANS/AAAAAAERAAAA/PwA/AACAAAAAAAA8L8CAd4CCYqfEEACj1N0JJf/1L8AAAAAAREAAAD8/AD8AAIAAAAAAADwvwKPU3Qkl78UQAJxrIvbaADTvwAAAAABEQAEAWUEAAAAAAAAAAAECAFlCAgAAAAAAAAACAwBZQQAAAAAAAAAAAgQAWUEAAAAAAAAAAAQFAFlCAgAAAAAAAAAFBgBZQQAAAAAAAAAABgcAWUICAAAAAAAAAAcBAFlBAAAAAAAAAAAHCABZQQAAAAAAAAAACAkAWUEAAAAAAAAAAAkKAFlBAAAAAAAAAAAKCwBZQQAAAAAAAAAACwwAWUEAAAAAAAAAAAwNAFlBAAAAAAAAAAAMDgBZQQAAAAAAAAAADg8AWUEAAAAAAAAAAA8JAFlBAAAAAAAAAAAAAAAAA==</t>
        </r>
      </text>
    </comment>
    <comment ref="A214" authorId="0" shapeId="0" xr:uid="{750CE4A8-2340-43EB-8491-8888E82D8CE1}">
      <text>
        <r>
          <rPr>
            <sz val="9"/>
            <color indexed="81"/>
            <rFont val="MS P ゴシック"/>
            <family val="3"/>
            <charset val="128"/>
          </rPr>
          <t>Insight iXlW00001C0000214R0585476093S00000426P01756LAocjBAQBF1NjaVRlZ2ljLmRhdGEuTW9sZWN1bGUBbwF/ARJTY2lUZWdpYy5Nb2xlY3VsZQAAAQFkAv5qAQAAAAIAAgEXGAAAAPz8APwAAgAAAAAAAPC/AqCJsOHpFQVAAu0vuycPC9m/AAAAABgAAAD8/AD8AAIAAAAAAADwvwJdbcX+snsEwAIKaCJseHrjPwAAAAAcAAAA/PwA/AACAAAAAAAA8L8CbjSAt0CC6r8CCmgibHh64z8AAAAAGAAAAPz8APwAAgAAAAAAAPC/Anl6pSxDHPu/AgU0ETY8vfE/AAAAABwAAAD8/AD8AAIAAAAAAADwvwL/snvysFD8PwL3l92Th4XsvwAAAAAYAAAA/PwA/AACAAAAAAAA8L8CXW3F/rJ7BMAC7S+7Jw8L2b8AAAAAIAAAAPz8APwAAgAAAAAAAPC/AvoP6bevAwxAAveX3ZOHhey/AAAAABgAAAD8/AD8AAIAAAAAAADwvwJ+HThnRGkLwAIFNBE2PL3xPwAAAAAgAAAA/PwA/AACAAAAAAAA8L8CoImw4ekVBUACCmgibHh64z8AAAAAGAAAAPz8APwAAgAAAAAAAPC/Ag3gLZCgeBFAAu0vuycPC9m/AAAAABgAAAD8/AD8AAIAAAAAAADwvwK38/3UeGkLwAL3l92Th4XsvwAAAAAYAAAA/PwA/AACAAAAAAAA8L8Ce6UsQxzr7D8CCmgibHh64z8AAAAAGAAAAPz8APwAAgAAAAAAAPC/AndPHhZqTaM/AveX3ZOHhey/AAAAABgAAAD8/AD8AAIAAAAAAADwvwJ7pSxDHOvsPwLtL7snDwvZvwAAAAAYAAAA/PwA/AACAAAAAAAA8L8CVcGopE5Aoz8CBTQRNjy98T8AAAAAGAAAAPz8APwAAgAAAAAAAPC/Am40gLdAguq/Au0vuycPC9m/AAAAABgAAAD8/AD8AAIAAAAAAADwvwLsUbgehSsRwAIKaCJseHrjPwAAAAAkAAAA/PwA/AACAAAAAAAA8L8CeXqlLEMc+78C95fdk4eF7L8AAAAAGAAAAPz8APwAAgAAAAAAAPC/AuxRuB6FKxHAAu0vuycPC9m/AAAAACQAAAD8/AD8AAIAAAAAAADwvwL8qfHSTaIUwAIFNBE2PL3xPwAAAAAYAAAA/PwA/AACAAAAAAAA8L8CG8BbIEHxDkACGlHaG3xh3j8AAAAAGAAAAPz8APwAAgAAAAAAAPC/Ah44Z0Rp7xRAAk9AE2HD07s/AAAAABgAAAD8/AD8AAIAAAAAAADwvwIN4C2QoHgTQAI9LNSa5h30vwAAAAABGAQMAWUEAAAAAAAAAAAIPAFlBAAAAAAAAAAADAgBZQQAAAAAAAAAABAAAWUEAAAAAAAAAAAUBAFlCAwAAAAAAAAAGAABZQQAAAAAAAAAABwEAWUEAAAAAAAAAAAgAAFlCAAAAAAAAAAAJBgBZQQAAAAAAAAAACgUAWUEAAAAAAAAAAAsNAFlBAAAAAAAAAAAMDQBZQQAAAAAAAAAADQQAWUEAAAAAAAAAAA4LAFlBAAAAAAAAAAAPDABZQQAAAAAAAAAAAEQHAFlCAgAAAAAAAAAAREUAWUEAAAAAAAAAAABEgEQAWUEAAAAAAAAAAABEwEQAWUEAAAAAAAAAAABFCQBZQQAAAAAAAAAAAEVJAFlBAAAAAAAAAAAARYkAWUEAAAAAAAAAAA4CAFlBAAAAAAAAAAAARIoAWUICAAAAAAAAAAAAAAA</t>
        </r>
      </text>
    </comment>
    <comment ref="A215" authorId="0" shapeId="0" xr:uid="{E3E5A325-58A7-4527-A19D-50B11E2A2479}">
      <text>
        <r>
          <rPr>
            <sz val="9"/>
            <color indexed="81"/>
            <rFont val="MS P ゴシック"/>
            <family val="3"/>
            <charset val="128"/>
          </rPr>
          <t>Insight iXlW00001C0000215R0585476093S00000428P01296LAocjBAQBF1NjaVRlZ2ljLmRhdGEuTW9sZWN1bGUBbwF/ARJTY2lUZWdpYy5Nb2xlY3VsZQAAAQFkAv5qAQAAAAIAAgESHAAAAPz8APwAAgAAAAAAAPC/AryWkA96tgtAAgAAAAAAAPC/AAAAABgAAAD8/AD8AAIAAAAAAADwvwKb5h2n6MgEQAIAAAAAAADgvwAAAAAYAAAA/PwA/AACAAAAAAAA8L8Cm+Ydp+jIBEACAAAAAAAA4D8AAAAAGAAAAPz8APwAAgAAAAAAAPC/AoPAyqFFtvs/AQAAAAAcAAAA/PwA/AACAAAAAAAA8L8Cg8DKoUW26z8CAAAAAAAA4D8AAAAAGAAAAPz8APwAAgAAAAAAAPC/AAEAAAAAGAAAAPz8APwAAgAAAAAAAPC/AoPAyqFFtuu/AgAAAAAAAOA/AAAAABgAAAD8/AD8AAIAAAAAAADwvwKDwMqhRbb7vwEAAAAAGAAAAPz8APwAAgAAAAAAAPC/ApvmHafoyATAAgAAAAAAAOA/AAAAACQAAAD8/AD8AAIAAAAAAADwvwK8lpAPerYLwAEAAAAAGAAAAPz8APwAAgAAAAAAAPC/ApvmHafoyATAAgAAAAAAAOC/AAAAABgAAAD8/AD8AAIAAAAAAADwvwL0bFZ9rrb7vwIAAAAAAADwvwAAAAAYAAAA/PwA/AACAAAAAAAA8L8Cg8DKoUW2678CAAAAAAAA4L8AAAAAJAAAAPz8APwAAgAAAAAAAPC/AAIAAAAAAADwvwAAAAAYAAAA/PwA/AACAAAAAAAA8L8Cg8DKoUW26z8CAAAAAAAA4L8AAAAAGAAAAPz8APwAAgAAAAAAAPC/AvRsVn2utvs/AgAAAAAAAPC/AAAAAAERAAAA/PwA/AACAAAAAAAA8L8CkX77OnAOEUAC33GKjuTyj78AAAAAAREAAAD8/AD8AAIAAAAAAADwvwIf9GxWfS4VQALfcYqO5PKPPwAAAAABEQAEAWUEAAAAAAAAAAAECAFlBAAAAAAAAAAACAwBZQQAAAAAAAAAAAwQAWUEAAAAAAAAAAAQFAFlBAAAAAAAAAAAFBgBZQQAAAAAAAAAABgcAWUIDAAAAAAAAAAcIAFlBAAAAAAAAAAAICQBZQQAAAAAAAAAACAoAWUICAAAAAAAAAAoLAFlBAAAAAAAAAAALDABZQgIAAAAAAAAADAYAWUEAAAAAAAAAAAwNAFlBAAAAAAAAAAAEDgBZQQAAAAAAAAAADg8AWUEAAAAAAAAAAA8BAFlBAAAAAAAAAAAAAAAAA==</t>
        </r>
      </text>
    </comment>
    <comment ref="A216" authorId="0" shapeId="0" xr:uid="{E95774ED-303D-49FB-88B6-A61C581E47CC}">
      <text>
        <r>
          <rPr>
            <sz val="9"/>
            <color indexed="81"/>
            <rFont val="MS P ゴシック"/>
            <family val="3"/>
            <charset val="128"/>
          </rPr>
          <t>Insight iXlW00001C0000216R0585476093S00000430P01760LAocjBAQBF1NjaVRlZ2ljLmRhdGEuTW9sZWN1bGUBbwF/ARJTY2lUZWdpYy5Nb2xlY3VsZQAAAQFkAv5qAQAAAAIAAgEXGAAAAPz8APwAAgAAAAAAAPC/AqCJsOHpFQVAAu0vuycPC9m/AAAAABgAAAD8/AD8AAIAAAAAAADwvwJdbcX+snsEwAIKaCJseHrjPwAAAAAcAAAA/PwA/AACAAAAAAAA8L8CbjSAt0CC6r8CCmgibHh64z8AAAAAGAAAAPz8APwAAgAAAAAAAPC/Anl6pSxDHPu/AgU0ETY8vfE/AAAAABwAAAD8/AD8AAIAAAAAAADwvwL/snvysFD8PwL3l92Th4XsvwAAAAAYAAAA/PwA/AACAAAAAAAA8L8Cfh04Z0RpC8ACBTQRNjy98T8AAAAAIAAAAPz8APwAAgAAAAAAAPC/AvoP6bevAwxAAveX3ZOHhey/AAAAABgAAAD8/AD8AAIAAAAAAADwvwJdbcX+snsEwALtL7snDwvZvwAAAAAgAAAA/PwA/AACAAAAAAAA8L8CoImw4ekVBUACCmgibHh64z8AAAAAGAAAAPz8APwAAgAAAAAAAPC/Ag3gLZCgeBFAAu0vuycPC9m/AAAAABgAAAD8/AD8AAIAAAAAAADwvwLsUbgehSsRwAIKaCJseHrjPwAAAAAYAAAA/PwA/AACAAAAAAAA8L8Ce6UsQxzr7D8CCmgibHh64z8AAAAAGAAAAPz8APwAAgAAAAAAAPC/AndPHhZqTaM/AveX3ZOHhey/AAAAABgAAAD8/AD8AAIAAAAAAADwvwJ7pSxDHOvsPwLtL7snDwvZvwAAAAAYAAAA/PwA/AACAAAAAAAA8L8CVcGopE5Aoz8CBTQRNjy98T8AAAAAGAAAAPz8APwAAgAAAAAAAPC/Am40gLdAguq/Au0vuycPC9m/AAAAABgAAAD8/AD8AAIAAAAAAADwvwJ+HThnRGkLwAL3l92Th4XsvwAAAAAkAAAA/PwA/AACAAAAAAAA8L8Cfh04Z0RpC8ACA5oIG57eAEAAAAAAGAAAAPz8APwAAgAAAAAAAPC/AuxRuB6FKxHAAu0vuycPC9m/AAAAAAERAAAA/PwA/AACAAAAAAAA8L8Cfh04Z0RpC8AC+8vuycNC/r8AAAAAGAAAAPz8APwAAgAAAAAAAPC/AhvAWyBB8Q5AAhpR2ht8Yd4/AAAAABgAAAD8/AD8AAIAAAAAAADwvwIeOGdEae8UQAJPQBNhw9O7PwAAAAAYAAAA/PwA/AACAAAAAAAA8L8CDeAtkKB4E0ACPSzUmuYd9L8AAAAAARgEDAFlBAAAAAAAAAAACDwBZQQAAAAAAAAAAAwIAWUEAAAAAAAAAAAQAAFlBAAAAAAAAAAAFAQBZQgMAAAAAAAAABgAAWUEAAAAAAAAAAAcBAFlBAAAAAAAAAAAIAABZQgAAAAAAAAAACQYAWUEAAAAAAAAAAAoFAFlBAAAAAAAAAAALDQBZQQAAAAAAAAAADA0AWUEAAAAAAAAAAA0EAFlBAAAAAAAAAAAOCwBZQQAAAAAAAAAADwwAWUEAAAAAAAAAAABEBwBZQgIAAAAAAAAAAERFAFlBAAAAAAAAAAAARIBEAFlBAAAAAAAAAAAARMBEAFlBAAAAAAAAAAAARQkAWUEAAAAAAAAAAABFSQBZQQAAAAAAAAAAAEWJAFlBAAAAAAAAAAAOAgBZQQAAAAAAAAAAAESKAFlCAgAAAAAAAAAAAAAAA==</t>
        </r>
      </text>
    </comment>
    <comment ref="A217" authorId="0" shapeId="0" xr:uid="{3C9A1313-973E-4DEB-85BC-41917DFC1B17}">
      <text>
        <r>
          <rPr>
            <sz val="9"/>
            <color indexed="81"/>
            <rFont val="MS P ゴシック"/>
            <family val="3"/>
            <charset val="128"/>
          </rPr>
          <t>Insight iXlW00001C0000217R0585476093S00000432P01832LAocjBAQBF1NjaVRlZ2ljLmRhdGEuTW9sZWN1bGUBbwF/ARJTY2lUZWdpYy5Nb2xlY3VsZQAAAQFkAv5qAQAAAAIAAgEYGAAAAPz8APwAAgAAAAAAAPC/AqOSOgFNhAZAApeQD3o2q9K/AAAAABgAAAD8/AD8AAIAAAAAAADwvwKTOgFNhA0DwAK1N/jCZKrmPwAAAAAcAAAA/PwA/AACAAAAAAAA8L8CYxBYObTI5L8CtTf4wmSq5j8AAAAAGAAAAPz8APwAAgAAAAAAAPC/AnNoke18P/i/AtsbfGEyVfM/AAAAABwAAAD8/AD8AAIAAAAAAADwvwIFxY8xdy3/PwJMyAc9m1XpvwAAAAAYAAAA/PwA/AACAAAAAAAA8L8CtOpztRX7CcAC2xt8YTJV8z8AAAAAIAAAAPz8APwAAgAAAAAAAPC/AsRCrWnecQ1AAkzIBz2bVem/AAAAABgAAAD8/AD8AAIAAAAAAADwvwKTOgFNhA0DwAKXkA96NqvSvwAAAAAgAAAA/PwA/AACAAAAAAAA8L8Co5I6AU2EBkACtTf4wmSq5j8AAAAAGAAAAPz8APwAAgAAAAAAAPC/AnP5D+m3LxJAApeQD3o2q9K/AAAAABgAAAD8/AD8AAIAAAAAAADwvwJqTfOOU3QQwAKXkA96NqvmPwAAAAAYAAAA/PwA/AACAAAAAAAA8L8CUrgehetR8T8CtTf4wmSq5j8AAAAAGAAAAPz8APwAAgAAAAAAAPC/AoPAyqFFtss/AkzIBz2bVem/AAAAABgAAAD8/AD8AAIAAAAAAADwvwJSuB6F61HxPwKXkA96NqvSvwAAAAAYAAAA/PwA/AACAAAAAAAA8L8Cg8DKoUW2yz8C2xt8YTJV8z8AAAAAGAAAAPz8APwAAgAAAAAAAPC/AmMQWDm0yOS/ApeQD3o2q9K/AAAAABgAAAD8/AD8AAIAAAAAAADwvwK06nO1FfsJwAJqb/CFyVTpvwAAAAAkAAAA/PwA/AACAAAAAAAA8L8CtOpztRX7CcAC7Q2+MJmqAUAAAAAAGAAAAPz8APwAAgAAAAAAAPC/AmpN845TdBDAAtPe4AuTqdK/AAAAACAAAAD8/AD8AAIAAAAAAADwvwK06nO1FfsJwAK1N/jCZKr8vwAAAAAYAAAA/PwA/AACAAAAAAAA8L8CcvkP6bcvEEACOPjCZKpg4j8AAAAAGAAAAPz8APwAAgAAAAAAAPC/Ap88LNSaphVAAtPe4AuTqco/AAAAABgAAAD8/AD8AAIAAAAAAADwvwJz+Q/pty8UQAJnRGlv8IXyvwAAAAAYAAAA/PwA/AACAAAAAAAA8L8Cak3zjlN0EMAC2xt8YTJVAsAAAAAAARkEDAFlBAAAAAAAAAAACDwBZQQAAAAAAAAAAAwIAWUEAAAAAAAAAAAQAAFlBAAAAAAAAAAAFAQBZQgMAAAAAAAAABgAAWUEAAAAAAAAAAAcBAFlBAAAAAAAAAAAIAABZQgAAAAAAAAAACQYAWUEAAAAAAAAAAAoFAFlBAAAAAAAAAAALDQBZQQAAAAAAAAAADA0AWUEAAAAAAAAAAA0EAFlBAAAAAAAAAAAOCwBZQQAAAAAAAAAADwwAWUEAAAAAAAAAAABEBwBZQgIAAAAAAAAAAERFAFlBAAAAAAAAAAAARIBEAFlBAAAAAAAAAAAARMBEAFlBAAAAAAAAAAAARQkAWUEAAAAAAAAAAABFSQBZQQAAAAAAAAAAAEWJAFlBAAAAAAAAAAAARcBEwFlBAAAAAAAAAAAOAgBZQQAAAAAAAAAAAESKAFlCAgAAAAAAAAAAAAAAA==</t>
        </r>
      </text>
    </comment>
    <comment ref="A218" authorId="0" shapeId="0" xr:uid="{008CAE83-7686-4D0B-A73A-1978D3279CB1}">
      <text>
        <r>
          <rPr>
            <sz val="9"/>
            <color indexed="81"/>
            <rFont val="MS P ゴシック"/>
            <family val="3"/>
            <charset val="128"/>
          </rPr>
          <t>Insight iXlW00001C0000218R0585476093S00000434P01756LAocjBAQBF1NjaVRlZ2ljLmRhdGEuTW9sZWN1bGUBbwF/ARJTY2lUZWdpYy5Nb2xlY3VsZQAAAQFkAv5qAQAAAAIAAgEXGAAAAPz8APwAAgAAAAAAAPC/AqCJsOHpFQVAAu0vuycPC9m/AAAAABgAAAD8/AD8AAIAAAAAAADwvwJdbcX+snsEwAIKaCJseHrjPwAAAAAcAAAA/PwA/AACAAAAAAAA8L8CbjSAt0CC6r8CCmgibHh64z8AAAAAGAAAAPz8APwAAgAAAAAAAPC/Anl6pSxDHPu/AgU0ETY8vfE/AAAAABwAAAD8/AD8AAIAAAAAAADwvwL/snvysFD8PwL3l92Th4XsvwAAAAAYAAAA/PwA/AACAAAAAAAA8L8CXW3F/rJ7BMAC7S+7Jw8L2b8AAAAAIAAAAPz8APwAAgAAAAAAAPC/AvoP6bevAwxAAveX3ZOHhey/AAAAABgAAAD8/AD8AAIAAAAAAADwvwJ+HThnRGkLwAIFNBE2PL3xPwAAAAAgAAAA/PwA/AACAAAAAAAA8L8CoImw4ekVBUACCmgibHh64z8AAAAAGAAAAPz8APwAAgAAAAAAAPC/Ag3gLZCgeBFAAu0vuycPC9m/AAAAABgAAAD8/AD8AAIAAAAAAADwvwK38/3UeGkLwAL3l92Th4XsvwAAAAAYAAAA/PwA/AACAAAAAAAA8L8Ce6UsQxzr7D8CCmgibHh64z8AAAAAGAAAAPz8APwAAgAAAAAAAPC/AndPHhZqTaM/AveX3ZOHhey/AAAAABgAAAD8/AD8AAIAAAAAAADwvwJ7pSxDHOvsPwLtL7snDwvZvwAAAAAYAAAA/PwA/AACAAAAAAAA8L8CVcGopE5Aoz8CBTQRNjy98T8AAAAAGAAAAPz8APwAAgAAAAAAAPC/Am40gLdAguq/Au0vuycPC9m/AAAAABgAAAD8/AD8AAIAAAAAAADwvwLsUbgehSsRwAIKaCJseHrjPwAAAAAkAAAA/PwA/AACAAAAAAAA8L8CeXqlLEMc+78C95fdk4eF7L8AAAAAGAAAAPz8APwAAgAAAAAAAPC/AuxRuB6FKxHAAu0vuycPC9m/AAAAABgAAAD8/AD8AAIAAAAAAADwvwIbwFsgQfEOQAIaUdobfGHePwAAAAAYAAAA/PwA/AACAAAAAAAA8L8CHjhnRGnvFEACT0ATYcPTuz8AAAAAGAAAAPz8APwAAgAAAAAAAPC/Ag3gLZCgeBNAAj0s1JrmHfS/AAAAABgAAAD8/AD8AAIAAAAAAADwvwL8qfHSTaIUwAIFNBE2PL3xPwAAAAABGAQMAWUEAAAAAAAAAAAIPAFlBAAAAAAAAAAADAgBZQQAAAAAAAAAABAAAWUEAAAAAAAAAAAUBAFlCAwAAAAAAAAAGAABZQQAAAAAAAAAABwEAWUEAAAAAAAAAAAgAAFlCAAAAAAAAAAAJBgBZQQAAAAAAAAAACgUAWUEAAAAAAAAAAAsNAFlBAAAAAAAAAAAMDQBZQQAAAAAAAAAADQQAWUEAAAAAAAAAAA4LAFlBAAAAAAAAAAAPDABZQQAAAAAAAAAAAEQHAFlCAgAAAAAAAAAAREUAWUEAAAAAAAAAAABEgEQAWUEAAAAAAAAAAABEyQBZQQAAAAAAAAAAAEUJAFlBAAAAAAAAAAAARUkAWUEAAAAAAAAAAABFgEQAWUEAAAAAAAAAAA4CAFlBAAAAAAAAAAAARIoAWUICAAAAAAAAAAAAAAA</t>
        </r>
      </text>
    </comment>
    <comment ref="A219" authorId="0" shapeId="0" xr:uid="{8970C101-C681-409D-984B-B484F26D06E4}">
      <text>
        <r>
          <rPr>
            <sz val="9"/>
            <color indexed="81"/>
            <rFont val="MS P ゴシック"/>
            <family val="3"/>
            <charset val="128"/>
          </rPr>
          <t>Insight iXlW00001C0000219R0585476093S00000436P01756LAocjBAQBF1NjaVRlZ2ljLmRhdGEuTW9sZWN1bGUBbwF/ARJTY2lUZWdpYy5Nb2xlY3VsZQAAAQFkAv5qAQAAAAIAAgEXGAAAAPz8APwAAgAAAAAAAPC/AqCJsOHpFQVAAu0vuycPC9m/AAAAABgAAAD8/AD8AAIAAAAAAADwvwJdbcX+snsEwAIKaCJseHrjPwAAAAAcAAAA/PwA/AACAAAAAAAA8L8CbjSAt0CC6r8CCmgibHh64z8AAAAAHAAAAPz8APwAAgAAAAAAAPC/Av+ye/KwUPw/AveX3ZOHhey/AAAAABgAAAD8/AD8AAIAAAAAAADwvwJ5eqUsQxz7vwIFNBE2PL3xPwAAAAAgAAAA/PwA/AACAAAAAAAA8L8C+g/pt68DDEAC95fdk4eF7L8AAAAAIAAAAPz8APwAAgAAAAAAAPC/AqCJsOHpFQVAAgpoImx4euM/AAAAABgAAAD8/AD8AAIAAAAAAADwvwJ+HThnRGkLwAIFNBE2PL3xPwAAAAAYAAAA/PwA/AACAAAAAAAA8L8CXW3F/rJ7BMAC7S+7Jw8L2b8AAAAAGAAAAPz8APwAAgAAAAAAAPC/Ag3gLZCgeBFAAu0vuycPC9m/AAAAABgAAAD8/AD8AAIAAAAAAADwvwLsUbgehSsRwAIKaCJseHrjPwAAAAAYAAAA/PwA/AACAAAAAAAA8L8Ce6UsQxzr7D8CCmgibHh64z8AAAAAGAAAAPz8APwAAgAAAAAAAPC/AndPHhZqTaM/AveX3ZOHhey/AAAAABgAAAD8/AD8AAIAAAAAAADwvwJ7pSxDHOvsPwLtL7snDwvZvwAAAAAYAAAA/PwA/AACAAAAAAAA8L8CVcGopE5Aoz8CBTQRNjy98T8AAAAAGAAAAPz8APwAAgAAAAAAAPC/Am40gLdAguq/Au0vuycPC9m/AAAAABgAAAD8/AD8AAIAAAAAAADwvwJ+HThnRGkLwAL3l92Th4XsvwAAAAAYAAAA/PwA/AACAAAAAAAA8L8C7FG4HoUrEcAC7S+7Jw8L2b8AAAAAJAAAAPz8APwAAgAAAAAAAPC/An4dOGdEaQvAAvvL7snDQv6/AAAAABgAAAD8/AD8AAIAAAAAAADwvwJ+HThnRGkLwAIDmggbnt4AQAAAAAAYAAAA/PwA/AACAAAAAAAA8L8CG8BbIEHxDkACGlHaG3xh3j8AAAAAGAAAAPz8APwAAgAAAAAAAPC/Ah44Z0Rp7xRAAk9AE2HD07s/AAAAABgAAAD8/AD8AAIAAAAAAADwvwIN4C2QoHgTQAI9LNSa5h30vwAAAAABGAQQAWUEAAAAAAAAAAAIPAFlBAAAAAAAAAAADAABZQQAAAAAAAAAABAIAWUEAAAAAAAAAAAUAAFlBAAAAAAAAAAAGAABZQgAAAAAAAAAABwEAWUIDAAAAAAAAAAgBAFlBAAAAAAAAAAAJBQBZQQAAAAAAAAAACgcAWUEAAAAAAAAAAAsNAFlBAAAAAAAAAAAMDQBZQQAAAAAAAAAADQMAWUEAAAAAAAAAAA4LAFlBAAAAAAAAAAAPDABZQQAAAAAAAAAAAEQIAFlCAgAAAAAAAAAAREBEAFlBAAAAAAAAAAAARIBEAFlBAAAAAAAAAAAARMcAWUEAAAAAAAAAAABFCQBZQQAAAAAAAAAAAEVJAFlBAAAAAAAAAAAARYkAWUEAAAAAAAAAAA4CAFlBAAAAAAAAAAAAREoAWUICAAAAAAAAAAAAAAA</t>
        </r>
      </text>
    </comment>
    <comment ref="A220" authorId="0" shapeId="0" xr:uid="{91BE0C23-35C9-4355-8FF0-7BFE4704BC41}">
      <text>
        <r>
          <rPr>
            <sz val="9"/>
            <color indexed="81"/>
            <rFont val="MS P ゴシック"/>
            <family val="3"/>
            <charset val="128"/>
          </rPr>
          <t>Insight iXlW00001C0000220R0585476093S00000438P01756LAocjBAQBF1NjaVRlZ2ljLmRhdGEuTW9sZWN1bGUBbwF/ARJTY2lUZWdpYy5Nb2xlY3VsZQAAAQFkAv5qAQAAAAIAAgEXGAAAAPz8APwAAgAAAAAAAPC/AuSlm8QgsAVAAoofY+5aQta/AAAAABwAAAD8/AD8AAIAAAAAAADwvwJhw9MrZRnovwI7cM6I0t7kPwAAAAAcAAAA/PwA/AACAAAAAAAA8L8ChutRuB6F/T8CxY8xdy0h678AAAAAGAAAAPz8APwAAgAAAAAAAPC/AhpR2ht84QPAAjtwzojS3uQ/AAAAACAAAAD8/AD8AAIAAAAAAADwvwI9LNSa5p0MQALFjzF3LSHrvwAAAAAgAAAA/PwA/AACAAAAAAAA8L8C5KWbxCCwBUACO3DOiNLe5D8AAAAAGAAAAPz8APwAAgAAAAAAAPC/AsrDQq1p3hDAAoofY+5aQta/AAAAABgAAAD8/AD8AAIAAAAAAADwvwJz1xLyQc8KwALFjzF3LSHrvwAAAAAYAAAA/PwA/AACAAAAAAAA8L8CysNCrWneEMACWRe30QDe5D8AAAAAGAAAAPz8APwAAgAAAAAAAPC/AvJBz2bV5/m/Ah44Z0Rpb/I/AAAAABgAAAD8/AD8AAIAAAAAAADwvwIvbqMBvMURQAKKH2PuWkLWvwAAAAAYAAAA/PwA/AACAAAAAAAA8L8CGlHaG3zhA8ACih9j7lpC1r8AAAAAGAAAAPz8APwAAgAAAAAAAPC/AjsBTYQNzwrAAq2L22gAb/I/AAAAABgAAAD8/AD8AAIAAAAAAADwvwKIFtnO91PvPwI7cM6I0t7kPwAAAAAYAAAA/PwA/AACAAAAAAAA8L8CIbByaJHtvD8CxY8xdy0h678AAAAAGAAAAPz8APwAAgAAAAAAAPC/AogW2c73U+8/AoofY+5aQta/AAAAABgAAAD8/AD8AAIAAAAAAADwvwIQ6bevA+e8PwIeOGdEaW/yPwAAAAAYAAAA/PwA/AACAAAAAAAA8L8CYcPTK2UZ6L8Cih9j7lpC1r8AAAAAJAAAAPz8APwAAgAAAAAAAPC/AjsBTYQNzwrAAuPHmLuWkP2/AAAAACQAAAD8/AD8AAIAAAAAAADwvwLbG3xhMlUUwAIeOGdEaW/yPwAAAAAYAAAA/PwA/AACAAAAAAAA8L8CXtxGA3iLD0ACvjCZKhiV4D8AAAAAGAAAAPz8APwAAgAAAAAAAPC/Aj/G3LWEPBVAAuzAOSNKe8M/AAAAABgAAAD8/AD8AAIAAAAAAADwvwIvbqMBvMUTQAIkKH6MuWvzvwAAAAABGAQBEQFlBAAAAAAAAAAACAABZQQAAAAAAAAAAAwkAWUEAAAAAAAAAAAQAAFlBAAAAAAAAAAAFAABZQgAAAAAAAAAABggAWUEAAAAAAAAAAAcLAFlBAAAAAAAAAAAIDABZQgIAAAAAAAAACQEAWUEAAAAAAAAAAAoEAFlBAAAAAAAAAAALAwBZQgMAAAAAAAAADAMAWUEAAAAAAAAAAA0PAFlBAAAAAAAAAAAODwBZQQAAAAAAAAAADwIAWUEAAAAAAAAAAABEDQBZQQAAAAAAAAAAAEROAFlBAAAAAAAAAAAARIcAWUEAAAAAAAAAAABEyABZQQAAAAAAAAAAAEUKAFlBAAAAAAAAAAAARUoAWUEAAAAAAAAAAABFigBZQQAAAAAAAAAAAEQBAFlBAAAAAAAAAAAGBwBZQgIAAAAAAAAAAAAAAA=</t>
        </r>
      </text>
    </comment>
    <comment ref="A221" authorId="0" shapeId="0" xr:uid="{E1CD2A0E-C652-4850-ACF1-6368E6656B7C}">
      <text>
        <r>
          <rPr>
            <sz val="9"/>
            <color indexed="81"/>
            <rFont val="MS P ゴシック"/>
            <family val="3"/>
            <charset val="128"/>
          </rPr>
          <t>Insight iXlW00001C0000221R0585476093S00000440P01020LAocjBAQBF1NjaVRlZ2ljLmRhdGEuTW9sZWN1bGUBbwF/ARJTY2lUZWdpYy5Nb2xlY3VsZQAAAQFkAv5qAQAAAAIAAjQgAAAA/PwA/AACAAAAAAAA8L8CokW28/3U7D8Cx9y1hHzQ+b8AAAAAGAAAAPz8APwAAgAAAAAAAPC/As07TtGRXPM/Am+BBMWPMeW/AAAAABwAAAD8/AD8AAIAAAAAAADwvwLu68A5I0oBQAKxUGuad5zWvwAAAAAYAAAA/PwA/AACAAAAAAAA8L8C7uvAOSNKAUACqFfKMsSx5D8AAAAAGAAAAPz8APwAAgAAAAAAAPC/As07TtGRXPM/Ar4wmSoYle4/AAAAABwAAAD8/AD8AAIAAAAAAADwvwIK+aBns+rjPwKeXinLEMfCPwAAAAAYAAAA/PwA/AACAAAAAAAA8L8C7Q2+MJkq2L8Cnl4pyxDHwj8AAAAAGAAAAPz8APwAAgAAAAAAAPC/AvcGX5hMFey/AtxoAG+BBOe/AAAAABgAAAD8/AD8AAIAAAAAAADwvwJ8gy9Mpgr+vwLcaABvgQTnvwAAAAAcAAAA/PwA/AACAAAAAAAA8L8CvsEXJlMFA8ACnl4pyxDHwj8AAAAAGAAAAPz8APwAAgAAAAAAAPC/AnyDL0ymCv6/AhaMSuoENPA/AAAAABgAAAD8/AD8AAIAAAAAAADwvwL3Bl+YTBXsvwIWjErqBDTwPwAAAAABEQAAAPz8APwAAgAAAAAAAPC/AlVSJ6CJsAdAAoBIv30dONO/AAAAADQABAFlCAAAAAAAAAAABAgBZQQAAAAAAAAAAAgMAWUEAAAAAAAAAAAMEAFlBAAAAAAAAAAAEBQBZQQAAAAAAAAAABQEAWUEAAAAAAAAAAAUGAFlBAAAAAAAAAAAGBwBZQQAAAAAAAAAABwgAWUEAAAAAAAAAAAgJAFlBAAAAAAAAAAAJCgBZQQAAAAAAAAAACgsAWUEAAAAAAAAAAAsGAFlBAAAAAAAAAAAAAAAAA==</t>
        </r>
      </text>
    </comment>
    <comment ref="A222" authorId="0" shapeId="0" xr:uid="{FA58512B-19B3-4BE2-AE9F-1404BB7D799D}">
      <text>
        <r>
          <rPr>
            <sz val="9"/>
            <color indexed="81"/>
            <rFont val="MS P ゴシック"/>
            <family val="3"/>
            <charset val="128"/>
          </rPr>
          <t>Insight iXlW00001C0000222R0585476093S00000442P01288LAocjBAQBF1NjaVRlZ2ljLmRhdGEuTW9sZWN1bGUBbwF/ARJTY2lUZWdpYy5Nb2xlY3VsZQAAAQFkAv5qAQAAAAIAAgERHAAAAPz8APwAAgAAAAAAAPC/AuhqK/aX3QlAAqfoSC7/IfK/AAAAABgAAAD8/AD8AAIAAAAAAADwvwKP5PIf0u8CQAJP0ZFc/kPkvwAAAAAYAAAA/PwA/AACAAAAAAAA8L8Cj+TyH9LvAkACoKut2F921z8AAAAAGAAAAPz8APwAAgAAAAAAAPC/AtxoAG+BBPg/AtDVVuwvu+s/AAAAABwAAAD8/AD8AAIAAAAAAADwvwI0ETY8vVLkPwJkXdxGA3jXPwAAAAAYAAAA/PwA/AACAAAAAAAA8L8CNBE2PL1S5D8CT9GRXP5D5L8AAAAAGAAAAPz8APwAAgAAAAAAAPC/AtxoAG+BBPg/AqfoSC7/IfK/AAAAABgAAAD8/AD8AAIAAAAAAADwvwI9vVKWIY7NvwKyLm6jAbzrPwAAAAAgAAAA/PwA/AACAAAAAAAA8L8CPb1SliGOzb8CWRe30QDe/T8AAAAAGAAAAPz8APwAAgAAAAAAAPC/AlpkO99PjfG/AmRd3EYDeNc/AAAAABgAAAD8/AD8AAIAAAAAAADwvwJaZDvfT43xvwJP0ZFc/kPkvwAAAAAYAAAA/PwA/AACAAAAAAAA8L8CnMQgsHJo/78Cp+hILv8h8r8AAAAAHAAAAPz8APwAAgAAAAAAAPC/Am8Sg8DKoQbAAk/RkVz+Q+S/AAAAABgAAAD8/AD8AAIAAAAAAADwvwJvEoPAyqEGwAKgq63YX3bXPwAAAAAYAAAA/PwA/AACAAAAAAAA8L8CnMQgsHJo/78C0NVW7C+76z8AAAAAAREAAAD8/AD8AAIAAAAAAADwvwKn6Egu/yEQQALVCWgibHjWPwAAAAABEQAAAPz8APwAAgAAAAAAAPC/AjZeukkMQhRAAvOwUGuad9g/AAAAAAEQAAQBZQQAAAAAAAAAAAQIAWUEAAAAAAAAAAAIDAFlBAAAAAAAAAAADBABZQQAAAAAAAAAABAUAWUEAAAAAAAAAAAUGAFlBAAAAAAAAAAAGAQBZQQAAAAAAAAAABAcAWUEAAAAAAAAAAAcIAFlCAAAAAAAAAAAHCQBZQQAAAAAAAAAACQoAWUIDAAAAAAAAAAoLAFlBAAAAAAAAAAALDABZQgIAAAAAAAAADA0AWUEAAAAAAAAAAA0OAFlCAgAAAAAAAAAOCQBZQQAAAAAAAAAAAAAAAA=</t>
        </r>
      </text>
    </comment>
    <comment ref="A223" authorId="0" shapeId="0" xr:uid="{B1BC3C17-03AC-4681-AFF0-F9967C589807}">
      <text>
        <r>
          <rPr>
            <sz val="9"/>
            <color indexed="81"/>
            <rFont val="MS P ゴシック"/>
            <family val="3"/>
            <charset val="128"/>
          </rPr>
          <t>Insight iXlW00001C0000223R0585476093S00000444P01276LAocjBAQBF1NjaVRlZ2ljLmRhdGEuTW9sZWN1bGUBbwF/ARJTY2lUZWdpYy5Nb2xlY3VsZQAAAQFkAv5qAQAAAAIAAgERHAAAAPz8APwAAgAAAAAAAPC/AryWkA96tgtAAuhqK/aX3e2/AAAAABgAAAD8/AD8AAIAAAAAAADwvwKb5h2n6MgEQALQ1VbsL7vbvwAAAAAYAAAA/PwA/AACAAAAAAAA8L8CYxBYObTIBEACNjy9UpYh4j8AAAAAGAAAAPz8APwAAgAAAAAAAPC/AoPAyqFFtvs/AhueXinLEPE/AAAAABwAAAD8/AD8AAIAAAAAAADwvwKDwMqhRbbrPwIYldQJaCLiPwAAAAAYAAAA/PwA/AACAAAAAAAA8L8AAoxK6gQ0EfE/AAAAABgAAAD8/AD8AAIAAAAAAADwvwKDwMqhRbbrvwIYldQJaCLiPwAAAAAYAAAA/PwA/AACAAAAAAAA8L8Cg8DKoUW2678C0NVW7C+7278AAAAAGAAAAPz8APwAAgAAAAAAAPC/AoPAyqFFtvu/AuhqK/aX3e2/AAAAABgAAAD8/AD8AAIAAAAAAADwvwJjEFg5tMgEwALQ1VbsL7vbvwAAAAAgAAAA/PwA/AACAAAAAAAA8L8CvJaQD3q2C8AC6Gor9pfd7b8AAAAAGAAAAPz8APwAAgAAAAAAAPC/AmMQWDm0yATAAhiV1AloIuI/AAAAABgAAAD8/AD8AAIAAAAAAADwvwKDwMqhRbb7vwKMSuoENBHxPwAAAAAYAAAA/PwA/AACAAAAAAAA8L8Cg8DKoUW26z8C0NVW7C+7278AAAAAGAAAAPz8APwAAgAAAAAAAPC/AoPAyqFFtvs/AuhqK/aX3e2/AAAAAAERAAAA/PwA/AACAAAAAAAA8L8CkX77OnAOEUACC7Wmeccpqj8AAAAAAREAAAD8/AD8AAIAAAAAAADwvwIf9GxWfS4VQAL99nXgnBG1PwAAAAABEAAEAWUEAAAAAAAAAAAECAFlBAAAAAAAAAAACAwBZQQAAAAAAAAAAAwQAWUEAAAAAAAAAAAQFAFlBAAAAAAAAAAAFBgBZQQAAAAAAAAAABgcAWUIDAAAAAAAAAAcIAFlBAAAAAAAAAAAICQBZQgMAAAAAAAAACQoAWUEAAAAAAAAAAAkLAFlBAAAAAAAAAAALDABZQgIAAAAAAAAADAYAWUEAAAAAAAAAAAQNAFlBAAAAAAAAAAANDgBZQQAAAAAAAAAADgEAWUEAAAAAAAAAAAAAAAA</t>
        </r>
      </text>
    </comment>
    <comment ref="A224" authorId="0" shapeId="0" xr:uid="{CE006598-458E-4C2B-8E6B-57DC62434139}">
      <text>
        <r>
          <rPr>
            <sz val="9"/>
            <color indexed="81"/>
            <rFont val="MS P ゴシック"/>
            <family val="3"/>
            <charset val="128"/>
          </rPr>
          <t>Insight iXlW00001C0000224R0585476093S00000446P00932LAocjBAQBF1NjaVRlZ2ljLmRhdGEuTW9sZWN1bGUBbwF/ARJTY2lUZWdpYy5Nb2xlY3VsZQAAAQFkAv5qAQAAAAIAAjAYAAAA/PwA/AACAAAAAAAA8L8C4QuTqYLRBcACb4EExY8x6b8AAAAAHAAAAPz8APwAAgAAAAAAAPC/AsIXJlMFo/u/Am+BBMWPMem/AAAAABgAAAD8/AD8AAIAAAAAAADwvwLCFyZTBaPzvwKh+DHmriW0PwAAAAAgAAAA/PwA/AACAAAAAAAA8L8CwhcmUwWj+78CelioNc077j8AAAAAHAAAAPz8APwAAgAAAAAAAPC/Ag6+MJkqGM2/AqH4MeauJbQ/AAAAABgAAAD8/AD8AAIAAAAAAADwvwL5oGez6nPRPwKY/5B++zruPwAAAAAYAAAA/PwA/AACAAAAAAAA8L8CP+jZrPpc9D8CmP+Qfvs67j8AAAAAGAAAAPz8APwAAgAAAAAAAPC/Aj/o2az6XPw/AqH4MeauJbQ/AAAAABwAAAD8/AD8AAIAAAAAAADwvwIf9GxWfS4GQAKh+DHmriW0PwAAAAAYAAAA/PwA/AACAAAAAAAA8L8CP+jZrPpc9D8Cb4EExY8x6b8AAAAAGAAAAPz8APwAAgAAAAAAAPC/AvmgZ7Pqc9E/Am+BBMWPMem/AAAAAAERAAAA/PwA/AACAAAAAAAA8L8ChlrTvOOUDEACsr/snjwstD8AAAAALAAEAWUEAAAAAAAAAAAECAFlBAAAAAAAAAAACAwBZQgAAAAAAAAAAAgQAWUEAAAAAAAAAAAQFAFlBAAAAAAAAAAAFBgBZQQAAAAAAAAAABgcAWUEAAAAAAAAAAAcIAFlBAAAAAAAAAAAHCQBZQQAAAAAAAAAACQoAWUEAAAAAAAAAAAoEAFlBAAAAAAAAAAAAAAAAA==</t>
        </r>
      </text>
    </comment>
    <comment ref="A225" authorId="0" shapeId="0" xr:uid="{9516A32E-EE3F-4DEA-A28F-471DB4795B34}">
      <text>
        <r>
          <rPr>
            <sz val="9"/>
            <color indexed="81"/>
            <rFont val="MS P ゴシック"/>
            <family val="3"/>
            <charset val="128"/>
          </rPr>
          <t>Insight iXlW00001C0000225R0585476093S00000448P01432LAocjBAQBF1NjaVRlZ2ljLmRhdGEuTW9sZWN1bGUBbwF/ARJTY2lUZWdpYy5Nb2xlY3VsZQAAAQFkAv5qAQAAAAIAAgETHAAAAPz8APwAAgAAAAAAAPC/AoDZPXlYKA5AAnpYqDXNO+y/AAAAABgAAAD8/AD8AAIAAAAAAADwvwJfKcsQxzoHQALzsFBrmnfYvwAAAAAYAAAA/PwA/AACAAAAAAAA8L8CXynLEMc6B0ACpU5AE2HD4z8AAAAAGAAAAPz8APwAAgAAAAAAAPC/Aj55WKg1TQBAAlMnoImw4fE/AAAAABwAAAD8/AD8AAIAAAAAAADwvwI6kst/SL/yPwKHp1fKMsTjPwAAAAAYAAAA/PwA/AACAAAAAAAA8L8CHxZqTfOO0z8CxNMrZRni8T8AAAAAGAAAAPz8APwAAgAAAAAAAPC/AnS1FfvL7uG/AoenV8oyxOM/AAAAABgAAAD8/AD8AAIAAAAAAADwvwL8OnDOiNL2vwJTJ6CJsOHxPwAAAAAYAAAA/PwA/AACAAAAAAAA8L8Cn82qz9VWAsACpU5AE2HD4z8AAAAAJAAAAPz8APwAAgAAAAAAAPC/AsB9HThnRAnAAlMnoImw4fE/AAAAABgAAAD8/AD8AAIAAAAAAADwvwKfzarP1VYCwAK3Yn/ZPXnYvwAAAAAkAAAA/PwA/AACAAAAAAAA8L8CwH0dOGdECcACXLG/7J487L8AAAAAGAAAAPz8APwAAgAAAAAAAPC/Avw6cM6I0va/Alyxv+yePOy/AAAAACQAAAD8/AD8AAIAAAAAAADwvwL8OnDOiNL2vwKu2F92Tx7+vwAAAAAYAAAA/PwA/AACAAAAAAAA8L8CdLUV+8vu4b8C87BQa5p32L8AAAAAGAAAAPz8APwAAgAAAAAAAPC/AjqSy39Iv/I/AvOwUGuad9i/AAAAABgAAAD8/AD8AAIAAAAAAADwvwI+eVioNU0AQAJ6WKg1zTvsvwAAAAABEQAAAPz8APwAAgAAAAAAAPC/AvMf0m9fRxJAAoIExY8xd9m/AAAAAAERAAAA/PwA/AACAAAAAAAA8L8CgZVDi2xnFkACZF3cRgN4178AAAAAARIABAFlBAAAAAAAAAAABAgBZQQAAAAAAAAAAAgMAWUEAAAAAAAAAAAMEAFlBAAAAAAAAAAAEBQBZQQAAAAAAAAAABQYAWUEAAAAAAAAAAAYHAFlCAwAAAAAAAAAHCABZQQAAAAAAAAAACAkAWUEAAAAAAAAAAAgKAFlCAwAAAAAAAAAKCwBZQQAAAAAAAAAACgwAWUEAAAAAAAAAAAwNAFlBAAAAAAAAAAAMDgBZQgIAAAAAAAAADgYAWUEAAAAAAAAAAAQPAFlBAAAAAAAAAAAPAEQAWUEAAAAAAAAAAABEAQBZQQAAAAAAAAAAAAAAAA=</t>
        </r>
      </text>
    </comment>
    <comment ref="A226" authorId="0" shapeId="0" xr:uid="{FD07E12D-F2B8-40B3-B916-89C3B9A3FC90}">
      <text>
        <r>
          <rPr>
            <sz val="9"/>
            <color indexed="81"/>
            <rFont val="MS P ゴシック"/>
            <family val="3"/>
            <charset val="128"/>
          </rPr>
          <t>Insight iXlW00001C0000226R0585476093S00000450P01296LAocjBAQBF1NjaVRlZ2ljLmRhdGEuTW9sZWN1bGUBbwF/ARJTY2lUZWdpYy5Nb2xlY3VsZQAAAQFkAv5qAQAAAAIAAgESGAAAAPz8APwAAgAAAAAAAPC/AryWkA96tgvAAQAAAAAYAAAA/PwA/AACAAAAAAAA8L8Cm+Ydp+jIBMACAAAAAAAA4D8AAAAAGAAAAPz8APwAAgAAAAAAAPC/ApvmHafoyATAAgAAAAAAAOC/AAAAABgAAAD8/AD8AAIAAAAAAADwvwL0bFZ9rrb7vwIAAAAAAADwvwAAAAAYAAAA/PwA/AACAAAAAAAA8L8Cg8DKoUW2678CAAAAAAAA4L8AAAAAJAAAAPz8APwAAgAAAAAAAPC/AAIAAAAAAADwvwAAAAAYAAAA/PwA/AACAAAAAAAA8L8Cg8DKoUW2678CAAAAAAAA4D8AAAAAGAAAAPz8APwAAgAAAAAAAPC/AAEAAAAAHAAAAPz8APwAAgAAAAAAAPC/AoPAyqFFtus/AgAAAAAAAOA/AAAAABgAAAD8/AD8AAIAAAAAAADwvwKDwMqhRbb7PwEAAAAAGAAAAPz8APwAAgAAAAAAAPC/ApvmHafoyARAAgAAAAAAAOA/AAAAABgAAAD8/AD8AAIAAAAAAADwvwKb5h2n6MgEQAIAAAAAAADgvwAAAAAcAAAA/PwA/AACAAAAAAAA8L8CvJaQD3q2C0ACAAAAAAAA8L8AAAAAGAAAAPz8APwAAgAAAAAAAPC/AvRsVn2utvs/AgAAAAAAAPC/AAAAABgAAAD8/AD8AAIAAAAAAADwvwKDwMqhRbbrPwIAAAAAAADgvwAAAAAYAAAA/PwA/AACAAAAAAAA8L8Cg8DKoUW2+78BAAAAAAERAAAA/PwA/AACAAAAAAAA8L8CkX77OnAOEUAC33GKjuTyj78AAAAAAREAAAD8/AD8AAIAAAAAAADwvwIf9GxWfS4VQALfcYqO5PKPPwAAAAABEQAEAWUEAAAAAAAAAAAECAFlCAwAAAAAAAAACAwBZQQAAAAAAAAAAAwQAWUIDAAAAAAAAAAQFAFlBAAAAAAAAAAAEBgBZQQAAAAAAAAAABgcAWUEAAAAAAAAAAAcIAFlBAAAAAAAAAAAICQBZQQAAAAAAAAAACQoAWUEAAAAAAAAAAAoLAFlBAAAAAAAAAAALDABZQQAAAAAAAAAACw0AWUEAAAAAAAAAAA0OAFlBAAAAAAAAAAAOCABZQQAAAAAAAAAABg8AWUICAAAAAAAAAA8BAFlBAAAAAAAAAAAAAAAAA==</t>
        </r>
      </text>
    </comment>
    <comment ref="A227" authorId="0" shapeId="0" xr:uid="{70AE6B81-EF23-4C84-9E36-75070B59C431}">
      <text>
        <r>
          <rPr>
            <sz val="9"/>
            <color indexed="81"/>
            <rFont val="MS P ゴシック"/>
            <family val="3"/>
            <charset val="128"/>
          </rPr>
          <t>Insight iXlW00001C0000227R0585476093S00000452P01316LAocjBAQBF1NjaVRlZ2ljLmRhdGEuTW9sZWN1bGUBbwF/ARJTY2lUZWdpYy5Nb2xlY3VsZQAAAQFkAv5qAQAAAAIAAgESGAAAAPz8APwAAgAAAAAAAPC/AoPAyqFFtvu/AgAAAAAAAABAAAAAABgAAAD8/AD8AAIAAAAAAADwvwL0bFZ9rrb7vwEAAAAAGAAAAPz8APwAAgAAAAAAAPC/ApvmHafoyATAAgAAAAAAAOA/AAAAABgAAAD8/AD8AAIAAAAAAADwvwKb5h2n6MgEwAIAAAAAAADgvwAAAAAYAAAA/PwA/AACAAAAAAAA8L8Cg8DKoUW2+78CAAAAAAAA8L8AAAAAJAAAAPz8APwAAgAAAAAAAPC/AvRsVn2utvu/AgAAAAAAAADAAAAAABgAAAD8/AD8AAIAAAAAAADwvwKDwMqhRbbrvwIAAAAAAADgvwAAAAAYAAAA/PwA/AACAAAAAAAA8L8Cg8DKoUW2678CAAAAAAAA4D8AAAAAGAAAAPz8APwAAgAAAAAAAPC/AAEAAAAAHAAAAPz8APwAAgAAAAAAAPC/AoPAyqFFtus/AgAAAAAAAOA/AAAAABgAAAD8/AD8AAIAAAAAAADwvwKDwMqhRbb7PwEAAAAAGAAAAPz8APwAAgAAAAAAAPC/ApvmHafoyARAAgAAAAAAAOA/AAAAABgAAAD8/AD8AAIAAAAAAADwvwKb5h2n6MgEQAIAAAAAAADgvwAAAAAcAAAA/PwA/AACAAAAAAAA8L8CvJaQD3q2C0ACAAAAAAAA8L8AAAAAGAAAAPz8APwAAgAAAAAAAPC/AvRsVn2utvs/AgAAAAAAAPC/AAAAABgAAAD8/AD8AAIAAAAAAADwvwKDwMqhRbbrPwIAAAAAAADgvwAAAAABEQAAAPz8APwAAgAAAAAAAPC/ApF++zpwDhFAAt9xio7k8o+/AAAAAAERAAAA/PwA/AACAAAAAAAA8L8CH/RsVn0uFUAC33GKjuTyjz8AAAAAAREABAFlBAAAAAAAAAAABAgBZQgMAAAAAAAAAAgMAWUEAAAAAAAAAAAMEAFlCAwAAAAAAAAAEBQBZQQAAAAAAAAAABAYAWUEAAAAAAAAAAAYHAFlCAgAAAAAAAAAHAQBZQQAAAAAAAAAABwgAWUEAAAAAAAAAAAgJAFlBAAAAAAAAAAAJCgBZQQAAAAAAAAAACgsAWUEAAAAAAAAAAAsMAFlBAAAAAAAAAAAMDQBZQQAAAAAAAAAADA4AWUEAAAAAAAAAAA4PAFlBAAAAAAAAAAAPCQBZQQAAAAAAAAAAAAAAAA=</t>
        </r>
      </text>
    </comment>
    <comment ref="A228" authorId="0" shapeId="0" xr:uid="{D0441141-DD01-471D-BE0F-6E9C40624201}">
      <text>
        <r>
          <rPr>
            <sz val="9"/>
            <color indexed="81"/>
            <rFont val="MS P ゴシック"/>
            <family val="3"/>
            <charset val="128"/>
          </rPr>
          <t>Insight iXlW00001C0000228R0585476093S00000454P01376LAocjBAQBF1NjaVRlZ2ljLmRhdGEuTW9sZWN1bGUBbwF/ARJTY2lUZWdpYy5Nb2xlY3VsZQAAAQFkAv5qAQAAAAIBAgESHAAAAPz8APwAAgAAAAAAAPC/AusENBE2PBDAAtlfdk8eFtq/AAAAABgMAAD8/AD8AAIAAAAAAADwvwLVCWgibHgIwALZX3ZPHhbavwAAAAAYAAAA/PwA/AACAAAAAAAA8L8C1QloImx4BMACOPjCZKpg9L8AAAAAGAAAAPz8APwAAgAAAAAAAPC/AqoT0ETY8Pi/Ajj4wmSqYPS/AAAAABgMAAD8/AD8AAIAAAAAAADwvwKpE9BE2PDwvwIVrkfhehTavwAAAAAYAAAA/PwA/AACAAAAAAAA8L8CqhPQRNjw+L8C8tJNYhBY3T8AAAAAGAAAAPz8APwAAgAAAAAAAPC/AtUJaCJseATAAvLSTWIQWN0/AAAAABwAAAD8/AD8AAIAAAAAAADwvwImdQKaCBuuvwIVrkfhehTavwAAAAAYAAAA/PwA/AACAAAAAAAA8L8CXLG/7J483D8C8tJNYhBY3T8AAAAAIAAAAPz8APwAAgAAAAAAAPC/AiZ1ApoIG66/Av7UeOkmMfU/AAAAABgAAAD8/AD8AAIAAAAAAADwvwJX7C+7Jw/3PwLy0k1iEFjdPwAAAAAYAAAA/PwA/AACAAAAAAAA8L8CV+wvuycP/z8C/tR46SYx9T8AAAAAGAAAAPz8APwAAgAAAAAAAPC/Aiz2l92ThwdAAv7UeOkmMfU/AAAAABgAAAD8/AD8AAIAAAAAAADwvwIs9pfdk4cLQALy0k1iEFjdPwAAAAAYAAAA/PwA/AACAAAAAAAA8L8CLPaX3ZOHB0ACFa5H4XoU2r8AAAAAGAAAAPz8APwAAgAAAAAAAPC/AlfsL7snD/8/AhWuR+F6FNq/AAAAACQAAAD8/AD8AAIAAAAAAADwvwJX7C+7Jw/3PwLHSzeJQWD0vwAAAAABEQAAAPz8APwAAgAAAAAAAPC/Akku/yH99hBAAuomMQisHJo/AAAAAAESBAABZQQQAAAAAAAAAAQIAWUEAAAAAAAAAAAIDAFlBAAAAAAAAAAADBABZQQAAAAAAAAAABAUAWUEAAAAAAAAAAAUGAFlBAAAAAAAAAAAGAQBZQQAAAAAAAAAABAcAWUEFAAAAAAAAAAcIAFlBAAAAAAAAAAAICQBZQgAAAAAAAAAACAoAWUEAAAAAAAAAAAoLAFlCAwAAAAAAAAALDABZQQAAAAAAAAAADA0AWUICAAAAAAAAAA0OAFlBAAAAAAAAAAAODwBZQgIAAAAAAAAADwoAWUEAAAAAAAAAAA8ARABZQQAAAAAAAAAAAAAAAA=</t>
        </r>
      </text>
    </comment>
    <comment ref="A229" authorId="0" shapeId="0" xr:uid="{B5ED611F-5642-4166-8AD4-5E61261EE130}">
      <text>
        <r>
          <rPr>
            <sz val="9"/>
            <color indexed="81"/>
            <rFont val="MS P ゴシック"/>
            <family val="3"/>
            <charset val="128"/>
          </rPr>
          <t>Insight iXlW00001C0000229R0585476093S00000456P01380LAocjBAQBF1NjaVRlZ2ljLmRhdGEuTW9sZWN1bGUBbwF/ARJTY2lUZWdpYy5Nb2xlY3VsZQAAAQFkAv5qAQAAAAIBAgESHAAAAPz8APwAAgAAAAAAAPC/AuJ6FK5HYQ/AAqoT0ETY8Pg/AAAAABgMAAD8/AD8AAIAAAAAAADwvwLByqFFtnMIwAKpE9BE2PDwPwAAAAAYAAAA/PwA/AACAAAAAAAA8L8CwcqhRbZzCMACJnUCmggbrj8AAAAAGAAAAPz8APwAAgAAAAAAAPC/AqAaL90khgHAAlyxv+yePNy/AAAAABgMAAD8/AD8AAIAAAAAAADwvwL+1HjpJjH1vwImdQKaCBuuPwAAAAAYAAAA/PwA/AACAAAAAAAA8L8C/tR46SYx9b8CqRPQRNjw8D8AAAAAGAAAAPz8APwAAgAAAAAAAPC/AqAaL90khgHAAqoT0ETY8Pg/AAAAABwAAAD8/AD8AAIAAAAAAADwvwLy0k1iEFjdvwJcsb/snjzcvwAAAAAYAAAA/PwA/AACAAAAAAAA8L8CFa5H4XoU2j8CJnUCmggbrj8AAAAAIAAAAPz8APwAAgAAAAAAAPC/Atlfdk8eFto/AqkT0ETY8PA/AAAAABgAAAD8/AD8AAIAAAAAAADwvwI4+MJkqmD0PwJcsb/snjzcvwAAAAAYAAAA/PwA/AACAAAAAAAA8L8COPjCZKpg9D8CV+wvuycP978AAAAAGAAAAPz8APwAAgAAAAAAAPC/Aj0s1JrmHQFAAlfsL7snD/+/AAAAABgAAAD8/AD8AAIAAAAAAADwvwJe3EYDeAsIQAJX7C+7Jw/3vwAAAAAYAAAA/PwA/AACAAAAAAAA8L8CXtxGA3gLCEACXLG/7J483L8AAAAAASMAAAD8/AD8AAIAAAAAAADwvwJ/jLlrCfkOQAImdQKaCBuuPwAAAAAYAAAA/PwA/AACAAAAAAAA8L8CPSzUmuYdAUACJnUCmggbrj8AAAAAAREAAAD8/AD8AAIAAAAAAADwvwJz+Q/pt68SQAK3Yn/ZPXnIvwAAAAABEgQAAWUEEAAAAAAAAAAECAFlBAAAAAAAAAAACAwBZQQAAAAAAAAAAAwQAWUEAAAAAAAAAAAQFAFlBAAAAAAAAAAAFBgBZQQAAAAAAAAAABgEAWUEAAAAAAAAAAAQHAFlBBQAAAAAAAAAHCABZQQAAAAAAAAAACAkAWUIAAAAAAAAAAAgKAFlBAAAAAAAAAAAKCwBZQgMAAAAAAAAACwwAWUEAAAAAAAAAAAwNAFlCAgAAAAAAAAANDgBZQQAAAAAAAAAADg8AWUEAAAAAAAAAAA4ARABZQgIAAAAAAAAAAEQKAFlBAAAAAAAAAAAAAAAAA==</t>
        </r>
      </text>
    </comment>
    <comment ref="A230" authorId="0" shapeId="0" xr:uid="{E202DC86-5740-4976-AB3B-7F735045A0F3}">
      <text>
        <r>
          <rPr>
            <sz val="9"/>
            <color indexed="81"/>
            <rFont val="MS P ゴシック"/>
            <family val="3"/>
            <charset val="128"/>
          </rPr>
          <t>Insight iXlW00001C0000230R0585476093S00000458P01380LAocjBAQBF1NjaVRlZ2ljLmRhdGEuTW9sZWN1bGUBbwF/ARJTY2lUZWdpYy5Nb2xlY3VsZQAAAQFkAv5qAQAAAAIBAgESHAAAAPz8APwAAgAAAAAAAPC/Asb+snvy8BDAAgajkjoBTeC/AAAAABgMAAD8/AD8AAIAAAAAAADwvwKL/WX35OEJwAIGo5I6AU3gvwAAAAAYAAAA/PwA/AACAAAAAAAA8L8Ci/1l9+ThBcACNl66SQwC9r8AAAAAGAAAAPz8APwAAgAAAAAAAPC/Ahb7y+7Jw/u/AsSxLm6jAfa/AAAAABgMAAD8/AD8AAIAAAAAAADwvwIW+8vuycPzvwIGo5I6AU3gvwAAAAAYAAAA/PwA/AACAAAAAAAA8L8CFvvL7snD+78C/DpwzojS1j8AAAAAGAAAAPz8APwAAgAAAAAAAPC/Aov9Zffk4QXAAvw6cM6I0tY/AAAAABwAAAD8/AD8AAIAAAAAAADwvwKu2F92Tx7OvwIGo5I6AU3gvwAAAAAYAAAA/PwA/AACAAAAAAAA8L8CqRPQRNjw0D8C/DpwzojS1j8AAAAAIAAAAPz8APwAAgAAAAAAAPC/Aq7YX3ZPHs6/AgFvgQTFj/M/AAAAABgAAAD8/AD8AAIAAAAAAADwvwLrBDQRNjz0PwL8OnDOiNLWPwAAAAAYAAAA/PwA/AACAAAAAAAA8L8C6wQ0ETY8/D8CAW+BBMWP8z8AAAAAGAAAAPz8APwAAgAAAAAAAPC/AnUCmggbHgZAAgFvgQTFj/M/AAAAABgAAAD8/AD8AAIAAAAAAADwvwJ1ApoIGx4KQAL8OnDOiNLWPwAAAAABIwAAAPz8APwAAgAAAAAAAPC/AjsBTYQNDxFAAvw6cM6I0tY/AAAAABgAAAD8/AD8AAIAAAAAAADwvwJ1ApoIGx4GQAIGo5I6AU3gvwAAAAAYAAAA/PwA/AACAAAAAAAA8L8C6wQ0ETY8/D8CBqOSOgFN4L8AAAAAAREAAAD8/AD8AAIAAAAAAADwvwJuNIC3QEIUQAIv3SQGgZWzvwAAAAABEgQAAWUEEAAAAAAAAAAECAFlBAAAAAAAAAAACAwBZQQAAAAAAAAAAAwQAWUEAAAAAAAAAAAQFAFlBAAAAAAAAAAAFBgBZQQAAAAAAAAAABgEAWUEAAAAAAAAAAAQHAFlBBQAAAAAAAAAHCABZQQAAAAAAAAAACAkAWUIAAAAAAAAAAAgKAFlBAAAAAAAAAAAKCwBZQgMAAAAAAAAACwwAWUEAAAAAAAAAAAwNAFlCAwAAAAAAAAANDgBZQQAAAAAAAAAADQ8AWUEAAAAAAAAAAA8ARABZQgIAAAAAAAAAAEQKAFlBAAAAAAAAAAAAAAAAA==</t>
        </r>
      </text>
    </comment>
    <comment ref="A231" authorId="0" shapeId="0" xr:uid="{BCB201DD-C98A-4B40-8615-FD7DDCB68B27}">
      <text>
        <r>
          <rPr>
            <sz val="9"/>
            <color indexed="81"/>
            <rFont val="MS P ゴシック"/>
            <family val="3"/>
            <charset val="128"/>
          </rPr>
          <t>Insight iXlW00001C0000231R0585476093S00000460P01520LAocjBAQBF1NjaVRlZ2ljLmRhdGEuTW9sZWN1bGUBbwF/ARJTY2lUZWdpYy5Nb2xlY3VsZQAAAQFkAv5qAQAAAAIBAgEUGAAAAPz8APwAAgAAAAAAAPC/AhwN4C2QoADAApqZmZmZmeE/AAAAABgAAAD8/AD8AAIAAAAAAADwvwLi6ZWyDPEIQALNzMzMzMzcvwAAAAAcAAAA/PwA/AACAAAAAAAA8L8CwTkjSnsDAkACZ2ZmZmZm7r8AAAAAHAAAAPz8APwAAgAAAAAAAPC/Ava52or9ZfO/As3MzMzMzPA/AAAAACAAAAD8/AD8AAIAAAAAAADwvwJ1kxgEVo4HwALNzMzMzMzwPwAAAAAgAAAA/PwA/AACAAAAAAAA8L8CVOOlm8SgAMACzczMzMzM3L8AAAAAIAAAAPz8APwAAgAAAAAAAPC/AuLplbIM8QhAApqZmZmZmeE/AAAAABgAAAD8/AD8AAIAAAAAAADwvwKWQ4ts53sOwAKamZmZmZnhPwAAAAAYAAAA/PwA/AACAAAAAAAA8L8CA5oIG57eD0ACZ2ZmZmZm7r8AAAAAGAgAAPz8APwAAgAAAAAAAPC/AtBm1edqK/Y/As3MzMzMzNy/AAAAABgMAAD8/AD8AAIAAAAAAADwvwLQZtXnaivWvwKamZmZmZnhPwAAAAAYAAAA/PwA/AACAAAAAAAA8L8CHA3gLZCg4D8CZ2ZmZmZm7r8AAAAAGAAAAPz8APwAAgAAAAAAAPC/AtBm1edqK/Y/ApqZmZmZmeE/AAAAABgAAAD8/AD8AAIAAAAAAADwvwLQZtXnaivWvwLNzMzMzMzcvwAAAAAYAAAA/PwA/AACAAAAAAAA8L8CHA3gLZCg4D8CzczMzMzM8D8AAAAAGAAAAPz8APwAAgAAAAAAAPC/ApZDi2znewrAAtNNYhBYOdS/AAAAABgAAAD8/AD8AAIAAAAAAADwvwLb+X5qvLQSwAKamZmZmZmpPwAAAAAYAAAA/PwA/AACAAAAAAAA8L8Cy6FFtvM9EcACDy2yne+n9j8AAAAAGAAAAPz8APwAAgAAAAAAAPC/AhKlvcEXZhNAAs3MzMzMzNy/AAAAABgAAAD8/AD8AAIAAAAAAADwvwIDmggbnt4PQAI0MzMzMzP/vwAAAAABFAQIAWUEAAAAAAAAAAAkCAFlBBQAAAAAAAAADAABZQQAAAAAAAAAABAAAWUEAAAAAAAAAAAUAAFlCAAAAAAAAAAAGAQBZQgAAAAAAAAAABwQAWUEAAAAAAAAAAAgBAFlBAAAAAAAAAAAJDABZQQAAAAAAAAAACgMAWUEEAAAAAAAAAAsNAFlBAAAAAAAAAAAMDgBZQQAAAAAAAAAADQoAWUEAAAAAAAAAAA4KAFlBAAAAAAAAAAAPBwBZQQAAAAAAAAAAAEQHAFlBAAAAAAAAAAAAREcAWUEAAAAAAAAAAABEiABZQQAAAAAAAAAAAETIAFlBAAAAAAAAAAAJCwBZQQAAAAAAAAAAAAAAAA=</t>
        </r>
      </text>
    </comment>
    <comment ref="A232" authorId="0" shapeId="0" xr:uid="{2A2C56B2-8CF1-4420-A6E3-99C8FAD2B023}">
      <text>
        <r>
          <rPr>
            <sz val="9"/>
            <color indexed="81"/>
            <rFont val="MS P ゴシック"/>
            <family val="3"/>
            <charset val="128"/>
          </rPr>
          <t>Insight iXlW00001C0000232R0585476093S00000462P01688LAocjBAQBF1NjaVRlZ2ljLmRhdGEuTW9sZWN1bGUBbwF/ARJTY2lUZWdpYy5Nb2xlY3VsZQAAAQFkAv5qAQAAAAIBAgEWGAAAAPz8APwAAgAAAAAAAPC/AuELk6mC0QVAAqH4MeauJbS/AAAAABwAAAD8/AD8AAIAAAAAAADwvwKpNc07TtEBQAJvgQTFjzHpPwAAAAAgAAAA/PwA/AACAAAAAAAA8L8C4QuTqYLRDUACofgx5q4ltL8AAAAAIAAAAPz8APwAAgAAAAAAAPC/AuELk6mC0QFAApj/kH77Ou6/AAAAABwAAAD8/AD8AAIAAAAAAADwvwI/6Nms+lz8vwJvgQTFjzHpPwAAAAAYAAAA/PwA/AACAAAAAAAA8L8C8YXJVMHoEEACmP+Qfvs67r8AAAAAGAwAAPz8APwAAgAAAAAAAPC/AlFrmnecovM/Am+BBMWPMek/AAAAABgIAAD8/AD8AAIAAAAAAADwvwJ90LNZ9bnovwJvgQTFjzHpPwAAAAAYAAAA/PwA/AACAAAAAAAA8L8CH/RsVn0uAsACsr/snjwstL8AAAAAGAAAAPz8APwAAgAAAAAAAPC/AoQvTKYKRuc/AvmgZ7Pqc/o/AAAAABgAAAD8/AD8AAIAAAAAAADwvwKEL0ymCkbnPwKh+DHmriW0vwAAAAAYAAAA/PwA/AACAAAAAAAA8L8C+aBns+pz0b8Cofgx5q4ltL8AAAAAGAAAAPz8APwAAgAAAAAAAPC/AvmgZ7Pqc9G/AvmgZ7Pqc/o/AAAAABgAAAD8/AD8AAIAAAAAAADwvwIf9GxWfS4KwAKyv+yePCy0vwAAAAAYAAAA/PwA/AACAAAAAAAA8L8CAd4CCYpfFEACL/8h/fZ13L8AAAAAGAAAAPz8APwAAgAAAAAAAPC/AvGFyVTB6BJAAn+MuWsJ+fy/AAAAABgAAAD8/AD8AAIAAAAAAADwvwKIhVrTvOMKQALMf0i/fR33vwAAAAAYAAAA/PwA/AACAAAAAAAA8L8CIPRsVn0uDsACjSjtDb4w6T8AAAAAGAAAAPz8APwAAgAAAAAAAPC/AiD0bFZ9Lg7AAnpYqDXNO+6/AAAAABgAAAD8/AD8AAIAAAAAAADwvwIQejarPhcTwAJ6WKg1zTvuvwAAAAAYAAAA/PwA/AACAAAAAAAA8L8CEHo2qz4XE8ACjSjtDb4w6T8AAAAAGAAAAPz8APwAAgAAAAAAAPC/AhB6Nqs+FxXAArK/7J48LLS/AAAAAAEXBAABZQQAAAAAAAAAAAgAAWUEAAAAAAAAAAAMAAFlCAAAAAAAAAAAHBABZQQUAAAAAAAAABQIAWUEAAAAAAAAAAAYBAFlBBAAAAAAAAAAHCwBZQQAAAAAAAAAACAQAWUEAAAAAAAAAAAkGAFlBAAAAAAAAAAAKBgBZQQAAAAAAAAAACwoAWUEAAAAAAAAAAAwJAFlBAAAAAAAAAAANCABZQQAAAAAAAAAADgUAWUEAAAAAAAAAAA8FAFlBAAAAAAAAAAAARAUAWUEAAAAAAAAAAABETQBZQQAAAAAAAAAAAESNAFlBAAAAAAAAAAAARMBEgFlBAAAAAAAAAAAARQBEQFlBAAAAAAAAAAAARUBEwFlBAAAAAAAAAAAHDABZQQAAAAAAAAAAAEVARQBZQQAAAAAAAAAAAAAAAA=</t>
        </r>
      </text>
    </comment>
    <comment ref="A233" authorId="0" shapeId="0" xr:uid="{FB5EF6A1-12A2-4686-A027-F5C6A309E7A9}">
      <text>
        <r>
          <rPr>
            <sz val="9"/>
            <color indexed="81"/>
            <rFont val="MS P ゴシック"/>
            <family val="3"/>
            <charset val="128"/>
          </rPr>
          <t>Insight iXlW00001C0000233R0585476093S00000464P01684LAocjBAQBF1NjaVRlZ2ljLmRhdGEuTW9sZWN1bGUBbwF/ARJTY2lUZWdpYy5Nb2xlY3VsZQAAAQFkAv5qAQAAAAIBAgEWGAAAAPz8APwAAgAAAAAAAPC/AmB2Tx4WagVAAljKMsSxLuq/AAAAABwAAAD8/AD8AAIAAAAAAADwvwJ/jLlrCfn8PwIsZRniWBf1vwAAAAAgAAAA/PwA/AACAAAAAAAA8L8CgSbChqdXDEACLGUZ4lgX9b8AAAAAIAAAAPz8APwAAgAAAAAAAPC/AmB2Tx4WagVAAqLWNO84Rcc/AAAAABwAAAD8/AD8AAIAAAAAAADwvwKcM6K0N3gUwAKpNc07TtHlPwAAAAAcAAAA/PwA/AACAAAAAAAA8L8C+aBns+pz+r8CqTXNO07R5T8AAAAAGAAAAPz8APwAAgAAAAAAAPC/AlFrmnecohFAAljKMsSxLuq/AAAAABgAAAD8/AD8AAIAAAAAAADwvwL3Bl+YTBULwAKpNc07TtHlPwAAAAAYAAAA/PwA/AACAAAAAAAA8L8CnoAmwoYnBMACotY07zhFxz8AAAAAGAwAAPz8APwAAgAAAAAAAPC/Apj/kH77Ou4/AljKMsSxLuq/AAAAABgIAAD8/AD8AAIAAAAAAADwvwJvgQTFjzHpvwKi1jTvOEXHPwAAAAAYAAAA/PwA/AACAAAAAAAA8L8CelioNc077j8CotY07zhFxz8AAAAAGAAAAPz8APwAAgAAAAAAAPC/AqH4MeauJbQ/AixlGeJYF/W/AAAAABgAAAD8/AD8AAIAAAAAAADwvwJvgQTFjzHpvwJYyjLEsS7qvwAAAAAYAAAA/PwA/AACAAAAAAAA8L8Cofgx5q4ltD8CqTXNO07R5T8AAAAAGAAAAPz8APwAAgAAAAAAAPC/AozbaABvARHAAqLWNO84Rcc/AAAAABgAAAD8/AD8AAIAAAAAAADwvwKcM6K0N3gUwALVmuYdp+j6PwAAAAAYAAAA/PwA/AACAAAAAAAA8L8CotY07zhFD0AC2fD0SlmGqD8AAAAAGAAAAPz8APwAAgAAAAAAAPC/An6utmJ/GRVAArCUZYhjXdS/AAAAABgAAAD8/AD8AAIAAAAAAADwvwJRa5p3nKITQAJuxf6ye/L6vwAAAAAYAAAA/PwA/AACAAAAAAAA8L8CvjCZKhgVC8AC1ZrmHafo+j8AAAAAGAAAAPz8APwAAgAAAAAAAPC/AozbaABvARHAAmpN845TdAFAAAAAAAEXBAABZQQAAAAAAAAAAAgAAWUEAAAAAAAAAAAMAAFlCAAAAAAAAAAAEDwBZQgIAAAAAAAAACgUAWUEFAAAAAAAAAAYCAFlBAAAAAAAAAAAHCABZQQAAAAAAAAAACAUAWUEAAAAAAAAAAAkBAFlBBAAAAAAAAAAKDQBZQQAAAAAAAAAACwkAWUEAAAAAAAAAAAwJAFlBAAAAAAAAAAANDABZQQAAAAAAAAAADgsAWUEAAAAAAAAAAA8HAFlBAAAAAAAAAAAARABFQFlCAgAAAAAAAAAAREYAWUEAAAAAAAAAAABEhgBZQQAAAAAAAAAAAETGAFlBAAAAAAAAAAAARQcAWUIDAAAAAAAAAABFQEUAWUEAAAAAAAAAAAoOAFlBAAAAAAAAAAAARAQAWUEAAAAAAAAAAAAAAAA</t>
        </r>
      </text>
    </comment>
    <comment ref="A234" authorId="0" shapeId="0" xr:uid="{EDB9E54B-A7B9-41A2-B27C-C18F582A230E}">
      <text>
        <r>
          <rPr>
            <sz val="9"/>
            <color indexed="81"/>
            <rFont val="MS P ゴシック"/>
            <family val="3"/>
            <charset val="128"/>
          </rPr>
          <t>Insight iXlW00001C0000234R0585476093S00000466P00984LAocjBAQBF1NjaVRlZ2ljLmRhdGEuTW9sZWN1bGUBbwF/ARJTY2lUZWdpYy5Nb2xlY3VsZQAAAQFkAv5qAQAAAAIAAjQYAAAA/PwA/AACAAAAAAAA8L8C9wZfmEwVC8ACsJRliGNd1D8AAAAAIAAAAPz8APwAAgAAAAAAAPC/Ap6AJsKGJwTAAljKMsSxLuo/AAAAABgAAAD8/AD8AAIAAAAAAADwvwL5oGez6nP6vwKwlGWIY13UPwAAAAAYAAAA/PwA/AACAAAAAAAA8L8Cb4EExY8x6b8CWMoyxLEu6j8AAAAAHAAAAPz8APwAAgAAAAAAAPC/AqH4MeauJbQ/ArCUZYhjXdQ/AAAAABgAAAD8/AD8AAIAAAAAAADwvwKY/5B++zruPwJYyjLEsS7qPwAAAAAYAAAA/PwA/AACAAAAAAAA8L8Cf4y5awn5/D8CsJRliGNd1D8AAAAAGAAAAPz8APwAAgAAAAAAAPC/An+MuWsJ+fw/Aqk1zTtO0eW/AAAAABwAAAD8/AD8AAIAAAAAAADwvwJgdk8eFmoFQALUmuYdp+jyvwAAAAAYAAAA/PwA/AACAAAAAAAA8L8CelioNc077j8C1JrmHafo8r8AAAAAGAAAAPz8APwAAgAAAAAAAPC/AqH4MeauJbQ/Aqk1zTtO0eW/AAAAAAERAAAA/PwA/AACAAAAAAAA8L8Cx9y1hHzQC0ACwH0dOGdEyb8AAAAAAREAAAD8/AD8AAIAAAAAAADwvwLxY8xdSwgSQAKEL0ymCkbFvwAAAAAsAAQBZQQAAAAAAAAAAAQIAWUEAAAAAAAAAAAIDAFlBAAAAAAAAAAADBABZQQAAAAAAAAAABAUAWUEAAAAAAAAAAAUGAFlBAAAAAAAAAAAGBwBZQQAAAAAAAAAABwgAWUEAAAAAAAAAAAcJAFlBAAAAAAAAAAAJCgBZQQAAAAAAAAAACgQAWUEAAAAAAAAAAAAAAAA</t>
        </r>
      </text>
    </comment>
    <comment ref="A235" authorId="0" shapeId="0" xr:uid="{9016031A-4B43-4DEB-9CC9-76A3F44D2BEC}">
      <text>
        <r>
          <rPr>
            <sz val="9"/>
            <color indexed="81"/>
            <rFont val="MS P ゴシック"/>
            <family val="3"/>
            <charset val="128"/>
          </rPr>
          <t>Insight iXlW00001C0000235R0585476093S00000468P01504LAocjBAQBF1NjaVRlZ2ljLmRhdGEuTW9sZWN1bGUBbwF/ARJTY2lUZWdpYy5Nb2xlY3VsZQAAAQFkAv5qAQAAAAIAAgEUGAAAAPz8APwAAgAAAAAAAPC/AgAAAAAAABHAAhwN4C2QoKg/AAAAACAAAAD8/AD8AAIAAAAAAADwvwIAAAAAAAAKwAIcDeAtkKCoPwAAAAAYAAAA/PwA/AACAAAAAAAA8L8CAAAAAAAABsACsr/snjws6r8AAAAAIAAAAPz8APwAAgAAAAAAAPC/AgAAAAAAAArAAhvAWyBB8fq/AAAAABgAAAD8/AD8AAIAAAAAAADwvwIAAAAAAAD8vwKyv+yePCzqvwAAAAAYAAAA/PwA/AACAAAAAAAA8L8CAAAAAAAA9L8CG8BbIEHx+r8AAAAAGAAAAPz8APwAAgAAAAAAAPC/AgAAAAAAANC/AhvAWyBB8fq/AAAAABgAAAD8/AD8AAIAAAAAAADwvwIAAAAAAADQPwKyv+yePCzqvwAAAAAYAAAA/PwA/AACAAAAAAAA8L8CAAAAAAAA0L8CHA3gLZCgqD8AAAAAGAAAAPz8APwAAgAAAAAAAPC/AgAAAAAAANA/AlXBqKROQO0/AAAAABwAAAD8/AD8AAIAAAAAAADwvwIAAAAAAAD0PwJVwaikTkDtPwAAAAAYAAAA/PwA/AACAAAAAAAA8L8CAAAAAAAA/D8C7MA5I0p7/D8AAAAAGAAAAPz8APwAAgAAAAAAAPC/AgAAAAAAAAZAAuzAOSNKe/w/AAAAABgAAAD8/AD8AAIAAAAAAADwvwIAAAAAAAAKQAJVwaikTkDtPwAAAAAcAAAA/PwA/AACAAAAAAAA8L8CAAAAAAAAEUACVcGopE5A7T8AAAAAGAAAAPz8APwAAgAAAAAAAPC/AgAAAAAAAAZAAhwN4C2QoKg/AAAAABgAAAD8/AD8AAIAAAAAAADwvwIAAAAAAAD8PwIcDeAtkKCoPwAAAAAYAAAA/PwA/AACAAAAAAAA8L8CAAAAAAAA9L8CHA3gLZCgqD8AAAAAAREAAAD8/AD8AAIAAAAAAADwvwIzMzMzMzMUQAKkcD0K16OgPwAAAAABEQAAAPz8APwAAgAAAAAAAPC/AsKopE5AUxhAAspUwaikTrA/AAAAAAETAAQBZQQAAAAAAAAAAAQIAWUEAAAAAAAAAAAIDAFlCAAAAAAAAAAACBABZQQAAAAAAAAAABAUAWUIDAAAAAAAAAAUGAFlBAAAAAAAAAAAGBwBZQgIAAAAAAAAABwgAWUEAAAAAAAAAAAgJAFlBAAAAAAAAAAAJCgBZQQAAAAAAAAAACgsAWUEAAAAAAAAAAAsMAFlBAAAAAAAAAAAMDQBZQQAAAAAAAAAADQ4AWUEAAAAAAAAAAA0PAFlBAAAAAAAAAAAPAEQAWUEAAAAAAAAAAABECgBZQQAAAAAAAAAACABEQFlCAgAAAAAAAAAAREQAWUEAAAAAAAAAAAAAAAA</t>
        </r>
      </text>
    </comment>
    <comment ref="A236" authorId="0" shapeId="0" xr:uid="{9A27767D-51D1-43FA-9CE8-C4968831E9B1}">
      <text>
        <r>
          <rPr>
            <sz val="9"/>
            <color indexed="81"/>
            <rFont val="MS P ゴシック"/>
            <family val="3"/>
            <charset val="128"/>
          </rPr>
          <t>Insight iXlW00001C0000236R0585476093S00000470P01360LAocjBAQBF1NjaVRlZ2ljLmRhdGEuTW9sZWN1bGUBbwF/ARJTY2lUZWdpYy5Nb2xlY3VsZQAAAQFkAv5qAQAAAAIAAgESGAAAAPz8APwAAgAAAAAAAPC/AoPAyqFFtsu/AgAAAAAAAP2/AAAAACAAAAD8/AD8AAIAAAAAAADwvwKDwMqhRbbLvwIAAAAAAADqvwAAAAAYAAAA/PwA/AACAAAAAAAA8L8CUrgehetR8b8CAAAAAAAA1L8AAAAAGAAAAPz8APwAAgAAAAAAAPC/ApQYBFYOLf+/AgAAAAAAAOq/AAAAABgAAAD8/AD8AAIAAAAAAADwvwKjkjoBTYQGwAIAAAAAAADUvwAAAAAYAAAA/PwA/AACAAAAAAAA8L8Co5I6AU2EBsACAAAAAAAA5j8AAAAAGAAAAPz8APwAAgAAAAAAAPC/AgXFjzF3Lf+/AgAAAAAAAPM/AAAAABgAAAD8/AD8AAIAAAAAAADwvwJSuB6F61HxvwIAAAAAAADmPwAAAAAYAAAA/PwA/AACAAAAAAAA8L8Cg8DKoUW2y78CAAAAAAAA8z8AAAAAHAAAAPz8APwAAgAAAAAAAPC/AmMQWDm0yOQ/AgAAAAAAAOY/AAAAABgAAAD8/AD8AAIAAAAAAADwvwJzaJHtfD/4PwIAAAAAAADzPwAAAAAYAAAA/PwA/AACAAAAAAAA8L8CkzoBTYQNA0ACAAAAAAAA5j8AAAAAGAAAAPz8APwAAgAAAAAAAPC/ApM6AU2EDQNAAgAAAAAAANS/AAAAABwAAAD8/AD8AAIAAAAAAADwvwK06nO1FfsJQAIAAAAAAADqvwAAAAAYAAAA/PwA/AACAAAAAAAA8L8C5BQdyeU/+D8CAAAAAAAA6r8AAAAAGAAAAPz8APwAAgAAAAAAAPC/AmMQWDm0yOQ/AgAAAAAAANS/AAAAAAERAAAA/PwA/AACAAAAAAAA8L8CjSjtDb4wEEACj1N0JJf/1L8AAAAAAREAAAD8/AD8AAIAAAAAAADwvwIbnl4py1AUQAJxrIvbaADTvwAAAAABEQAEAWUEAAAAAAAAAAAECAFlBAAAAAAAAAAACAwBZQgMAAAAAAAAAAwQAWUEAAAAAAAAAAAQFAFlCAgAAAAAAAAAFBgBZQQAAAAAAAAAABgcAWUICAAAAAAAAAAcCAFlBAAAAAAAAAAAHCABZQQAAAAAAAAAACAkAWUEAAAAAAAAAAAkKAFlBAAAAAAAAAAAKCwBZQQAAAAAAAAAACwwAWUEAAAAAAAAAAAwNAFlBAAAAAAAAAAAMDgBZQQAAAAAAAAAADg8AWUEAAAAAAAAAAA8JAFlBAAAAAAAAAAAAAAAAA==</t>
        </r>
      </text>
    </comment>
    <comment ref="A237" authorId="0" shapeId="0" xr:uid="{93C1B92A-BE83-4C5D-84CD-998EED3185EE}">
      <text>
        <r>
          <rPr>
            <sz val="9"/>
            <color indexed="81"/>
            <rFont val="MS P ゴシック"/>
            <family val="3"/>
            <charset val="128"/>
          </rPr>
          <t>Insight iXlW00001C0000237R0585476093S00000472P01232LAocjBAQBF1NjaVRlZ2ljLmRhdGEuTW9sZWN1bGUBbwF/ARJTY2lUZWdpYy5Nb2xlY3VsZQAAAQFkAv5qAQAAAAIAAgEQHAAAAPz8APwAAgAAAAAAAPC/AuhqK/aX3QnAAqfoSC7/IfK/AAAAABgAAAD8/AD8AAIAAAAAAADwvwKP5PIf0u8CwAJP0ZFc/kPkvwAAAAAYAAAA/PwA/AACAAAAAAAA8L8C3GgAb4EE+L8Cp+hILv8h8r8AAAAAGAAAAPz8APwAAgAAAAAAAPC/AjQRNjy9UuS/Ak/RkVz+Q+S/AAAAABwAAAD8/AD8AAIAAAAAAADwvwI0ETY8vVLkvwJkXdxGA3jXPwAAAAAYAAAA/PwA/AACAAAAAAAA8L8C3GgAb4EE+L8C0NVW7C+76z8AAAAAGAAAAPz8APwAAgAAAAAAAPC/Ao/k8h/S7wLAAqCrrdhfdtc/AAAAABgAAAD8/AD8AAIAAAAAAADwvwI9vVKWIY7NPwKyLm6jAbzrPwAAAAAgAAAA/PwA/AACAAAAAAAA8L8CPb1SliGOzT8CWRe30QDe/T8AAAAAHAAAAPz8APwAAgAAAAAAAPC/AlpkO99PjfE/AmRd3EYDeNc/AAAAABgAAAD8/AD8AAIAAAAAAADwvwKcxCCwcmj/PwLQ1VbsL7vrPwAAAAAYAAAA/PwA/AACAAAAAAAA8L8CbxKDwMqhBkACoKut2F921z8AAAAAGAAAAPz8APwAAgAAAAAAAPC/Am8Sg8DKoQZAAk/RkVz+Q+S/AAAAABgAAAD8/AD8AAIAAAAAAADwvwKcxCCwcmj/PwKn6Egu/yHyvwAAAAAYAAAA/PwA/AACAAAAAAAA8L8CWmQ730+N8T8CT9GRXP5D5L8AAAAAAREAAAD8/AD8AAIAAAAAAADwvwLVeOkmMQgNQAJkXdxGA3jXPwAAAAABEAAEAWUEAAAAAAAAAAAECAFlBAAAAAAAAAAACAwBZQQAAAAAAAAAAAwQAWUEAAAAAAAAAAAQFAFlBAAAAAAAAAAAFBgBZQQAAAAAAAAAABgEAWUEAAAAAAAAAAAQHAFlBAAAAAAAAAAAHCABZQgAAAAAAAAAABwkAWUEAAAAAAAAAAAkKAFlBAAAAAAAAAAAKCwBZQQAAAAAAAAAACwwAWUEAAAAAAAAAAAwNAFlBAAAAAAAAAAANDgBZQQAAAAAAAAAADgkAWUEAAAAAAAAAAAAAAAA</t>
        </r>
      </text>
    </comment>
    <comment ref="A238" authorId="0" shapeId="0" xr:uid="{43405DEC-6253-4380-89B2-7D7AA5456D72}">
      <text>
        <r>
          <rPr>
            <sz val="9"/>
            <color indexed="81"/>
            <rFont val="MS P ゴシック"/>
            <family val="3"/>
            <charset val="128"/>
          </rPr>
          <t>Insight iXlW00001C0000238R0585476093S00000474P01232LAocjBAQBF1NjaVRlZ2ljLmRhdGEuTW9sZWN1bGUBbwF/ARJTY2lUZWdpYy5Nb2xlY3VsZQAAAQFkAv5qAQAAAAIAAgEQHAAAAPz8APwAAgAAAAAAAPC/AuhqK/aX3QlAAqfoSC7/IfI/AAAAABgAAAD8/AD8AAIAAAAAAADwvwKP5PIf0u8CQAJP0ZFc/kPkPwAAAAAYAAAA/PwA/AACAAAAAAAA8L8C3GgAb4EE+D8Cp+hILv8h8j8AAAAAGAAAAPz8APwAAgAAAAAAAPC/AjQRNjy9UuQ/Ak/RkVz+Q+Q/AAAAABwAAAD8/AD8AAIAAAAAAADwvwI0ETY8vVLkPwJkXdxGA3jXvwAAAAAYAAAA/PwA/AACAAAAAAAA8L8C3GgAb4EE+D8C0NVW7C+7678AAAAAGAAAAPz8APwAAgAAAAAAAPC/Ao/k8h/S7wJAAqCrrdhfdte/AAAAABgAAAD8/AD8AAIAAAAAAADwvwI9vVKWIY7NvwKyLm6jAbzrvwAAAAAgAAAA/PwA/AACAAAAAAAA8L8CPb1SliGOzb8CWRe30QDe/b8AAAAAHAAAAPz8APwAAgAAAAAAAPC/AlpkO99PjfG/AmRd3EYDeNe/AAAAABgAAAD8/AD8AAIAAAAAAADwvwKcxCCwcmj/vwLQ1VbsL7vrvwAAAAAYAAAA/PwA/AACAAAAAAAA8L8CbxKDwMqhBsACoKut2F92178AAAAAIAAAAPz8APwAAgAAAAAAAPC/Am8Sg8DKoQbAAk/RkVz+Q+Q/AAAAABgAAAD8/AD8AAIAAAAAAADwvwKcxCCwcmj/vwKn6Egu/yHyPwAAAAAYAAAA/PwA/AACAAAAAAAA8L8CWmQ730+N8b8CT9GRXP5D5D8AAAAAAREAAAD8/AD8AAIAAAAAAADwvwKn6Egu/yEQQAJkXdxGA3jXvwAAAAABEAAEAWUEAAAAAAAAAAAECAFlBAAAAAAAAAAACAwBZQQAAAAAAAAAAAwQAWUEAAAAAAAAAAAQFAFlBAAAAAAAAAAAFBgBZQQAAAAAAAAAABgEAWUEAAAAAAAAAAAQHAFlBAAAAAAAAAAAHCABZQgAAAAAAAAAABwkAWUEAAAAAAAAAAAkKAFlBAAAAAAAAAAAKCwBZQQAAAAAAAAAACwwAWUEAAAAAAAAAAAwNAFlBAAAAAAAAAAANDgBZQQAAAAAAAAAADgkAWUEAAAAAAAAAAAAAAAA</t>
        </r>
      </text>
    </comment>
    <comment ref="A239" authorId="0" shapeId="0" xr:uid="{184E378C-C93A-44B2-8FB3-A965C786D95A}">
      <text>
        <r>
          <rPr>
            <sz val="9"/>
            <color indexed="81"/>
            <rFont val="MS P ゴシック"/>
            <family val="3"/>
            <charset val="128"/>
          </rPr>
          <t>Insight iXlW00001C0000239R0585476093S00000476P01320LAocjBAQBF1NjaVRlZ2ljLmRhdGEuTW9sZWN1bGUBbwF/ARJTY2lUZWdpYy5Nb2xlY3VsZQAAAQFkAv5qAQAAAAIBAgERHAAAAPz8APwAAgAAAAAAAPC/AoPAyqFFtv0/Amsr9pfdk88/AAAAABgAAAD8/AD8AAIAAAAAAADwvwIqOpLLf0j3vwJkzF1LyAe9vwAAAAAcAAAA/PwA/AACAAAAAAAA8L8CRWlv8IXJ5r8C1LzjFB3J4T8AAAAAGAAAAPz8APwAAgAAAAAAAPC/AvhT46WbxPA/Ak5iEFg5tOo/AAAAACAAAAD8/AD8AAIAAAAAAADwvwId6+I2GkADwAKx4emVsgzJPwAAAAAYAAAA/PwA/AACAAAAAAAA8L8C+FPjpZvE+D8CYVRSJ6CJ5r8AAAAAIAAAAPz8APwAAgAAAAAAAPC/AoV80LNZ9fO/AhFYObTIdvG/AAAAABgMAAD8/AD8AAIAAAAAAADwvwJlO99PjZfOPwJrK/aX3ZPPPwAAAAAYAAAA/PwA/AACAAAAAAAA8L8CEVg5tMh2BkAC8WPMXUvI4T8AAAAAGAAAAPz8APwAAgAAAAAAAPC/AvCnxks3ieE/AmFUUiegiea/AAAAABgAAAD8/AD8AAIAAAAAAADwvwIZBFYOLTIJwAIkSnuDL0zevwAAAAAYAAAA/PwA/AACAAAAAAAA8L8C6iYxCKycEEACaQBvgQTF7z8AAAAAGAAAAPz8APwAAgAAAAAAAPC/An9qvHSTGApAAqH4MeauJfc/AAAAABgAAAD8/AD8AAIAAAAAAADwvwJlO99PjZcNQAK30QDeAgm6PwAAAAAYAAAA/PwA/AACAAAAAAAA8L8CgSbChqfXA8ACggTFjzF3878AAAAAGAAAAPz8APwAAgAAAAAAAPC/At1GA3gLJA/AArmNBvAWSPK/AAAAABgAAAD8/AD8AAIAAAAAAADwvwJ4CyQofowOwAL7y+7Jw0LRPwAAAAABEgQIAWUEAAAAAAAAAAAcCAFlBBQAAAAAAAAADAABZQQAAAAAAAAAABAEAWUEAAAAAAAAAAAUAAFlBAAAAAAAAAAAGAQBZQgAAAAAAAAAABwMAWUEAAAAAAAAAAAgAAFlBAAAAAAAAAAAJBQBZQQAAAAAAAAAACgQAWUEAAAAAAAAAAAsNAFlBAAAAAAAAAAAMCABZQQAAAAAAAAAADQgAWUEAAAAAAAAAAA4KAFlBAAAAAAAAAAAPCgBZQQAAAAAAAAAAAEQKAFlBAAAAAAAAAAALDABZQQAAAAAAAAAABwkAWUEAAAAAAAAAAAAAAAA</t>
        </r>
      </text>
    </comment>
    <comment ref="A240" authorId="0" shapeId="0" xr:uid="{1930DFDA-B212-422A-9B9E-22A57A3E411A}">
      <text>
        <r>
          <rPr>
            <sz val="9"/>
            <color indexed="81"/>
            <rFont val="MS P ゴシック"/>
            <family val="3"/>
            <charset val="128"/>
          </rPr>
          <t>Insight iXlW00001C0000240R0585476093S00000478P00932LAocjBAQBF1NjaVRlZ2ljLmRhdGEuTW9sZWN1bGUBbwF/ARJTY2lUZWdpYy5Nb2xlY3VsZQAAAQFkAv5qAQAAAAIBAjAcAAAA/PwA/AACAAAAAAAA8L8CFNBE2PB0BMACJCh+jLlryT8AAAAAGAgAAPz8APwAAgAAAAAAAPC/AhkEVg4tsvm/An0/NV66Sby/AAAAABgAAAD8/AD8AAIAAAAAAADwvwKOl24Sg8D0vwKWQ4ts5/vwvwAAAAAYAAAA/PwA/AACAAAAAAAA8L8CNl66SQwC078ClkOLbOf78L8AAAAAHAAAAPz8APwAAgAAAAAAAPC/Avp+arx0k4g/An0/NV66Sby/AAAAABgAAAD8/AD8AAIAAAAAAADwvwIbL90kBoHpvwIHX5hMFYzePwAAAAAYAAAA/PwA/AACAAAAAAAA8L8COIlBYOXQ7j8CnMQgsHJoyT8AAAAAGAAAAPz8APwAAgAAAAAAAPC/AnnpJjEIrPY/AjzfT42XbvE/AAAAABgAAAD8/AD8AAIAAAAAAADwvwIRWDm0yHYCQAK9dJMYBFbkPwAAAAAYAAAA/PwA/AACAAAAAAAA8L8CRIts5/up/T8CJzEIrBxa0L8AAAAAAREAAAD8/AD8AAIAAAAAAADwvwJ3vp8aL90IQAItQxzr4jZavwAAAAABEQAAAPz8APwAAgAAAAAAAPC/AspUwaikjhBAAqyt2F92T54/AAAAACwEAAFlBBQAAAAAAAAABAgBZQQAAAAAAAAAAAgMAWUEAAAAAAAAAAAMEAFlBAAAAAAAAAAAEBQBZQQAAAAAAAAAABQEAWUEAAAAAAAAAAAQGAFlBAAAAAAAAAAAGBwBZQQAAAAAAAAAABwgAWUEAAAAAAAAAAAgJAFlBAAAAAAAAAAAJBgBZQQAAAAAAAAAAAAAAAA=</t>
        </r>
      </text>
    </comment>
    <comment ref="A241" authorId="0" shapeId="0" xr:uid="{8D19C280-143D-4256-BC76-72841873D719}">
      <text>
        <r>
          <rPr>
            <sz val="9"/>
            <color indexed="81"/>
            <rFont val="MS P ゴシック"/>
            <family val="3"/>
            <charset val="128"/>
          </rPr>
          <t>Insight iXlW00001C0000241R0585476093S00000480P00932LAocjBAQBF1NjaVRlZ2ljLmRhdGEuTW9sZWN1bGUBbwF/ARJTY2lUZWdpYy5Nb2xlY3VsZQAAAQFkAv5qAQAAAAIBAjAcAAAA/PwA/AACAAAAAAAA8L8Cnl4pyxBHAEACZapgVFIn9L8AAAAAGAgAAPz8APwAAgAAAAAAAPC/AoNRSZ2AJvc/Amb35GGh1ty/AAAAABgAAAD8/AD8AAIAAAAAAADwvwIOvjCZKhj8PwJrvHSTGATgPwAAAAAYAAAA/PwA/AACAAAAAAAA8L8CBqOSOgFN7j8C78nDQq1p8T8AAAAAHAAAAPz8APwAAgAAAAAAAPC/ArsnDwu1psE/Amu8dJMYBOA/AAAAABgAAAD8/AD8AAIAAAAAAADwvwJNFYxK6gTqvwKBlUOLbOfpPwAAAAAYAAAA/PwA/AACAAAAAAAA8L8Cnzws1Jrm+L8ChXzQs1n1wT8AAAAAGAAAAPz8APwAAgAAAAAAAPC/AvXb14FzRgTAAlmoNc07TrG/AAAAABgAAAD8/AD8AAIAAAAAAADwvwIrqRPQRNj9vwIbwFsgQfHpvwAAAAAYAAAA/PwA/AACAAAAAAAA8L8CC0YldQKa3D8CZvfkYaHW3L8AAAAAAREAAAD8/AD8AAIAAAAAAADwvwIFxY8xd60GQAJ0tRX7y+65vwAAAAABEQAAAPz8APwAAgAAAAAAAPC/AiGwcmiR7Q5AAv0Yc9cS8rG/AAAAACwEAAFlBBQAAAAAAAAABAgBZQQAAAAAAAAAAAgMAWUEAAAAAAAAAAAMEAFlBAAAAAAAAAAAEBQBZQQAAAAAAAAAABQYAWUEAAAAAAAAAAAYHAFlBAAAAAAAAAAAHCABZQQAAAAAAAAAACAYAWUEAAAAAAAAAAAQJAFlBAAAAAAAAAAAJAQBZQQAAAAAAAAAAAAAAAA=</t>
        </r>
      </text>
    </comment>
    <comment ref="A242" authorId="0" shapeId="0" xr:uid="{3A3CAEC0-A5C9-455B-B0D8-5FD42FCDA83F}">
      <text>
        <r>
          <rPr>
            <sz val="9"/>
            <color indexed="81"/>
            <rFont val="MS P ゴシック"/>
            <family val="3"/>
            <charset val="128"/>
          </rPr>
          <t>Insight iXlW00001C0000242R0585476093S00000482P01200LAocjBAQBF1NjaVRlZ2ljLmRhdGEuTW9sZWN1bGUBbwF/ARJTY2lUZWdpYy5Nb2xlY3VsZQAAAQFkAv5qAQAAAAIBAgEQHAAAAPz8APwAAgAAAAAAAPC/AsBbIEHx4wpAAgu1pnnHKcK/AAAAABgIAAD8/AD8AAIAAAAAAADwvwLlYaHWNO8CQALwFkhQ/BijvwAAAAAYAAAA/PwA/AACAAAAAAAA8L8CysNCrWne/T8CFD/G3LWE6j8AAAAAGAAAAPz8APwAAgAAAAAAAPC/Ah44Z0Rpb+w/AuhqK/aX3eM/AAAAABwAAAD8/AD8AAIAAAAAAADwvwIOvjCZKhjpPwIK+aBns+rXvwAAAAAYAAAA/PwA/AACAAAAAAAA8L8CutqK/WX3tL8ChXzQs1n1678AAAAAGAAAAPz8APwAAgAAAAAAAPC/AtsbfGEyVe6/Agr5oGez6te/AAAAABgAAAD8/AD8AAIAAAAAAADwvwLbG3xhMlXuvwJ8gy9MpgrkPwAAAAAYAAAA/PwA/AACAAAAAAAA8L8CL26jAbwF/b8CvsEXJlMF8j8AAAAAGAAAAPz8APwAAgAAAAAAAPC/AjhnRGlvcAXAAnyDL0ymCuQ/AAAAABwAAAD8/AD8AAIAAAAAAADwvwI4Z0Rpb3AFwAIK+aBns+rXvwAAAAAYAAAA/PwA/AACAAAAAAAA8L8CL26jAbwF/b8ChXzQs1n1678AAAAAGAAAAPz8APwAAgAAAAAAAPC/ApoIG55eKfs/AmHl0CLb+ei/AAAAAAERAAAA/PwA/AACAAAAAAAA8L8CE2HD0yulEEACTRWMSuoEtD8AAAAAAREAAAD8/AD8AAIAAAAAAADwvwKi1jTvOMUUQALFsS5uowG8PwAAAAABEQAAAPz8APwAAgAAAAAAAPC/AktZhjjWBRlAAjQRNjy9UsY/AAAAADgEAAFlBBQAAAAAAAAABAgBZQQAAAAAAAAAAAgMAWUEAAAAAAAAAAAMEAFlBAAAAAAAAAAAEBQBZQQAAAAAAAAAABQYAWUEAAAAAAAAAAAYHAFlCAwAAAAAAAAAHCABZQQAAAAAAAAAACAkAWUICAAAAAAAAAAkKAFlBAAAAAAAAAAAKCwBZQgIAAAAAAAAACwYAWUEAAAAAAAAAAAQMAFlBAAAAAAAAAAAMAQBZQQAAAAAAAAAAAAAAAA=</t>
        </r>
      </text>
    </comment>
    <comment ref="A243" authorId="0" shapeId="0" xr:uid="{6C5898F2-CE3B-4FCA-BE3B-56A67758E2F7}">
      <text>
        <r>
          <rPr>
            <sz val="9"/>
            <color indexed="81"/>
            <rFont val="MS P ゴシック"/>
            <family val="3"/>
            <charset val="128"/>
          </rPr>
          <t>Insight iXlW00001C0000243R0585476093S00000484P01200LAocjBAQBF1NjaVRlZ2ljLmRhdGEuTW9sZWN1bGUBbwF/ARJTY2lUZWdpYy5Nb2xlY3VsZQAAAQFkAv5qAQAAAAIBAgEQHAAAAPz8APwAAgAAAAAAAPC/AsBbIEHx4wpAAgu1pnnHKcK/AAAAABgIAAD8/AD8AAIAAAAAAADwvwLlYaHWNO8CQALwFkhQ/BijvwAAAAAYAAAA/PwA/AACAAAAAAAA8L8CysNCrWne/T8CFD/G3LWE6j8AAAAAGAAAAPz8APwAAgAAAAAAAPC/Ah44Z0Rpb+w/AgYSFD/G3OM/AAAAABwAAAD8/AD8AAIAAAAAAADwvwIOvjCZKhjpPwIK+aBns+rXvwAAAAAYAAAA/PwA/AACAAAAAAAA8L8CutqK/WX3tL8ChXzQs1n1678AAAAAGAAAAPz8APwAAgAAAAAAAPC/AtsbfGEyVe6/Agr5oGez6te/AAAAABgAAAD8/AD8AAIAAAAAAADwvwIvbqMBvAX9vwKFfNCzWfXrvwAAAAAYAAAA/PwA/AACAAAAAAAA8L8COGdEaW9wBcACCvmgZ7Pq178AAAAAHAAAAPz8APwAAgAAAAAAAPC/AjhnRGlvcAXAAnyDL0ymCuQ/AAAAABgAAAD8/AD8AAIAAAAAAADwvwIvbqMBvAX9vwK+wRcmUwXyPwAAAAAYAAAA/PwA/AACAAAAAAAA8L8C2xt8YTJV7r8CfIMvTKYK5D8AAAAAGAAAAPz8APwAAgAAAAAAAPC/ApoIG55eKfs/AmHl0CLb+ei/AAAAAAERAAAA/PwA/AACAAAAAAAA8L8CE2HD0yulEEACTRWMSuoEtD8AAAAAAREAAAD8/AD8AAIAAAAAAADwvwKi1jTvOMUUQALFsS5uowG8PwAAAAABEQAAAPz8APwAAgAAAAAAAPC/AktZhjjWBRlAAjQRNjy9UsY/AAAAADgEAAFlBBQAAAAAAAAABAgBZQQAAAAAAAAAAAgMAWUEAAAAAAAAAAAMEAFlBAAAAAAAAAAAEBQBZQQAAAAAAAAAABQYAWUEAAAAAAAAAAAYHAFlCAwAAAAAAAAAHCABZQQAAAAAAAAAACAkAWUICAAAAAAAAAAkKAFlBAAAAAAAAAAAKCwBZQgIAAAAAAAAACwYAWUEAAAAAAAAAAAQMAFlBAAAAAAAAAAAMAQBZQQAAAAAAAAAAAAAAAA=</t>
        </r>
      </text>
    </comment>
    <comment ref="A244" authorId="0" shapeId="0" xr:uid="{3854A367-A069-4CD2-80F6-480B1EC9E277}">
      <text>
        <r>
          <rPr>
            <sz val="9"/>
            <color indexed="81"/>
            <rFont val="MS P ゴシック"/>
            <family val="3"/>
            <charset val="128"/>
          </rPr>
          <t>Insight iXlW00001C0000244R0585476093S00000486P01216LAocjBAQBF1NjaVRlZ2ljLmRhdGEuTW9sZWN1bGUBbwF/ARJTY2lUZWdpYy5Nb2xlY3VsZQAAAQFkAv5qAQAAAAIBAgEQHAAAAPz8APwAAgAAAAAAAPC/Ase6uI0G8ApAAmpN845TdMy/AAAAABgIAAD8/AD8AAIAAAAAAADwvwLswDkjSvsCQAJHA3gLJCi+vwAAAAAYAAAA/PwA/AACAAAAAAAA8L8C2IFzRpT2/T8CG8BbIEHx5z8AAAAAGAAAAPz8APwAAgAAAAAAAPC/Ajq0yHa+n+w/Au7rwDkjSuE/AAAAABwAAAD8/AD8AAIAAAAAAADwvwJI4XoUrkfpPwL+9nXgnBHdvwAAAAAYAAAA/PwA/AACAAAAAAAA8L8C2/l+arx0s78Cf/s6cM6I7r8AAAAAGAAAAPz8APwAAgAAAAAAAPC/Ar+fGi/dJO6/Av72deCcEd2/AAAAABgAAAD8/AD8AAIAAAAAAADwvwKSXP5D+u38vwKdoiO5/IfuvwAAAAAYAAAA/PwA/AACAAAAAAAA8L8Cat5xio5kBcACOUVHcvkP3b8AAAAAGAAAAPz8APwAAgAAAAAAAPC/AmrecYqOZAXAAoIExY8xd+E/AAAAABgAAAD8/AD8AAIAAAAAAADwvwKSXP5D+u38vwJBguLHmLvwPwAAAAAYAAAA/PwA/AACAAAAAAAA8L8Cofgx5q4l7r8CggTFjzF34T8AAAAAAREAAAD8/AD8AAIAAAAAAADwvwLb+X5qvHSzvwJBguLHmLvwPwAAAAAYAAAA/PwA/AACAAAAAAAA8L8CqMZLN4lB+z8CeAskKH6M678AAAAAAREAAAD8/AD8AAIAAAAAAADwvwKXkA96NqsQQAI/V1uxv+yePwAAAAABEQAAAPz8APwAAgAAAAAAAPC/AiUGgZVDyxRAAo/k8h/Sb68/AAAAADwEAAFlBBQAAAAAAAAABAgBZQQAAAAAAAAAAAgMAWUEAAAAAAAAAAAMEAFlBAAAAAAAAAAAEBQBZQQAAAAAAAAAABQYAWUEAAAAAAAAAAAYHAFlCAwAAAAAAAAAHCABZQQAAAAAAAAAACAkAWUICAAAAAAAAAAkKAFlBAAAAAAAAAAAKCwBZQgIAAAAAAAAACwYAWUEAAAAAAAAAAAsMAFlBAAAAAAAAAAAEDQBZQQAAAAAAAAAADQEAWUEAAAAAAAAAAAAAAAA</t>
        </r>
      </text>
    </comment>
    <comment ref="A245" authorId="0" shapeId="0" xr:uid="{C55E6E59-145A-4E0F-879D-2F27560C6DDA}">
      <text>
        <r>
          <rPr>
            <sz val="9"/>
            <color indexed="81"/>
            <rFont val="MS P ゴシック"/>
            <family val="3"/>
            <charset val="128"/>
          </rPr>
          <t>Insight iXlW00001C0000245R0585476093S00000488P01216LAocjBAQBF1NjaVRlZ2ljLmRhdGEuTW9sZWN1bGUBbwF/ARJTY2lUZWdpYy5Nb2xlY3VsZQAAAQFkAv5qAQAAAAIBAgEQHAAAAPz8APwAAgAAAAAAAPC/Agr5oGez6gxAAhZqTfOOU7S/AAAAABgIAAD8/AD8AAIAAAAAAADwvwIv/yH99vUEQALdtYR80LOZPwAAAAAYAAAA/PwA/AACAAAAAAAA8L8CL/8h/fb1AEACMuauJeSD7D8AAAAAGAAAAPz8APwAAgAAAAAAAPC/AqLWNO84RfI/AgYSFD/G3OU/AAAAABwAAAD8/AD8AAIAAAAAAADwvwIp7Q2+MJnwPwLOqs/VVuzTvwAAAAAYAAAA/PwA/AACAAAAAAAA8L8COGdEaW/wxT8CZ9Xnaiv26b8AAAAAGAAAAPz8APwAAgAAAAAAAPC/ArWmeccpOua/As6qz9VW7NO/AAAAABgAAAD8/AD8AAIAAAAAAADwvwK1pnnHKTrmvwKZKhiV1AnmPwAAAAAYAAAA/PwA/AACAAAAAAAA8L8CnDOitDf4+L8CTRWMSuoE8z8AAAAAGAAAAPz8APwAAgAAAAAAAPC/Au/Jw0KtaQPAApkqGJXUCeY/AAAAABgAAAD8/AD8AAIAAAAAAADwvwLvycNCrWkDwALOqs/VVuzTvwAAAAABEQAAAPz8APwAAgAAAAAAAPC/AhB6Nqs+VwrAAmfV52or9um/AAAAABgAAAD8/AD8AAIAAAAAAADwvwKcM6K0N/j4vwJn1edqK/bpvwAAAAAYAAAA/PwA/AACAAAAAAAA8L8CLUMc6+I2/z8CQz7o2az65r8AAAAAAREAAAD8/AD8AAIAAAAAAADwvwK4rwPnjKgRQAJHA3gLJCjGPwAAAAABEQAAAPz8APwAAgAAAAAAAPC/AkYldQKayBVAAoNRSZ2AJso/AAAAADwEAAFlBBQAAAAAAAAABAgBZQQAAAAAAAAAAAgMAWUEAAAAAAAAAAAMEAFlBAAAAAAAAAAAEBQBZQQAAAAAAAAAABQYAWUEAAAAAAAAAAAYHAFlCAwAAAAAAAAAHCABZQQAAAAAAAAAACAkAWUICAAAAAAAAAAkKAFlBAAAAAAAAAAAKCwBZQQAAAAAAAAAACgwAWUICAAAAAAAAAAwGAFlBAAAAAAAAAAAEDQBZQQAAAAAAAAAADQEAWUEAAAAAAAAAAAAAAAA</t>
        </r>
      </text>
    </comment>
    <comment ref="A246" authorId="0" shapeId="0" xr:uid="{1CD87E09-B06F-48FA-AD23-DA4A228DD503}">
      <text>
        <r>
          <rPr>
            <sz val="9"/>
            <color indexed="81"/>
            <rFont val="MS P ゴシック"/>
            <family val="3"/>
            <charset val="128"/>
          </rPr>
          <t>Insight iXlW00001C0000246R0585476093S00000490P01216LAocjBAQBF1NjaVRlZ2ljLmRhdGEuTW9sZWN1bGUBbwF/ARJTY2lUZWdpYy5Nb2xlY3VsZQAAAQFkAv5qAQAAAAIBAgEQHAAAAPz8APwAAgAAAAAAAPC/Ase6uI0G8ApAAmpN845TdMy/AAAAABgIAAD8/AD8AAIAAAAAAADwvwLswDkjSvsCQAJHA3gLJCi+vwAAAAAYAAAA/PwA/AACAAAAAAAA8L8C2IFzRpT2/T8CG8BbIEHx5z8AAAAAGAAAAPz8APwAAgAAAAAAAPC/Ajq0yHa+n+w/Au7rwDkjSuE/AAAAABwAAAD8/AD8AAIAAAAAAADwvwJI4XoUrkfpPwL+9nXgnBHdvwAAAAAYAAAA/PwA/AACAAAAAAAA8L8C2/l+arx0s78Cf/s6cM6I7r8AAAAAGAAAAPz8APwAAgAAAAAAAPC/Ar+fGi/dJO6/Av72deCcEd2/AAAAABgAAAD8/AD8AAIAAAAAAADwvwKSXP5D+u38vwKdoiO5/IfuvwAAAAAYAAAA/PwA/AACAAAAAAAA8L8Cat5xio5kBcACOUVHcvkP3b8AAAAAGAAAAPz8APwAAgAAAAAAAPC/AmrecYqOZAXAAoIExY8xd+E/AAAAABgAAAD8/AD8AAIAAAAAAADwvwKSXP5D+u38vwJBguLHmLvwPwAAAAAYAAAA/PwA/AACAAAAAAAA8L8Cofgx5q4l7r8CggTFjzF34T8AAAAAASMAAAD8/AD8AAIAAAAAAADwvwLb+X5qvHSzvwJBguLHmLvwPwAAAAAYAAAA/PwA/AACAAAAAAAA8L8CqMZLN4lB+z8CeAskKH6M678AAAAAAREAAAD8/AD8AAIAAAAAAADwvwKXkA96NqsQQAI/V1uxv+yePwAAAAABEQAAAPz8APwAAgAAAAAAAPC/AiUGgZVDyxRAAo/k8h/Sb68/AAAAADwEAAFlBBQAAAAAAAAABAgBZQQAAAAAAAAAAAgMAWUEAAAAAAAAAAAMEAFlBAAAAAAAAAAAEBQBZQQAAAAAAAAAABQYAWUEAAAAAAAAAAAYHAFlCAwAAAAAAAAAHCABZQQAAAAAAAAAACAkAWUICAAAAAAAAAAkKAFlBAAAAAAAAAAAKCwBZQgIAAAAAAAAACwYAWUEAAAAAAAAAAAsMAFlBAAAAAAAAAAAEDQBZQQAAAAAAAAAADQEAWUEAAAAAAAAAAAAAAAA</t>
        </r>
      </text>
    </comment>
    <comment ref="A247" authorId="0" shapeId="0" xr:uid="{6F66FAC5-8BA8-4A58-B569-50393E5497A3}">
      <text>
        <r>
          <rPr>
            <sz val="9"/>
            <color indexed="81"/>
            <rFont val="MS P ゴシック"/>
            <family val="3"/>
            <charset val="128"/>
          </rPr>
          <t>Insight iXlW00001C0000247R0585476093S00000492P01216LAocjBAQBF1NjaVRlZ2ljLmRhdGEuTW9sZWN1bGUBbwF/ARJTY2lUZWdpYy5Nb2xlY3VsZQAAAQFkAv5qAQAAAAIBAgEQHAAAAPz8APwAAgAAAAAAAPC/Agr5oGez6gxAAmpN845TdMy/AAAAABgMAAD8/AD8AAIAAAAAAADwvwIv/yH99vUEQAJHA3gLJCi+vwAAAAAYAAAA/PwA/AACAAAAAAAA8L8CL/8h/fb1AEACG8BbIEHx5z8AAAAAGAAAAPz8APwAAgAAAAAAAPC/AqLWNO84RfI/Au7rwDkjSuE/AAAAABwAAAD8/AD8AAIAAAAAAADwvwIp7Q2+MJnwPwL+9nXgnBHdvwAAAAAYAAAA/PwA/AACAAAAAAAA8L8COGdEaW/wxT8Cf/s6cM6I7r8AAAAAGAAAAPz8APwAAgAAAAAAAPC/ArWmeccpOua/AjlFR3L5D92/AAAAABgAAAD8/AD8AAIAAAAAAADwvwKcM6K0N/j4vwKdoiO5/IfuvwAAAAAYAAAA/PwA/AACAAAAAAAA8L8CKKCJsOFpA8AC/vZ14JwR3b8AAAAAGAAAAPz8APwAAgAAAAAAAPC/Au/Jw0KtaQPAAoIExY8xd+E/AAAAACQAAAD8/AD8AAIAAAAAAADwvwJIUPwYc1cKwAJBguLHmLvwPwAAAAAYAAAA/PwA/AACAAAAAAAA8L8CnDOitDf4+L8CQYLix5i78D8AAAAAGAAAAPz8APwAAgAAAAAAAPC/ArWmeccpOua/AoIExY8xd+E/AAAAABgAAAD8/AD8AAIAAAAAAADwvwItQxzr4jb/PwJ4CyQofozrvwAAAAABEQAAAPz8APwAAgAAAAAAAPC/ArivA+eMqBFAAj9XW7G/7J4/AAAAAAERAAAA/PwA/AACAAAAAAAA8L8CRiV1AprIFUACj+TyH9Jvrz8AAAAAPAQAAWUEEAAAAAAAAAAECAFlBAAAAAAAAAAACAwBZQQAAAAAAAAAAAwQAWUEAAAAAAAAAAAQFAFlBAAAAAAAAAAAFBgBZQQAAAAAAAAAABgcAWUIDAAAAAAAAAAcIAFlBAAAAAAAAAAAICQBZQgMAAAAAAAAACQoAWUEAAAAAAAAAAAkLAFlBAAAAAAAAAAALDABZQgIAAAAAAAAADAYAWUEAAAAAAAAAAAQNAFlBAAAAAAAAAAANAQBZQQAAAAAAAAAAAAAAAA=</t>
        </r>
      </text>
    </comment>
    <comment ref="A248" authorId="0" shapeId="0" xr:uid="{E717F8A5-42FB-43B9-9B4C-07258494FA09}">
      <text>
        <r>
          <rPr>
            <sz val="9"/>
            <color indexed="81"/>
            <rFont val="MS P ゴシック"/>
            <family val="3"/>
            <charset val="128"/>
          </rPr>
          <t>Insight iXlW00001C0000248R0585476093S00000494P01072LAocjBAQBF1NjaVRlZ2ljLmRhdGEuTW9sZWN1bGUBbwF/ARJTY2lUZWdpYy5Nb2xlY3VsZQAAAQFkAv5qAQAAAAIBAjgYAAAA/PwA/AACAAAAAAAA8L8Cd08eFmpN+r8CthX7y+7J+L8AAAAAGAAAAPz8APwAAgAAAAAAAPC/Avw6cM6I0uy/Au4NvjCZKuy/AAAAABgAAAD8/AD8AAIAAAAAAADwvwIFNBE2PL3xvwJKDAIrhxa5PwAAAAAYAAAA/PwA/AACAAAAAAAA8L8C0pFc/kN6AMACQDVeukkM2j8AAAAAGAAAAPz8APwAAgAAAAAAAPC/As6qz9VWbAbAArwFEhQ/xtC/AAAAABgAAAD8/AD8AAIAAAAAAADwvwIxCKwcWmTXvwIHX5hMFYzoPwAAAAAgAAAA/PwA/AACAAAAAAAA8L8CRdjw9EpZ4r8CP1dbsb/s+z8AAAAAHAAAAPz8APwAAgAAAAAAAPC/AiPb+X5qvOI/AuELk6mCUd0/AAAAABgAAAD8/AD8AAIAAAAAAADwvwIdWmQ730/2PwKyLm6jAbzwPwAAAAAYAAAA/PwA/AACAAAAAAAA8L8CVOOlm8SgAUAC4QuTqYJR3T8AAAAAGAgAAPz8APwAAgAAAAAAAPC/Ah1aZDvfT/4/ApayDHGsi9+/AAAAABwAAAD8/AD8AAIAAAAAAADwvwLr4jYawNsDQAKiRbbz/dT0vwAAAAAYAAAA/PwA/AACAAAAAAAA8L8COrTIdr6f7D8ClrIMcayL378AAAAAAREAAAD8/AD8AAIAAAAAAADwvwJSSZ2AJkIKQAJKDAIrhxa5PwAAAAA0AAQBZQQAAAAAAAAAAAQIAWUEAAAAAAAAAAAIDAFlBAAAAAAAAAAADBABZQQAAAAAAAAAAAgUAWUEAAAAAAAAAAAUGAFlCAAAAAAAAAAAFBwBZQQAAAAAAAAAABwgAWUEAAAAAAAAAAAgJAFlBAAAAAAAAAAAJCgBZQQAAAAAAAAAACgsAWUEEAAAAAAAAAAoMAFlBAAAAAAAAAAAMBwBZQQAAAAAAAAAAAAAAAA=</t>
        </r>
      </text>
    </comment>
    <comment ref="A249" authorId="0" shapeId="0" xr:uid="{C263D215-E35F-4FF9-B6D3-A3A037D2B694}">
      <text>
        <r>
          <rPr>
            <sz val="9"/>
            <color indexed="81"/>
            <rFont val="MS P ゴシック"/>
            <family val="3"/>
            <charset val="128"/>
          </rPr>
          <t>Insight iXlW00001C0000249R0585476093S00000496P01072LAocjBAQBF1NjaVRlZ2ljLmRhdGEuTW9sZWN1bGUBbwF/ARJTY2lUZWdpYy5Nb2xlY3VsZQAAAQFkAv5qAQAAAAIBAjgYAAAA/PwA/AACAAAAAAAA8L8COPjCZKpgDkACnFWfq63Y6b8AAAAAIAAAAPz8APwAAgAAAAAAAPC/AhdIUPwYcwdAAjerPldbsdO/AAAAABgAAAD8/AD8AAIAAAAAAADwvwK+wRcmU4UAQAKcVZ+rrdjpvwAAAAAYAAAA/PwA/AACAAAAAAAA8L8COiNKe4Mv8z8CN6s+V1ux078AAAAAIAAAAPz8APwAAgAAAAAAAPC/AjojSnuDL/M/AmWqYFRSJ+Y/AAAAABwAAAD8/AD8AAIAAAAAAADwvwLhC5OpglHVPwKcVZ+rrdjpvwAAAAAYDAAA/PwA/AACAAAAAAAA8L8CkzoBTYQN4b8CN6s+V1ux078AAAAAGAAAAPz8APwAAgAAAAAAAPC/Avyp8dJNYva/ApxVn6ut2Om/AAAAABgAAAD8/AD8AAIAAAAAAADwvwIfhetRuB4CwAI3qz5XW7HTvwAAAAAYCAAA/PwA/AACAAAAAAAA8L8CH4XrUbgeAsACZapgVFIn5j8AAAAAHAAAAPz8APwAAgAAAAAAAPC/AkA1XrpJDAnAAjNVMCqpE/M/AAAAABgAAAD8/AD8AAIAAAAAAADwvwKL/WX35GH2vwIzVTAqqRPzPwAAAAAYAAAA/PwA/AACAAAAAAAA8L8CkzoBTYQN4b8CZapgVFIn5j8AAAAAAREAAAD8/AD8AAIAAAAAAADwvwJPr5RliGMSQAKTqYJRSZ3IPwAAAAA0AAQBZQQAAAAAAAAAAAQIAWUEAAAAAAAAAAAIDAFlBAAAAAAAAAAADBABZQgAAAAAAAAAAAwUAWUEAAAAAAAAAAAYFAFlBBQAAAAAAAAAGBwBZQQAAAAAAAAAABwgAWUEAAAAAAAAAAAgJAFlBAAAAAAAAAAAJCgBZQQQAAAAAAAAACQsAWUEAAAAAAAAAAAsMAFlBAAAAAAAAAAAMBgBZQQAAAAAAAAAAAAAAAA=</t>
        </r>
      </text>
    </comment>
    <comment ref="A250" authorId="0" shapeId="0" xr:uid="{8C6FCCBA-B99F-40E2-B827-861EF36471F1}">
      <text>
        <r>
          <rPr>
            <sz val="9"/>
            <color indexed="81"/>
            <rFont val="MS P ゴシック"/>
            <family val="3"/>
            <charset val="128"/>
          </rPr>
          <t>Insight iXlW00001C0000250R0585476093S00000498P01200LAocjBAQBF1NjaVRlZ2ljLmRhdGEuTW9sZWN1bGUBbwF/ARJTY2lUZWdpYy5Nb2xlY3VsZQAAAQFkAv5qAQAAAAIBAgEQGAAAAPz8APwAAgAAAAAAAPC/ArwFEhQ/xgVAAhgmUwWjkuQ/AAAAABwAAAD8/AD8AAIAAAAAAADwvwK8BRIUP8YFQALRs1n1udrWvwAAAAAYAAAA/PwA/AACAAAAAAAA8L8C3bWEfNCzDEAC6dms+lxt678AAAAAGAAAAPz8APwAAgAAAAAAAPC/AjerPldbsf0/AunZrPpcbeu/AAAAABgAAAD8/AD8AAIAAAAAAADwvwIIPZtVn6vvPwLRs1n1udrWvwAAAAAgAAAA/PwA/AACAAAAAAAA8L8CCD2bVZ+r7z8CGCZTBaOS5D8AAAAAHAAAAPz8APwAAgAAAAAAAPC/Aibkg57Nqr8/AunZrPpcbeu/AAAAABgMAAD8/AD8AAIAAAAAAADwvwL/Q/rt68DnvwLRs1n1udrWvwAAAAAYAAAA/PwA/AACAAAAAAAA8L8CQYLix5i7+b8C6dms+lxt678AAAAAGAAAAPz8APwAAgAAAAAAAPC/AnrHKTqSywPAAtGzWfW52ta/AAAAABgIAAD8/AD8AAIAAAAAAADwvwJB8WPMXcsDwAI2zTtO0ZHkPwAAAAAcAAAA/PwA/AACAAAAAAAA8L8Cm3ecoiO5CsACm+Ydp+hI8j8AAAAAGAAAAPz8APwAAgAAAAAAAPC/AkGC4seYu/m/ApvmHafoSPI/AAAAABgAAAD8/AD8AAIAAAAAAADwvwL/Q/rt68DnvwIYJlMFo5LkPwAAAAABEQAAAPz8APwAAgAAAAAAAPC/AiKOdXEbjRFAAkHxY8xdS8A/AAAAAAERAAAA/PwA/AACAAAAAAAA8L8CsAPnjCitFUACfT81XrpJxD8AAAAAOAAEAWUEAAAAAAAAAAAECAFlBAAAAAAAAAAABAwBZQQAAAAAAAAAAAwQAWUEAAAAAAAAAAAQFAFlCAAAAAAAAAAAEBgBZQQAAAAAAAAAABwYAWUEFAAAAAAAAAAcIAFlBAAAAAAAAAAAICQBZQQAAAAAAAAAACQoAWUEAAAAAAAAAAAoLAFlBBAAAAAAAAAAKDABZQQAAAAAAAAAADA0AWUEAAAAAAAAAAA0HAFlBAAAAAAAAAAAAAAAAA==</t>
        </r>
      </text>
    </comment>
    <comment ref="A251" authorId="0" shapeId="0" xr:uid="{0781B052-2DE5-4889-AC5A-27665D950D35}">
      <text>
        <r>
          <rPr>
            <sz val="9"/>
            <color indexed="81"/>
            <rFont val="MS P ゴシック"/>
            <family val="3"/>
            <charset val="128"/>
          </rPr>
          <t>Insight iXlW00001C0000251R0585476093S00000500P01144LAocjBAQBF1NjaVRlZ2ljLmRhdGEuTW9sZWN1bGUBbwF/ARJTY2lUZWdpYy5Nb2xlY3VsZQAAAQFkAv5qAQAAAAIBAjwYAAAA/PwA/AACAAAAAAAA8L8CvAUSFD/GBUACGCZTBaOS5D8AAAAAGAAAAPz8APwAAgAAAAAAAPC/ArwFEhQ/xgVAAtGzWfW52ta/AAAAABgAAAD8/AD8AAIAAAAAAADwvwLdtYR80LMMQALp2az6XG3rvwAAAAAYAAAA/PwA/AACAAAAAAAA8L8CN6s+V1ux/T8C6dms+lxt678AAAAAGAAAAPz8APwAAgAAAAAAAPC/Agg9m1Wfq+8/AtGzWfW52ta/AAAAACAAAAD8/AD8AAIAAAAAAADwvwIIPZtVn6vvPwIYJlMFo5LkPwAAAAAcAAAA/PwA/AACAAAAAAAA8L8CJuSDns2qvz8C6dms+lxt678AAAAAGAwAAPz8APwAAgAAAAAAAPC/Av9D+u3rwOe/AtGzWfW52ta/AAAAABgAAAD8/AD8AAIAAAAAAADwvwJBguLHmLv5vwLp2az6XG3rvwAAAAAYAAAA/PwA/AACAAAAAAAA8L8CescpOpLLA8AC0bNZ9bna1r8AAAAAGAgAAPz8APwAAgAAAAAAAPC/AkHxY8xdywPAAjbNO07RkeQ/AAAAABwAAAD8/AD8AAIAAAAAAADwvwKbd5yiI7kKwAKb5h2n6EjyPwAAAAAYAAAA/PwA/AACAAAAAAAA8L8CQYLix5i7+b8Cm+Ydp+hI8j8AAAAAGAAAAPz8APwAAgAAAAAAAPC/Av9D+u3rwOe/AhgmUwWjkuQ/AAAAAAERAAAA/PwA/AACAAAAAAAA8L8CIo51cRuNEUACX5hMFYxKwj8AAAAAOAAEAWUEAAAAAAAAAAAECAFlBAAAAAAAAAAABAwBZQQAAAAAAAAAAAwQAWUEAAAAAAAAAAAQFAFlCAAAAAAAAAAAEBgBZQQAAAAAAAAAABwYAWUEFAAAAAAAAAAcIAFlBAAAAAAAAAAAICQBZQQAAAAAAAAAACQoAWUEAAAAAAAAAAAoLAFlBBAAAAAAAAAAKDABZQQAAAAAAAAAADA0AWUEAAAAAAAAAAA0HAFlBAAAAAAAAAAAAAAAAA==</t>
        </r>
      </text>
    </comment>
    <comment ref="A252" authorId="0" shapeId="0" xr:uid="{069FB2F5-64AB-47EA-990D-339AE4DDE9A6}">
      <text>
        <r>
          <rPr>
            <sz val="9"/>
            <color indexed="81"/>
            <rFont val="MS P ゴシック"/>
            <family val="3"/>
            <charset val="128"/>
          </rPr>
          <t>Insight iXlW00001C0000252R0585476093S00000502P01232LAocjBAQBF1NjaVRlZ2ljLmRhdGEuTW9sZWN1bGUBbwF/ARJTY2lUZWdpYy5Nb2xlY3VsZQAAAQFkAv5qAQAAAAIBAgEQHAAAAPz8APwAAgAAAAAAAPC/AnGsi9toAA7AAgFvgQTFj92/AAAAABgMAAD8/AD8AAIAAAAAAADwvwJxrIvbaAAGwAIBb4EExY/dvwAAAAAYAAAA/PwA/AACAAAAAAAA8L8CcayL22gAAsACArwFEhQ/9b8AAAAAGAAAAPz8APwAAgAAAAAAAPC/AuJYF7fRAPS/AgK8BRIUP/W/AAAAABgMAAD8/AD8AAIAAAAAAADwvwLFsS5uowHovwIBb4EExY/dvwAAAAAYAAAA/PwA/AACAAAAAAAA8L8C4lgXt9EA9L8CysNCrWne2T8AAAAAGAAAAPz8APwAAgAAAAAAAPC/AnGsi9toAALAAgYSFD/G3Nk/AAAAABwAAAD8/AD8AAIAAAAAAADwvwLwOEVHcvnPPwIBb4EExY/dvwAAAAAYAAAA/PwA/AACAAAAAAAA8L8CPE7RkVz+5z8CysNCrWne2T8AAAAAIAAAAPz8APwAAgAAAAAAAPC/AvA4RUdy+c8/AjQRNjy9UvQ/AAAAABgAAAD8/AD8AAIAAAAAAADwvwIep+hILv/7PwLKw0Ktad7ZPwAAAAAYAAAA/PwA/AACAAAAAAAA8L8CbAn5oGezAkACKKCJsOHp2b8AAAAAGAAAAPz8APwAAgAAAAAAAPC/AjsBTYQNTwpAAum3rwPnjLi/AAAAABgAAAD8/AD8AAIAAAAAAADwvwI7AU2EDU8KQAIDCYofY+7sPwAAAAAYAAAA/PwA/AACAAAAAAAA8L8CbAn5oGezAkACfh04Z0Rp8z8AAAAAAREAAAD8/AD8AAIAAAAAAADwvwLRs1n1uVoQQALW52or9pedvwAAAAABEAQAAWUEEAAAAAAAAAAECAFlBAAAAAAAAAAACAwBZQQAAAAAAAAAAAwQAWUEAAAAAAAAAAAQFAFlBAAAAAAAAAAAFBgBZQQAAAAAAAAAABgEAWUEAAAAAAAAAAAQHAFlBBQAAAAAAAAAHCABZQQAAAAAAAAAACAkAWUIAAAAAAAAAAAgKAFlBAAAAAAAAAAAKCwBZQQAAAAAAAAAACwwAWUEAAAAAAAAAAAwNAFlBAAAAAAAAAAANDgBZQQAAAAAAAAAADgoAWUEAAAAAAAAAAAAAAAA</t>
        </r>
      </text>
    </comment>
    <comment ref="A253" authorId="0" shapeId="0" xr:uid="{4860F9E9-18CE-47E6-A4CE-E4DE92A89956}">
      <text>
        <r>
          <rPr>
            <sz val="9"/>
            <color indexed="81"/>
            <rFont val="MS P ゴシック"/>
            <family val="3"/>
            <charset val="128"/>
          </rPr>
          <t>Insight iXlW00001C0000253R0585476093S00000504P01232LAocjBAQBF1NjaVRlZ2ljLmRhdGEuTW9sZWN1bGUBbwF/ARJTY2lUZWdpYy5Nb2xlY3VsZQAAAQFkAv5qAQAAAAIBAgEQHAAAAPz8APwAAgAAAAAAAPC/AnGsi9toAA7AAgFvgQTFj92/AAAAABgMAAD8/AD8AAIAAAAAAADwvwJxrIvbaAAGwAIBb4EExY/dvwAAAAAYAAAA/PwA/AACAAAAAAAA8L8CcayL22gAAsACArwFEhQ/9b8AAAAAGAAAAPz8APwAAgAAAAAAAPC/AuJYF7fRAPS/AgK8BRIUP/W/AAAAABgMAAD8/AD8AAIAAAAAAADwvwLFsS5uowHovwIBb4EExY/dvwAAAAAYAAAA/PwA/AACAAAAAAAA8L8C4lgXt9EA9L8CBhIUP8bc2T8AAAAAGAAAAPz8APwAAgAAAAAAAPC/AnGsi9toAALAAgYSFD/G3Nk/AAAAABwAAAD8/AD8AAIAAAAAAADwvwLwOEVHcvnPPwIBb4EExY/dvwAAAAAYAAAA/PwA/AACAAAAAAAA8L8CPE7RkVz+5z8CysNCrWne2T8AAAAAIAAAAPz8APwAAgAAAAAAAPC/AvA4RUdy+c8/AjQRNjy9UvQ/AAAAABgIAAD8/AD8AAIAAAAAAADwvwIep+hILv/7PwIGEhQ/xtzZPwAAAAAYAAAA/PwA/AACAAAAAAAA8L8CbAn5oGezAkACKKCJsOHp2b8AAAAAGAAAAPz8APwAAgAAAAAAAPC/AjsBTYQNTwpAAtnw9EpZhri/AAAAABgAAAD8/AD8AAIAAAAAAADwvwI7AU2EDU8KQALlYaHWNO/sPwAAAAAgAAAA/PwA/AACAAAAAAAA8L8CMzMzMzOzAkACDXGsi9to8z8AAAAAAREAAAD8/AD8AAIAAAAAAADwvwLRs1n1uVoQQALW52or9pedvwAAAAABEAQAAWUEEAAAAAAAAAAECAFlBAAAAAAAAAAACAwBZQQAAAAAAAAAAAwQAWUEAAAAAAAAAAAQFAFlBAAAAAAAAAAAFBgBZQQAAAAAAAAAABgEAWUEAAAAAAAAAAAQHAFlBBQAAAAAAAAAHCABZQQAAAAAAAAAACAkAWUIAAAAAAAAAAAoIAFlBBQAAAAAAAAAKCwBZQQAAAAAAAAAACwwAWUEAAAAAAAAAAAwNAFlBAAAAAAAAAAANDgBZQQAAAAAAAAAADgoAWUEAAAAAAAAAAAAAAAA</t>
        </r>
      </text>
    </comment>
    <comment ref="A254" authorId="0" shapeId="0" xr:uid="{CE69FCC6-8612-4112-B23A-B0E42D52E488}">
      <text>
        <r>
          <rPr>
            <sz val="9"/>
            <color indexed="81"/>
            <rFont val="MS P ゴシック"/>
            <family val="3"/>
            <charset val="128"/>
          </rPr>
          <t>Insight iXlW00001C0000254R0585476093S00000506P01232LAocjBAQBF1NjaVRlZ2ljLmRhdGEuTW9sZWN1bGUBbwF/ARJTY2lUZWdpYy5Nb2xlY3VsZQAAAQFkAv5qAQAAAAIBAgEQHAAAAPz8APwAAgAAAAAAAPC/AnGsi9toAA7AAgFvgQTFj92/AAAAABgMAAD8/AD8AAIAAAAAAADwvwJxrIvbaAAGwAIBb4EExY/dvwAAAAAYAAAA/PwA/AACAAAAAAAA8L8CcayL22gAAsACArwFEhQ/9b8AAAAAGAAAAPz8APwAAgAAAAAAAPC/AuJYF7fRAPS/AgK8BRIUP/W/AAAAABgMAAD8/AD8AAIAAAAAAADwvwLFsS5uowHovwIBb4EExY/dvwAAAAAYAAAA/PwA/AACAAAAAAAA8L8C4lgXt9EA9L8CBhIUP8bc2T8AAAAAGAAAAPz8APwAAgAAAAAAAPC/AnGsi9toAALAAgYSFD/G3Nk/AAAAABwAAAD8/AD8AAIAAAAAAADwvwLwOEVHcvnPPwIBb4EExY/dvwAAAAAYAAAA/PwA/AACAAAAAAAA8L8CPE7RkVz+5z8CysNCrWne2T8AAAAAIAAAAPz8APwAAgAAAAAAAPC/AvA4RUdy+c8/AjQRNjy9UvQ/AAAAABgMAAD8/AD8AAIAAAAAAADwvwIep+hILv/7PwIGEhQ/xtzZPwAAAAAYAAAA/PwA/AACAAAAAAAA8L8CbAn5oGezAkACKKCJsOHp2b8AAAAAGAAAAPz8APwAAgAAAAAAAPC/AjsBTYQNTwpAAtnw9EpZhri/AAAAABgAAAD8/AD8AAIAAAAAAADwvwI7AU2EDU8KQALlYaHWNO/sPwAAAAAgAAAA/PwA/AACAAAAAAAA8L8CMzMzMzOzAkACDXGsi9to8z8AAAAAAREAAAD8/AD8AAIAAAAAAADwvwLRs1n1uVoQQALW52or9pedvwAAAAABEAQAAWUEEAAAAAAAAAAECAFlBAAAAAAAAAAACAwBZQQAAAAAAAAAAAwQAWUEAAAAAAAAAAAQFAFlBAAAAAAAAAAAFBgBZQQAAAAAAAAAABgEAWUEAAAAAAAAAAAQHAFlBBQAAAAAAAAAHCABZQQAAAAAAAAAACAkAWUIAAAAAAAAAAAoIAFlBBAAAAAAAAAAKCwBZQQAAAAAAAAAACwwAWUEAAAAAAAAAAAwNAFlBAAAAAAAAAAANDgBZQQAAAAAAAAAADgoAWUEAAAAAAAAAAAAAAAA</t>
        </r>
      </text>
    </comment>
    <comment ref="A255" authorId="0" shapeId="0" xr:uid="{7E17C741-4747-4F7E-8DE4-D8FF1BC80E6E}">
      <text>
        <r>
          <rPr>
            <sz val="9"/>
            <color indexed="81"/>
            <rFont val="MS P ゴシック"/>
            <family val="3"/>
            <charset val="128"/>
          </rPr>
          <t>Insight iXlW00001C0000255R0585476093S00000508P01360LAocjBAQBF1NjaVRlZ2ljLmRhdGEuTW9sZWN1bGUBbwF/ARJTY2lUZWdpYy5Nb2xlY3VsZQAAAQFkAv5qAQAAAAIBAgESHAAAAPz8APwAAgAAAAAAAPC/AuQUHcnlvw/AAucdp+hILt+/AAAAABgMAAD8/AD8AAIAAAAAAADwvwLkFB3J5b8HwALnHafoSC7fvwAAAAAYAAAA/PwA/AACAAAAAAAA8L8C5BQdyeW/A8ACuycPC7Wm9b8AAAAAGAAAAPz8APwAAgAAAAAAAPC/AjnWxW00gPe/ArsnDwu1pvW/AAAAABgMAAD8/AD8AAIAAAAAAADwvwJxrIvbaADvvwIjbHh6pSzfvwAAAAAYAAAA/PwA/AACAAAAAAAA8L8CyCk6kst/978C5BQdyeU/2D8AAAAAGAAAAPz8APwAAgAAAAAAAPC/AuQUHcnlvwPAAuQUHcnlP9g/AAAAABwAAAD8/AD8AAIAAAAAAADwvwLfcYqO5PKfPwIjbHh6pSzfvwAAAAAYAAAA/PwA/AACAAAAAAAA8L8Cj1N0JJf/4D8C5BQdyeU/2D8AAAAAIAAAAPz8APwAAgAAAAAAAPC/AhHHuriNBqA/AnulLEMc6/M/AAAAABgAAAD8/AD8AAIAAAAAAADwvwLIKTqSy3/4PwLkFB3J5T/YPwAAAAAYAAAA/PwA/AACAAAAAAAA8L8C5BQdyeU/AEACI2x4eqUs378AAAAAGAAAAPz8APwAAgAAAAAAAPC/AuQUHcnlPwhAAiNseHqlLN+/AAAAABgAAAD8/AD8AAIAAAAAAADwvwLkFB3J5T8MQALkFB3J5T/YPwAAAAAcAAAA/PwA/AACAAAAAAAA8L8C5BQdyeU/CEACe6UsQxzr8z8AAAAAGAAAAPz8APwAAgAAAAAAAPC/AuQUHcnlPwBAAnulLEMc6/M/AAAAAAERAAAA/PwA/AACAAAAAAAA8L8Cpb3BFyZTEUACufyH9NvXsb8AAAAAAREAAAD8/AD8AAIAAAAAAADwvwIzMzMzM3MVQAKDwMqhRbajvwAAAAABEQQAAWUEEAAAAAAAAAAECAFlBAAAAAAAAAAACAwBZQQAAAAAAAAAAAwQAWUEAAAAAAAAAAAQFAFlBAAAAAAAAAAAFBgBZQQAAAAAAAAAABgEAWUEAAAAAAAAAAAQHAFlBBQAAAAAAAAAHCABZQQAAAAAAAAAACAkAWUIAAAAAAAAAAAgKAFlBAAAAAAAAAAAKCwBZQgMAAAAAAAAACwwAWUEAAAAAAAAAAAwNAFlCAgAAAAAAAAANDgBZQQAAAAAAAAAADg8AWUICAAAAAAAAAA8KAFlBAAAAAAAAAAAAAAAAA==</t>
        </r>
      </text>
    </comment>
    <comment ref="A256" authorId="0" shapeId="0" xr:uid="{A293C54C-2363-4B58-82B0-6EF8FA9DEFD3}">
      <text>
        <r>
          <rPr>
            <sz val="9"/>
            <color indexed="81"/>
            <rFont val="MS P ゴシック"/>
            <family val="3"/>
            <charset val="128"/>
          </rPr>
          <t>Insight iXlW00001C0000256R0585476093S00000510P01360LAocjBAQBF1NjaVRlZ2ljLmRhdGEuTW9sZWN1bGUBbwF/ARJTY2lUZWdpYy5Nb2xlY3VsZQAAAQFkAv5qAQAAAAIBAgESHAAAAPz8APwAAgAAAAAAAPC/AuQUHcnlvw/AAiNseHqlLN+/AAAAABgMAAD8/AD8AAIAAAAAAADwvwLkFB3J5b8HwALnHafoSC7fvwAAAAAYAAAA/PwA/AACAAAAAAAA8L8C5BQdyeW/A8ACuycPC7Wm9b8AAAAAGAAAAPz8APwAAgAAAAAAAPC/AjnWxW00gPe/ArsnDwu1pvW/AAAAABgMAAD8/AD8AAIAAAAAAADwvwJxrIvbaADvvwIjbHh6pSzfvwAAAAAYAAAA/PwA/AACAAAAAAAA8L8CyCk6kst/978C5BQdyeU/2D8AAAAAGAAAAPz8APwAAgAAAAAAAPC/AuQUHcnlvwPAAuQUHcnlP9g/AAAAABwAAAD8/AD8AAIAAAAAAADwvwLfcYqO5PKfPwIjbHh6pSzfvwAAAAAYAAAA/PwA/AACAAAAAAAA8L8Cj1N0JJf/4D8C5BQdyeU/2D8AAAAAIAAAAPz8APwAAgAAAAAAAPC/At9xio7k8p8/AnulLEMc6/M/AAAAABgAAAD8/AD8AAIAAAAAAADwvwLIKTqSy3/4PwLkFB3J5T/YPwAAAAAYAAAA/PwA/AACAAAAAAAA8L8C5BQdyeU/AEACe6UsQxzr8z8AAAAAGAAAAPz8APwAAgAAAAAAAPC/AuQUHcnlPwhAAnulLEMc6/M/AAAAABwAAAD8/AD8AAIAAAAAAADwvwLkFB3J5T8MQALkFB3J5T/YPwAAAAAYAAAA/PwA/AACAAAAAAAA8L8C5BQdyeU/CEACI2x4eqUs378AAAAAGAAAAPz8APwAAgAAAAAAAPC/AuQUHcnlPwBAAiNseHqlLN+/AAAAAAERAAAA/PwA/AACAAAAAAAA8L8Cpb3BFyZTEUACufyH9NvXsb8AAAAAAREAAAD8/AD8AAIAAAAAAADwvwIzMzMzM3MVQAKDwMqhRbajvwAAAAABEQQAAWUEEAAAAAAAAAAECAFlBAAAAAAAAAAACAwBZQQAAAAAAAAAAAwQAWUEAAAAAAAAAAAQFAFlBAAAAAAAAAAAFBgBZQQAAAAAAAAAABgEAWUEAAAAAAAAAAAQHAFlBBQAAAAAAAAAHCABZQQAAAAAAAAAACAkAWUIAAAAAAAAAAAgKAFlBAAAAAAAAAAAKCwBZQgMAAAAAAAAACwwAWUEAAAAAAAAAAAwNAFlCAgAAAAAAAAANDgBZQQAAAAAAAAAADg8AWUICAAAAAAAAAA8KAFlBAAAAAAAAAAAAAAAAA==</t>
        </r>
      </text>
    </comment>
    <comment ref="A257" authorId="0" shapeId="0" xr:uid="{CF527A95-EBB7-4384-828A-E709C6D2659F}">
      <text>
        <r>
          <rPr>
            <sz val="9"/>
            <color indexed="81"/>
            <rFont val="MS P ゴシック"/>
            <family val="3"/>
            <charset val="128"/>
          </rPr>
          <t>Insight iXlW00001C0000257R0585476093S00000512P01376LAocjBAQBF1NjaVRlZ2ljLmRhdGEuTW9sZWN1bGUBbwF/ARJTY2lUZWdpYy5Nb2xlY3VsZQAAAQFkAv5qAQAAAAIBAgESHAAAAPz8APwAAgAAAAAAAPC/Asb+snvy8BDAAgajkjoBTeC/AAAAABgMAAD8/AD8AAIAAAAAAADwvwKL/WX35OEJwAIGo5I6AU3gvwAAAAAYAAAA/PwA/AACAAAAAAAA8L8Ci/1l9+ThBcACNl66SQwC9r8AAAAAGAAAAPz8APwAAgAAAAAAAPC/Ahb7y+7Jw/u/AsSxLm6jAfa/AAAAABgMAAD8/AD8AAIAAAAAAADwvwIW+8vuycPzvwIGo5I6AU3gvwAAAAAYAAAA/PwA/AACAAAAAAAA8L8CFvvL7snD+78C/DpwzojS1j8AAAAAGAAAAPz8APwAAgAAAAAAAPC/Aov9Zffk4QXAAvw6cM6I0tY/AAAAABwAAAD8/AD8AAIAAAAAAADwvwKu2F92Tx7OvwIGo5I6AU3gvwAAAAAYAAAA/PwA/AACAAAAAAAA8L8CqRPQRNjw0D8C/DpwzojS1j8AAAAAIAAAAPz8APwAAgAAAAAAAPC/Aq7YX3ZPHs6/AgFvgQTFj/M/AAAAABgAAAD8/AD8AAIAAAAAAADwvwLrBDQRNjz0PwL8OnDOiNLWPwAAAAAYAAAA/PwA/AACAAAAAAAA8L8C6wQ0ETY8/D8CAW+BBMWP8z8AAAAAGAAAAPz8APwAAgAAAAAAAPC/AnUCmggbHgZAAgFvgQTFj/M/AAAAABgAAAD8/AD8AAIAAAAAAADwvwJ1ApoIGx4KQAL8OnDOiNLWPwAAAAAkAAAA/PwA/AACAAAAAAAA8L8COwFNhA0PEUAC/DpwzojS1j8AAAAAGAAAAPz8APwAAgAAAAAAAPC/AnUCmggbHgZAAgajkjoBTeC/AAAAABgAAAD8/AD8AAIAAAAAAADwvwLrBDQRNjz8PwIGo5I6AU3gvwAAAAABEQAAAPz8APwAAgAAAAAAAPC/Am40gLdAQhRAAi/dJAaBlbO/AAAAAAESBAABZQQQAAAAAAAAAAQIAWUEAAAAAAAAAAAIDAFlBAAAAAAAAAAADBABZQQAAAAAAAAAABAUAWUEAAAAAAAAAAAUGAFlBAAAAAAAAAAAGAQBZQQAAAAAAAAAABAcAWUEFAAAAAAAAAAcIAFlBAAAAAAAAAAAICQBZQgAAAAAAAAAACAoAWUEAAAAAAAAAAAoLAFlCAwAAAAAAAAALDABZQQAAAAAAAAAADA0AWUIDAAAAAAAAAA0OAFlBAAAAAAAAAAANDwBZQQAAAAAAAAAADwBEAFlCAgAAAAAAAAAARAoAWUEAAAAAAAAAAAAAAAA</t>
        </r>
      </text>
    </comment>
    <comment ref="A258" authorId="0" shapeId="0" xr:uid="{6AFF0455-A92C-4956-8C72-1B912F9D0D37}">
      <text>
        <r>
          <rPr>
            <sz val="9"/>
            <color indexed="81"/>
            <rFont val="MS P ゴシック"/>
            <family val="3"/>
            <charset val="128"/>
          </rPr>
          <t>Insight iXlW00001C0000258R0585476093S00000514P01376LAocjBAQBF1NjaVRlZ2ljLmRhdGEuTW9sZWN1bGUBbwF/ARJTY2lUZWdpYy5Nb2xlY3VsZQAAAQFkAv5qAQAAAAIBAgESHAAAAPz8APwAAgAAAAAAAPC/AusENBE2PBDAAtlfdk8eFtq/AAAAABgMAAD8/AD8AAIAAAAAAADwvwLVCWgibHgIwALZX3ZPHhbavwAAAAAYAAAA/PwA/AACAAAAAAAA8L8C1QloImx4BMACOPjCZKpg9L8AAAAAGAAAAPz8APwAAgAAAAAAAPC/AqoT0ETY8Pi/Ajj4wmSqYPS/AAAAABgMAAD8/AD8AAIAAAAAAADwvwKpE9BE2PDwvwIVrkfhehTavwAAAAAYAAAA/PwA/AACAAAAAAAA8L8CqhPQRNjw+L8C8tJNYhBY3T8AAAAAGAAAAPz8APwAAgAAAAAAAPC/AtUJaCJseATAAvLSTWIQWN0/AAAAABwAAAD8/AD8AAIAAAAAAADwvwImdQKaCBuuvwIVrkfhehTavwAAAAAYAAAA/PwA/AACAAAAAAAA8L8CXLG/7J483D8C8tJNYhBY3T8AAAAAIAAAAPz8APwAAgAAAAAAAPC/AiZ1ApoIG66/Av7UeOkmMfU/AAAAABgAAAD8/AD8AAIAAAAAAADwvwJX7C+7Jw/3PwLy0k1iEFjdPwAAAAAYAAAA/PwA/AACAAAAAAAA8L8CV+wvuycP/z8C/tR46SYx9T8AAAAAGAAAAPz8APwAAgAAAAAAAPC/Aiz2l92ThwdAAv7UeOkmMfU/AAAAABgAAAD8/AD8AAIAAAAAAADwvwIs9pfdk4cLQALy0k1iEFjdPwAAAAAYAAAA/PwA/AACAAAAAAAA8L8CLPaX3ZOHB0ACFa5H4XoU2r8AAAAAGAAAAPz8APwAAgAAAAAAAPC/AlfsL7snD/8/AhWuR+F6FNq/AAAAAAERAAAA/PwA/AACAAAAAAAA8L8CV+wvuycP9z8Cx0s3iUFg9L8AAAAAAREAAAD8/AD8AAIAAAAAAADwvwJJLv8h/fYQQALqJjEIrByaPwAAAAABEgQAAWUEEAAAAAAAAAAECAFlBAAAAAAAAAAACAwBZQQAAAAAAAAAAAwQAWUEAAAAAAAAAAAQFAFlBAAAAAAAAAAAFBgBZQQAAAAAAAAAABgEAWUEAAAAAAAAAAAQHAFlBBQAAAAAAAAAHCABZQQAAAAAAAAAACAkAWUIAAAAAAAAAAAgKAFlBAAAAAAAAAAAKCwBZQgMAAAAAAAAACwwAWUEAAAAAAAAAAAwNAFlCAgAAAAAAAAANDgBZQQAAAAAAAAAADg8AWUICAAAAAAAAAA8KAFlBAAAAAAAAAAAPAEQAWUEAAAAAAAAAAAAAAAA</t>
        </r>
      </text>
    </comment>
    <comment ref="A259" authorId="0" shapeId="0" xr:uid="{274E1498-BEC5-4DC4-A319-0D1403F716F4}">
      <text>
        <r>
          <rPr>
            <sz val="9"/>
            <color indexed="81"/>
            <rFont val="MS P ゴシック"/>
            <family val="3"/>
            <charset val="128"/>
          </rPr>
          <t>Insight iXlW00001C0000259R0585476093S00000516P01380LAocjBAQBF1NjaVRlZ2ljLmRhdGEuTW9sZWN1bGUBbwF/ARJTY2lUZWdpYy5Nb2xlY3VsZQAAAQFkAv5qAQAAAAIBAgESHAAAAPz8APwAAgAAAAAAAPC/Asb+snvy8BDAAgajkjoBTeC/AAAAABgMAAD8/AD8AAIAAAAAAADwvwKL/WX35OEJwAIGo5I6AU3gvwAAAAAYAAAA/PwA/AACAAAAAAAA8L8Ci/1l9+ThBcACNl66SQwC9r8AAAAAGAAAAPz8APwAAgAAAAAAAPC/Ahb7y+7Jw/u/AsSxLm6jAfa/AAAAABgMAAD8/AD8AAIAAAAAAADwvwIW+8vuycPzvwIGo5I6AU3gvwAAAAAYAAAA/PwA/AACAAAAAAAA8L8CFvvL7snD+78C/DpwzojS1j8AAAAAGAAAAPz8APwAAgAAAAAAAPC/Aov9Zffk4QXAAvw6cM6I0tY/AAAAABwAAAD8/AD8AAIAAAAAAADwvwKu2F92Tx7OvwIGo5I6AU3gvwAAAAAYAAAA/PwA/AACAAAAAAAA8L8CqRPQRNjw0D8C/DpwzojS1j8AAAAAIAAAAPz8APwAAgAAAAAAAPC/Aq7YX3ZPHs6/AgFvgQTFj/M/AAAAABgAAAD8/AD8AAIAAAAAAADwvwLrBDQRNjz0PwL8OnDOiNLWPwAAAAAYAAAA/PwA/AACAAAAAAAA8L8C6wQ0ETY8/D8CAW+BBMWP8z8AAAAAGAAAAPz8APwAAgAAAAAAAPC/AnUCmggbHgZAAgFvgQTFj/M/AAAAABgAAAD8/AD8AAIAAAAAAADwvwJ1ApoIGx4KQAL8OnDOiNLWPwAAAAABEQAAAPz8APwAAgAAAAAAAPC/AjsBTYQNDxFAAvw6cM6I0tY/AAAAABgAAAD8/AD8AAIAAAAAAADwvwJ1ApoIGx4GQAIGo5I6AU3gvwAAAAAYAAAA/PwA/AACAAAAAAAA8L8C6wQ0ETY8/D8CBqOSOgFN4L8AAAAAAREAAAD8/AD8AAIAAAAAAADwvwJuNIC3QEIUQAIv3SQGgZWzvwAAAAABEgQAAWUEEAAAAAAAAAAECAFlBAAAAAAAAAAACAwBZQQAAAAAAAAAAAwQAWUEAAAAAAAAAAAQFAFlBAAAAAAAAAAAFBgBZQQAAAAAAAAAABgEAWUEAAAAAAAAAAAQHAFlBBQAAAAAAAAAHCABZQQAAAAAAAAAACAkAWUIAAAAAAAAAAAgKAFlBAAAAAAAAAAAKCwBZQgMAAAAAAAAACwwAWUEAAAAAAAAAAAwNAFlCAwAAAAAAAAANDgBZQQAAAAAAAAAADQ8AWUEAAAAAAAAAAA8ARABZQgIAAAAAAAAAAEQKAFlBAAAAAAAAAAAAAAAAA==</t>
        </r>
      </text>
    </comment>
    <comment ref="A260" authorId="0" shapeId="0" xr:uid="{2FCAF167-4133-4840-A467-80DCF4886ACF}">
      <text>
        <r>
          <rPr>
            <sz val="9"/>
            <color indexed="81"/>
            <rFont val="MS P ゴシック"/>
            <family val="3"/>
            <charset val="128"/>
          </rPr>
          <t>Insight iXlW00001C0000260R0585476093S00000518P01376LAocjBAQBF1NjaVRlZ2ljLmRhdGEuTW9sZWN1bGUBbwF/ARJTY2lUZWdpYy5Nb2xlY3VsZQAAAQFkAv5qAQAAAAIBAgESHAAAAPz8APwAAgAAAAAAAPC/AusENBE2PBDAAtlfdk8eFtq/AAAAABgMAAD8/AD8AAIAAAAAAADwvwLVCWgibHgIwALZX3ZPHhbavwAAAAAYAAAA/PwA/AACAAAAAAAA8L8C1QloImx4BMACOPjCZKpg9L8AAAAAGAAAAPz8APwAAgAAAAAAAPC/AqoT0ETY8Pi/Ajj4wmSqYPS/AAAAABgMAAD8/AD8AAIAAAAAAADwvwKpE9BE2PDwvwIVrkfhehTavwAAAAAYAAAA/PwA/AACAAAAAAAA8L8CqhPQRNjw+L8C8tJNYhBY3T8AAAAAGAAAAPz8APwAAgAAAAAAAPC/AtUJaCJseATAAvLSTWIQWN0/AAAAABwAAAD8/AD8AAIAAAAAAADwvwImdQKaCBuuvwIVrkfhehTavwAAAAAYAAAA/PwA/AACAAAAAAAA8L8CXLG/7J483D8C8tJNYhBY3T8AAAAAIAAAAPz8APwAAgAAAAAAAPC/AiZ1ApoIG66/Av7UeOkmMfU/AAAAABgAAAD8/AD8AAIAAAAAAADwvwJX7C+7Jw/3PwLy0k1iEFjdPwAAAAAYAAAA/PwA/AACAAAAAAAA8L8CV+wvuycP/z8C/tR46SYx9T8AAAAAGAAAAPz8APwAAgAAAAAAAPC/Aiz2l92ThwdAAv7UeOkmMfU/AAAAABgAAAD8/AD8AAIAAAAAAADwvwIs9pfdk4cLQALy0k1iEFjdPwAAAAAYAAAA/PwA/AACAAAAAAAA8L8CLPaX3ZOHB0ACFa5H4XoU2r8AAAAAGAAAAPz8APwAAgAAAAAAAPC/AlfsL7snD/8/AhWuR+F6FNq/AAAAAAEjAAAA/PwA/AACAAAAAAAA8L8CV+wvuycP9z8Cx0s3iUFg9L8AAAAAAREAAAD8/AD8AAIAAAAAAADwvwJJLv8h/fYQQALqJjEIrByaPwAAAAABEgQAAWUEEAAAAAAAAAAECAFlBAAAAAAAAAAACAwBZQQAAAAAAAAAAAwQAWUEAAAAAAAAAAAQFAFlBAAAAAAAAAAAFBgBZQQAAAAAAAAAABgEAWUEAAAAAAAAAAAQHAFlBBQAAAAAAAAAHCABZQQAAAAAAAAAACAkAWUIAAAAAAAAAAAgKAFlBAAAAAAAAAAAKCwBZQgMAAAAAAAAACwwAWUEAAAAAAAAAAAwNAFlCAgAAAAAAAAANDgBZQQAAAAAAAAAADg8AWUICAAAAAAAAAA8KAFlBAAAAAAAAAAAPAEQAWUEAAAAAAAAAAAAAAAA</t>
        </r>
      </text>
    </comment>
    <comment ref="A261" authorId="0" shapeId="0" xr:uid="{29867A3D-E944-477C-8711-5CABD69D25BB}">
      <text>
        <r>
          <rPr>
            <sz val="9"/>
            <color indexed="81"/>
            <rFont val="MS P ゴシック"/>
            <family val="3"/>
            <charset val="128"/>
          </rPr>
          <t>Insight iXlW00001C0000261R0585476093S00000520P00852LAocjBAQBF1NjaVRlZ2ljLmRhdGEuTW9sZWN1bGUBbwF/ARJTY2lUZWdpYy5Nb2xlY3VsZQAAAQFkAv5qAQAAAAIBAjAYAAAA/PwA/AACAAAAAAAA8L8CAAAAAAAAAEACg8DKoUW26z8AAAAAHAAAAPz8APwAAgAAAAAAAPC/AgAAAAAAAPg/AAAAAAAYAAAA/PwA/AACAAAAAAAA8L8CAAAAAAAAAEACg8DKoUW2678AAAAAGAwAAPz8APwAAgAAAAAAAPC/AgAAAAAAAOA/AAAAAAAYAAAA/PwA/AACAAAAAAAA8L8AAoPAyqFFtuu/AAAAABgAAAD8/AD8AAIAAAAAAADwvwIAAAAAAADwvwKDwMqhRbbrvwAAAAAYCAAA/PwA/AACAAAAAAAA8L8CAAAAAAAA+L8AAAAAABwAAAD8/AD8AAIAAAAAAADwvwIAAAAAAAAEwAAAAAAAGAAAAPz8APwAAgAAAAAAAPC/AgAAAAAAAPC/AoPAyqFFtus/AAAAABgAAAD8/AD8AAIAAAAAAADwvwACg8DKoUW26z8AAAAAAREAAAD8/AD8AAIAAAAAAADwvwJnZmZmZmYGQALfcYqO5PKPvwAAAAABEQAAAPz8APwAAgAAAAAAAPC/AoNRSZ2Apg5AAt9xio7k8o8/AAAAACgABAFlBAAAAAAAAAAABAgBZQQAAAAAAAAAAAwEAWUEFAAAAAAAAAAMEAFlBAAAAAAAAAAAEBQBZQQAAAAAAAAAABQYAWUEAAAAAAAAAAAYHAFlBBAAAAAAAAAAGCABZQQAAAAAAAAAACAkAWUEAAAAAAAAAAAkDAFlBAAAAAAAAAAAAAAAAA==</t>
        </r>
      </text>
    </comment>
    <comment ref="A262" authorId="0" shapeId="0" xr:uid="{5AF3132E-62CF-4106-800A-B7317B94DC42}">
      <text>
        <r>
          <rPr>
            <sz val="9"/>
            <color indexed="81"/>
            <rFont val="MS P ゴシック"/>
            <family val="3"/>
            <charset val="128"/>
          </rPr>
          <t>Insight iXlW00001C0000262R0585476093S00000522P00984LAocjBAQBF1NjaVRlZ2ljLmRhdGEuTW9sZWN1bGUBbwF/ARJTY2lUZWdpYy5Nb2xlY3VsZQAAAQFkAv5qAQAAAAIBAjQYAAAA/PwA/AACAAAAAAAA8L8Cf4y5awn5/D8C1JrmHafo4j8AAAAAGAAAAPz8APwAAgAAAAAAAPC/An+MuWsJ+fw/AljKMsSxLtq/AAAAABgAAAD8/AD8AAIAAAAAAADwvwJgdk8eFmoFQAIsZRniWBftvwAAAAAcAAAA/PwA/AACAAAAAAAA8L8CmP+Qfvs67j8CLGUZ4lgX7b8AAAAAGAwAAPz8APwAAgAAAAAAAPC/AqH4MeauJbQ/AljKMsSxLtq/AAAAABgAAAD8/AD8AAIAAAAAAADwvwJvgQTFjzHpvwIsZRniWBftvwAAAAAYAAAA/PwA/AACAAAAAAAA8L8C+aBns+pz+r8CWMoyxLEu2r8AAAAAGAgAAPz8APwAAgAAAAAAAPC/AvmgZ7Pqc/q/AtSa5h2n6OI/AAAAABwAAAD8/AD8AAIAAAAAAADwvwKegCbChicEwAJqTfOOU3TxPwAAAAAYAAAA/PwA/AACAAAAAAAA8L8Cb4EExY8x6b8Cak3zjlN08T8AAAAAGAAAAPz8APwAAgAAAAAAAPC/AqH4MeauJbQ/AtSa5h2n6OI/AAAAAAERAAAA/PwA/AACAAAAAAAA8L8Cx9y1hHzQC0ACZohjXdxGsz8AAAAAAREAAAD8/AD8AAIAAAAAAADwvwLxY8xdSwgSQALeJAaBlUO7PwAAAAAsAAQBZQQAAAAAAAAAAAQIAWUEAAAAAAAAAAAEDAFlBAAAAAAAAAAAEAwBZQQUAAAAAAAAABAUAWUEAAAAAAAAAAAUGAFlBAAAAAAAAAAAGBwBZQQAAAAAAAAAABwgAWUEEAAAAAAAAAAcJAFlBAAAAAAAAAAAJCgBZQQAAAAAAAAAACgQAWUEAAAAAAAAAAAAAAAA</t>
        </r>
      </text>
    </comment>
    <comment ref="A263" authorId="0" shapeId="0" xr:uid="{4E042D5F-8C77-449A-A478-232A9B61634F}">
      <text>
        <r>
          <rPr>
            <sz val="9"/>
            <color indexed="81"/>
            <rFont val="MS P ゴシック"/>
            <family val="3"/>
            <charset val="128"/>
          </rPr>
          <t>Insight iXlW00001C0000263R0585476093S00000524P01128LAocjBAQBF1NjaVRlZ2ljLmRhdGEuTW9sZWN1bGUBbwF/ARJTY2lUZWdpYy5Nb2xlY3VsZQAAAQFkAv5qAQAAAAIBAjwYAAAA/PwA/AACAAAAAAAA8L8CETY8vVKWAUACBFYOLbKd8D8AAAAAGAAAAPz8APwAAgAAAAAAAPC/AnBfB84ZUfU/AgisHFpkO+E/AAAAABgAAAD8/AD8AAIAAAAAAADwvwJwXwfOGVH1PwLwp8ZLN4ndvwAAAAAYAAAA/PwA/AACAAAAAAAA8L8CETY8vVKWAUAC+FPjpZvE7r8AAAAAGAAAAPz8APwAAgAAAAAAAPC/AjLmriXkgwhAAvCnxks3id2/AAAAABwAAAD8/AD8AAIAAAAAAADwvwK6/If029fdPwL4U+Olm8TuvwAAAAAYDAAA/PwA/AACAAAAAAAA8L8CTYQNT6+U2b8C8KfGSzeJ3b8AAAAAGAAAAPz8APwAAgAAAAAAAPC/AlXBqKROQPS/AvhT46WbxO6/AAAAABgAAAD8/AD8AAIAAAAAAADwvwIE54wo7Q0BwALwp8ZLN4ndvwAAAAAYCAAA/PwA/AACAAAAAAAA8L8CyxDHurgNAcACJlMFo5I64T8AAAAAHAAAAPz8APwAAgAAAAAAAPC/AiWX/5B++wfAApOpglFJnfA/AAAAABgAAAD8/AD8AAIAAAAAAADwvwJVwaikTkD0vwKTqYJRSZ3wPwAAAAAYAAAA/PwA/AACAAAAAAAA8L8CTYQNT6+U2b8CCKwcWmQ74T8AAAAAAREAAAD8/AD8AAIAAAAAAADwvwKZTBWMSuoOQAIXSFD8GHOXPwAAAAABEQAAAPz8APwAAgAAAAAAAPC/AtsbfGEylRNAAvtcbcX+sqs/AAAAADQABAFlBAAAAAAAAAAABAgBZQQAAAAAAAAAAAgMAWUEAAAAAAAAAAAMEAFlBAAAAAAAAAAACBQBZQQAAAAAAAAAABgUAWUEFAAAAAAAAAAYHAFlBAAAAAAAAAAAHCABZQQAAAAAAAAAACAkAWUEAAAAAAAAAAAkKAFlBBAAAAAAAAAAJCwBZQQAAAAAAAAAACwwAWUEAAAAAAAAAAAwGAFlBAAAAAAAAAAAAAAAAA==</t>
        </r>
      </text>
    </comment>
    <comment ref="A264" authorId="0" shapeId="0" xr:uid="{429D9350-B394-412A-A1FE-684FC8C5CA43}">
      <text>
        <r>
          <rPr>
            <sz val="9"/>
            <color indexed="81"/>
            <rFont val="MS P ゴシック"/>
            <family val="3"/>
            <charset val="128"/>
          </rPr>
          <t>Insight iXlW00001C0000264R0585476093S00000526P01056LAocjBAQBF1NjaVRlZ2ljLmRhdGEuTW9sZWN1bGUBbwF/ARJTY2lUZWdpYy5Nb2xlY3VsZQAAAQFkAv5qAQAAAAIBAjgYAAAA/PwA/AACAAAAAAAA8L8C7Q2+MJmqBkACDr4wmSoY9z8AAAAAGAAAAPz8APwAAgAAAAAAAPC/Au0NvjCZqgJAApm7lpAPeuI/AAAAABgAAAD8/AD8AAIAAAAAAADwvwLtDb4wmaoGQAKZu5aQD3rSvwAAAAAYAAAA/PwA/AACAAAAAAAA8L8C2xt8YTJV9T8CmbuWkA964j8AAAAAHAAAAPz8APwAAgAAAAAAAPC/ArU3+MJkquo/Apm7lpAPetK/AAAAABgMAAD8/AD8AAIAAAAAAADwvwIuIR/0bFbFvwKZu5aQD3rSvwAAAAAYAAAA/PwA/AACAAAAAAAA8L8CTMgHPZtV5b8CKA8LtaZ58r8AAAAAGAAAAPz8APwAAgAAAAAAAPC/Aibkg57Nqvq/AigPC7WmefK/AAAAABgIAAD8/AD8AAIAAAAAAADwvwLbG3xhMlUBwAKZu5aQD3rSvwAAAAAcAAAA/PwA/AACAAAAAAAA8L8C2xt8YTJVCcACmbuWkA960r8AAAAAGAAAAPz8APwAAgAAAAAAAPC/ArU3+MJkqvq/Ardif9k9eeI/AAAAABgAAAD8/AD8AAIAAAAAAADwvwJMyAc9m1XlvwKZu5aQD3riPwAAAAABEQAAAPz8APwAAgAAAAAAAPC/AlR0JJf/EA1AAj/G3LWEfMA/AAAAAAERAAAA/PwA/AACAAAAAAAA8L8CuK8D54yoEkACexSuR+F6xD8AAAAAMAAEAWUEAAAAAAAAAAAECAFlBAAAAAAAAAAABAwBZQQAAAAAAAAAAAwQAWUEAAAAAAAAAAAUEAFlBBQAAAAAAAAAFBgBZQQAAAAAAAAAABgcAWUEAAAAAAAAAAAcIAFlBAAAAAAAAAAAICQBZQQQAAAAAAAAACAoAWUEAAAAAAAAAAAoLAFlBAAAAAAAAAAALBQBZQQAAAAAAAAAAAAAAAA=</t>
        </r>
      </text>
    </comment>
    <comment ref="A265" authorId="0" shapeId="0" xr:uid="{BEAA8717-304A-400A-9C51-CB243AB6DB63}">
      <text>
        <r>
          <rPr>
            <sz val="9"/>
            <color indexed="81"/>
            <rFont val="MS P ゴシック"/>
            <family val="3"/>
            <charset val="128"/>
          </rPr>
          <t>Insight iXlW00001C0000265R0585476093S00000528P01072LAocjBAQBF1NjaVRlZ2ljLmRhdGEuTW9sZWN1bGUBbwF/ARJTY2lUZWdpYy5Nb2xlY3VsZQAAAQFkAv5qAQAAAAIBAjgcAAAA/PwA/AACAAAAAAAA8L8Ci47k8h/SCcACmbuWkA960r8AAAAAGAwAAPz8APwAAgAAAAAAAPC/AouO5PIf0gHAApm7lpAPetK/AAAAABgAAAD8/AD8AAIAAAAAAADwvwKGyVTBqKT7vwIoDwu1pnnyvwAAAAAYAAAA/PwA/AACAAAAAAAA8L8CDJOpglFJ578CKA8LtaZ58r8AAAAAGAwAAPz8APwAAgAAAAAAAPC/AjBMpgpGJc2/Apm7lpAPetK/AAAAABgAAAD8/AD8AAIAAAAAAADwvwIMk6mCUUnnvwK3Yn/ZPXniPwAAAAAYAAAA/PwA/AACAAAAAAAA8L8CFR3J5T+k+78Ct2J/2T154j8AAAAAHAAAAPz8APwAAgAAAAAAAPC/AvRsVn2utug/Apm7lpAPetK/AAAAABgAAAD8/AD8AAIAAAAAAADwvwJ6Nqs+V1v0PwKZu5aQD3riPwAAAAAYAAAA/PwA/AACAAAAAAAA8L8CPZtVn6stAkACmbuWkA964j8AAAAAGAAAAPz8APwAAgAAAAAAAPC/Al5LyAc9GwlAAsfctYR80LM/AAAAABgAAAD8/AD8AAIAAAAAAADwvwJeS8gHPRsJQAJcsb/snjzxPwAAAAABEQAAAPz8APwAAgAAAAAAAPC/AsWxLm6jgQ9AAj55WKg1zau/AAAAAAERAAAA/PwA/AACAAAAAAAA8L8CcM6I0t7gE0ACnoAmwoanl78AAAAANAQAAWUEEAAAAAAAAAAECAFlBAAAAAAAAAAACAwBZQQAAAAAAAAAAAwQAWUEAAAAAAAAAAAQFAFlBAAAAAAAAAAAFBgBZQQAAAAAAAAAABgEAWUEAAAAAAAAAAAQHAFlBBQAAAAAAAAAHCABZQQAAAAAAAAAACAkAWUEAAAAAAAAAAAkKAFlBAAAAAAAAAAAKCwBZQQAAAAAAAAAACwkAWUEAAAAAAAAAAAAAAAA</t>
        </r>
      </text>
    </comment>
    <comment ref="A266" authorId="0" shapeId="0" xr:uid="{D7AF5680-C315-4A54-AF91-9ADD892156C3}">
      <text>
        <r>
          <rPr>
            <sz val="9"/>
            <color indexed="81"/>
            <rFont val="MS P ゴシック"/>
            <family val="3"/>
            <charset val="128"/>
          </rPr>
          <t>Insight iXlW00001C0000266R0585476093S00000530P01288LAocjBAQBF1NjaVRlZ2ljLmRhdGEuTW9sZWN1bGUBbwF/ARJTY2lUZWdpYy5Nb2xlY3VsZQAAAQFkAv5qAQAAAAIBAgERHAAAAPz8APwAAgAAAAAAAPC/AkGC4seYuw9AAsrDQq1p3tk/AAAAABgMAAD8/AD8AAIAAAAAAADwvwJBguLHmLsHQALKw0Ktad7ZPwAAAAAYAAAA/PwA/AACAAAAAAAA8L8CQYLix5i7A0ACNBE2PL1S9D8AAAAAGAAAAPz8APwAAgAAAAAAAPC/AvOwUGuad/c/AjQRNjy9UvQ/AAAAABgMAAD8/AD8AAIAAAAAAADwvwLlYaHWNO/uPwIGEhQ/xtzZPwAAAAAYAAAA/PwA/AACAAAAAAAA8L8C87BQa5p39z8CAW+BBMWP3b8AAAAAGAAAAPz8APwAAgAAAAAAAPC/AkGC4seYuwNAAgFvgQTFj92/AAAAABwAAAD8/AD8AAIAAAAAAADwvwKx4emVsgyhvwIGEhQ/xtzZPwAAAAAYAAAA/PwA/AACAAAAAAAA8L8CG55eKcsQ4b8CAW+BBMWP3b8AAAAAGAAAAPz8APwAAgAAAAAAAPC/Ag5Pr5RliPi/AgFvgQTFj92/AAAAABgAAAD8/AD8AAIAAAAAAADwvwKHp1fKMkQAwAICvAUSFD/1vwAAAAAYAAAA/PwA/AACAAAAAAAA8L8Ch6dXyjJECMACArwFEhQ/9b8AAAAAGAAAAPz8APwAAgAAAAAAAPC/AoenV8oyRAzAAgFvgQTFj92/AAAAABgAAAD8/AD8AAIAAAAAAADwvwKHp1fKMkQIwAIGEhQ/xtzZPwAAAAAYAAAA/PwA/AACAAAAAAAA8L8Ch6dXyjJEAMACBhIUP8bc2T8AAAAAAREAAAD8/AD8AAIAAAAAAADwvwJUdCSX/xATQAJjEFg5tMimvwAAAAABEQAAAPz8APwAAgAAAAAAAPC/AuLplbIMMRdAAs1dS8gHPYu/AAAAAAEQBAABZQQQAAAAAAAAAAQIAWUEAAAAAAAAAAAIDAFlBAAAAAAAAAAADBABZQQAAAAAAAAAABAUAWUEAAAAAAAAAAAUGAFlBAAAAAAAAAAAGAQBZQQAAAAAAAAAABAcAWUEFAAAAAAAAAAcIAFlBAAAAAAAAAAAICQBZQQAAAAAAAAAACQoAWUEAAAAAAAAAAAoLAFlBAAAAAAAAAAALDABZQQAAAAAAAAAADA0AWUEAAAAAAAAAAA0OAFlBAAAAAAAAAAAOCQBZQQAAAAAAAAAAAAAAAA=</t>
        </r>
      </text>
    </comment>
    <comment ref="A267" authorId="0" shapeId="0" xr:uid="{3C058AAC-5771-46A8-9536-D93DB0B9FC59}">
      <text>
        <r>
          <rPr>
            <sz val="9"/>
            <color indexed="81"/>
            <rFont val="MS P ゴシック"/>
            <family val="3"/>
            <charset val="128"/>
          </rPr>
          <t>Insight iXlW00001C0000267R0585476093S00000532P01072LAocjBAQBF1NjaVRlZ2ljLmRhdGEuTW9sZWN1bGUBbwF/ARJTY2lUZWdpYy5Nb2xlY3VsZQAAAQFkAv5qAQAAAAIBAjgcAAAA/PwA/AACAAAAAAAA8L8CQs9m1edqBsACgLdAguLH8D8AAAAAGAwAAPz8APwAAgAAAAAAAPC/AkM+6Nms+v6/AgFvgQTFj+E/AAAAABgAAAD8/AD8AAIAAAAAAADwvwJDPujZrPr+vwIAIv32deDcvwAAAAAYAAAA/PwA/AACAAAAAAAA8L8CAd4CCYof8b8CAJF++zpw7r8AAAAAGAwAAPz8APwAAgAAAAAAAPC/AnKKjuTyH8q/AgAi/fZ14Ny/AAAAABgAAAD8/AD8AAIAAAAAAADwvwJyio7k8h/KvwIBb4EExY/hPwAAAAAYAAAA/PwA/AACAAAAAAAA8L8CkDF3LSEf8b8CgLdAguLH8D8AAAAAHAAAAPz8APwAAgAAAAAAAPC/Aucdp+hILuU/AgCRfvs6cO6/AAAAABgAAAD8/AD8AAIAAAAAAADwvwI17zhFR3L4PwIAIv32deDcvwAAAAAYAAAA/PwA/AACAAAAAAAA8L8CEjY8vVKW/D8Ct2J/2T154D8AAAAAGAAAAPz8APwAAgAAAAAAAPC/AvaX3ZOHBQZAAjj4wmSqYNA/AAAAABgAAAD8/AD8AAIAAAAAAADwvwJQHhZqTfMDQAK5HoXrUbjmvwAAAAABEQAAAPz8APwAAgAAAAAAAPC/Al3+Q/rtawxAAo9TdCSX/6A/AAAAAAERAAAA/PwA/AACAAAAAAAA8L8CvXSTGARWEkACP8bctYR8sD8AAAAANAQAAWUEEAAAAAAAAAAECAFlBAAAAAAAAAAACAwBZQQAAAAAAAAAAAwQAWUEAAAAAAAAAAAQFAFlBAAAAAAAAAAAFBgBZQQAAAAAAAAAABgEAWUEAAAAAAAAAAAQHAFlBBQAAAAAAAAAHCABZQQAAAAAAAAAACAkAWUEAAAAAAAAAAAkKAFlBAAAAAAAAAAAKCwBZQQAAAAAAAAAACwgAWUEAAAAAAAAAAAAAAAA</t>
        </r>
      </text>
    </comment>
    <comment ref="A268" authorId="0" shapeId="0" xr:uid="{3D68E85E-5F66-4E40-93F9-5E503F5A5559}">
      <text>
        <r>
          <rPr>
            <sz val="9"/>
            <color indexed="81"/>
            <rFont val="MS P ゴシック"/>
            <family val="3"/>
            <charset val="128"/>
          </rPr>
          <t>Insight iXlW00001C0000268R0585476093S00000534P01144LAocjBAQBF1NjaVRlZ2ljLmRhdGEuTW9sZWN1bGUBbwF/ARJTY2lUZWdpYy5Nb2xlY3VsZQAAAQFkAv5qAQAAAAIBAjwcAAAA/PwA/AACAAAAAAAA8L8CPSzUmuYdCMACvVKWIY518D8AAAAAGAwAAPz8APwAAgAAAAAAAPC/Ahx8YTJVMAHAAnulLEMc6+A/AAAAABgAAAD8/AD8AAIAAAAAAADwvwIcfGEyVTABwAILtaZ5xynevwAAAAAYAAAA/PwA/AACAAAAAAAA8L8C9pfdk4eF9L8ChlrTvOMU778AAAAAGAwAAPz8APwAAgAAAAAAAPC/AtPe4AuTqdq/Agu1pnnHKd6/AAAAABgAAAD8/AD8AAIAAAAAAADwvwLT3uALk6navwJ7pSxDHOvgPwAAAAAYAAAA/PwA/AACAAAAAAAA8L8C9pfdk4eF9L8CvVKWIY518D8AAAAAHAAAAPz8APwAAgAAAAAAAPC/AjSitDf4wtw/AoZa07zjFO+/AAAAABgAAAD8/AD8AAIAAAAAAADwvwJANV66SQz1PwILtaZ5xynevwAAAAAYAAAA/PwA/AACAAAAAAAA8L8CokW28/3UAUACf2q8dJMY7L8AAAAAGAAAAPz8APwAAgAAAAAAAPC/AgJNhA1PLwdAAsB9HThnRMG/AAAAABgAAAD8/AD8AAIAAAAAAADwvwI6I0p7gy8DQAIUYcPTK2XnPwAAAAAYAAAA/PwA/AACAAAAAAAA8L8CuR6F61G49j8CyeU/pN++4D8AAAAAAREAAAD8/AD8AAIAAAAAAADwvwJos+pztZUNQALA7J48LNSKPwAAAAABEQAAAPz8APwAAgAAAAAAAPC/AkLPZtXn6hJAAh/0bFZ9rqY/AAAAADgEAAFlBBAAAAAAAAAABAgBZQQAAAAAAAAAAAgMAWUEAAAAAAAAAAAMEAFlBAAAAAAAAAAAEBQBZQQAAAAAAAAAABQYAWUEAAAAAAAAAAAYBAFlBAAAAAAAAAAAEBwBZQQUAAAAAAAAABwgAWUEAAAAAAAAAAAgJAFlBAAAAAAAAAAAJCgBZQQAAAAAAAAAACgsAWUEAAAAAAAAAAAsMAFlBAAAAAAAAAAAMCABZQQAAAAAAAAAAAAAAAA=</t>
        </r>
      </text>
    </comment>
    <comment ref="A269" authorId="0" shapeId="0" xr:uid="{2FDF2252-AD9C-4ABE-84B1-FE5D7C610AA0}">
      <text>
        <r>
          <rPr>
            <sz val="9"/>
            <color indexed="81"/>
            <rFont val="MS P ゴシック"/>
            <family val="3"/>
            <charset val="128"/>
          </rPr>
          <t>Insight iXlW00001C0000269R0585476093S00000536P01184LAocjBAQBF1NjaVRlZ2ljLmRhdGEuTW9sZWN1bGUBbwF/ARJTY2lUZWdpYy5Nb2xlY3VsZQAAAQFkAv5qAQAAAAIBAgEQHAAAAPz8APwAAgAAAAAAAPC/AkGC4seYuwlAAQAAAAAYDAAA/PwA/AACAAAAAAAA8L8CINJvXwfOAkACAAAAAAAA4D8AAAAAGAAAAPz8APwAAgAAAAAAAPC/Av9D+u3rwPc/AQAAAAAYAAAA/PwA/AACAAAAAAAA8L8CescpOpLL4z8CAAAAAAAA4D8AAAAAGAwAAPz8APwAAgAAAAAAAPC/AnrHKTqSy+M/AgAAAAAAAOC/AAAAABgAAAD8/AD8AAIAAAAAAADwvwL/Q/rt68D3PwIAAAAAAADwvwAAAAAYAAAA/PwA/AACAAAAAAAA8L8CINJvXwfOAkACAAAAAAAA4L8AAAAAHAAAAPz8APwAAgAAAAAAAPC/Aibkg57Nqs+/AgAAAAAAAPC/AAAAABgAAAD8/AD8AAIAAAAAAADwvwLG3LWEfNDxvwIAAAAAAADgvwAAAAAYAAAA/PwA/AACAAAAAAAA8L8CeekmMQis/78CAAAAAAAA8L8AAAAAGAAAAPz8APwAAgAAAAAAAPC/At0kBoGVwwbAAgAAAAAAAOC/AAAAABgAAAD8/AD8AAIAAAAAAADwvwLdJAaBlcMGwAIAAAAAAADgPwAAAAAYAAAA/PwA/AACAAAAAAAA8L8CeekmMQis/78BAAAAABgAAAD8/AD8AAIAAAAAAADwvwI4iUFg5dDxvwIAAAAAAADgPwAAAAABEQAAAPz8APwAAgAAAAAAAPC/AlR0JJf/EBBAAt9xio7k8o+/AAAAAAERAAAA/PwA/AACAAAAAAAA8L8C4umVsgwxFEAC33GKjuTyjz8AAAAAPAQAAWUEEAAAAAAAAAAECAFlBAAAAAAAAAAACAwBZQQAAAAAAAAAAAwQAWUEAAAAAAAAAAAQFAFlBAAAAAAAAAAAFBgBZQQAAAAAAAAAABgEAWUEAAAAAAAAAAAQHAFlBBQAAAAAAAAAHCABZQQAAAAAAAAAACAkAWUEAAAAAAAAAAAkKAFlBAAAAAAAAAAAKCwBZQQAAAAAAAAAACwwAWUEAAAAAAAAAAAwNAFlBAAAAAAAAAAANCABZQQAAAAAAAAAAAAAAAA=</t>
        </r>
      </text>
    </comment>
    <comment ref="A270" authorId="0" shapeId="0" xr:uid="{BAE2CB40-4596-4769-92B2-B2E105976DF2}">
      <text>
        <r>
          <rPr>
            <sz val="9"/>
            <color indexed="81"/>
            <rFont val="MS P ゴシック"/>
            <family val="3"/>
            <charset val="128"/>
          </rPr>
          <t>Insight iXlW00001C0000270R0585476093S00000538P01184LAocjBAQBF1NjaVRlZ2ljLmRhdGEuTW9sZWN1bGUBbwF/ARJTY2lUZWdpYy5Nb2xlY3VsZQAAAQFkAv5qAQAAAAIBAgEQHAAAAPz8APwAAgAAAAAAAPC/AkGC4seYuwlAAQAAAAAYDAAA/PwA/AACAAAAAAAA8L8CINJvXwfOAkACAAAAAAAA4D8AAAAAGAAAAPz8APwAAgAAAAAAAPC/Av9D+u3rwPc/AQAAAAAYAAAA/PwA/AACAAAAAAAA8L8CescpOpLL4z8CAAAAAAAA4D8AAAAAGAwAAPz8APwAAgAAAAAAAPC/AnrHKTqSy+M/AgAAAAAAAOC/AAAAABgAAAD8/AD8AAIAAAAAAADwvwL/Q/rt68D3PwIAAAAAAADwvwAAAAAYAAAA/PwA/AACAAAAAAAA8L8CINJvXwfOAkACAAAAAAAA4L8AAAAAHAAAAPz8APwAAgAAAAAAAPC/Aibkg57Nqs+/AgAAAAAAAPC/AAAAABgAAAD8/AD8AAIAAAAAAADwvwLG3LWEfNDxvwIAAAAAAADgvwAAAAAYAAAA/PwA/AACAAAAAAAA8L8CeekmMQis/78CAAAAAAAA8L8AAAAAGAAAAPz8APwAAgAAAAAAAPC/At0kBoGVwwbAAgAAAAAAAOC/AAAAACAAAAD8/AD8AAIAAAAAAADwvwLdJAaBlcMGwAIAAAAAAADgPwAAAAAYAAAA/PwA/AACAAAAAAAA8L8CeekmMQis/78BAAAAABgAAAD8/AD8AAIAAAAAAADwvwI4iUFg5dDxvwIAAAAAAADgPwAAAAABEQAAAPz8APwAAgAAAAAAAPC/AlR0JJf/EBBAAt9xio7k8o+/AAAAAAERAAAA/PwA/AACAAAAAAAA8L8C4umVsgwxFEAC33GKjuTyjz8AAAAAPAQAAWUEEAAAAAAAAAAECAFlBAAAAAAAAAAACAwBZQQAAAAAAAAAAAwQAWUEAAAAAAAAAAAQFAFlBAAAAAAAAAAAFBgBZQQAAAAAAAAAABgEAWUEAAAAAAAAAAAQHAFlBBQAAAAAAAAAHCABZQQAAAAAAAAAACAkAWUEAAAAAAAAAAAkKAFlBAAAAAAAAAAAKCwBZQQAAAAAAAAAACwwAWUEAAAAAAAAAAAwNAFlBAAAAAAAAAAANCABZQQAAAAAAAAAAAAAAAA=</t>
        </r>
      </text>
    </comment>
    <comment ref="A271" authorId="0" shapeId="0" xr:uid="{3B29E3B7-9DFD-47C8-8FD7-B6833A8EE83B}">
      <text>
        <r>
          <rPr>
            <sz val="9"/>
            <color indexed="81"/>
            <rFont val="MS P ゴシック"/>
            <family val="3"/>
            <charset val="128"/>
          </rPr>
          <t>Insight iXlW00001C0000271R0585476093S00000540P01344LAocjBAQBF1NjaVRlZ2ljLmRhdGEuTW9sZWN1bGUBbwF/ARJTY2lUZWdpYy5Nb2xlY3VsZQAAAQFkAv5qAQAAAAIBAgESHAAAAPz8APwAAgAAAAAAAPC/AkGC4seYuw/AAsrDQq1p3tm/AAAAABgMAAD8/AD8AAIAAAAAAADwvwJBguLHmLsHwALKw0Ktad7ZvwAAAAAYAAAA/PwA/AACAAAAAAAA8L8CQYLix5i7A8ACNBE2PL1S9L8AAAAAGAAAAPz8APwAAgAAAAAAAPC/AvOwUGuad/e/AjQRNjy9UvS/AAAAABgMAAD8/AD8AAIAAAAAAADwvwLlYaHWNO/uvwIGEhQ/xtzZvwAAAAAYAAAA/PwA/AACAAAAAAAA8L8C87BQa5p3978CAW+BBMWP3T8AAAAAGAAAAPz8APwAAgAAAAAAAPC/AkGC4seYuwPAAgFvgQTFj90/AAAAABwAAAD8/AD8AAIAAAAAAADwvwKx4emVsgyhPwIGEhQ/xtzZvwAAAAAYAAAA/PwA/AACAAAAAAAA8L8CG55eKcsQ4T8CAW+BBMWP3T8AAAAAGAAAAPz8APwAAgAAAAAAAPC/Ag5Pr5RliPg/AgFvgQTFj90/AAAAABgAAAD8/AD8AAIAAAAAAADwvwKHp1fKMkQAQAIGEhQ/xtzZvwAAAAAYAAAA/PwA/AACAAAAAAAA8L8Ch6dXyjJECEACBhIUP8bc2b8AAAAAGAAAAPz8APwAAgAAAAAAAPC/AoenV8oyRAxAAgFvgQTFj90/AAAAABwAAAD8/AD8AAIAAAAAAADwvwKHp1fKMkQIQAICvAUSFD/1PwAAAAAYAAAA/PwA/AACAAAAAAAA8L8Ch6dXyjJEAEACArwFEhQ/9T8AAAAAAREAAAD8/AD8AAIAAAAAAADwvwL3Bl+YTFURQAJiMlUwKqmTvwAAAAABEQAAAPz8APwAAgAAAAAAAPC/AoV80LNZdRVAAvp+arx0k4g/AAAAAAERAAAA/PwA/AACAAAAAAAA8L8CL/8h/fa1GUACg8DKoUW2sz8AAAAAARAEAAFlBBAAAAAAAAAABAgBZQQAAAAAAAAAAAgMAWUEAAAAAAAAAAAMEAFlBAAAAAAAAAAAEBQBZQQAAAAAAAAAABQYAWUEAAAAAAAAAAAYBAFlBAAAAAAAAAAAEBwBZQQUAAAAAAAAABwgAWUEAAAAAAAAAAAgJAFlBAAAAAAAAAAAJCgBZQgMAAAAAAAAACgsAWUEAAAAAAAAAAAsMAFlCAgAAAAAAAAAMDQBZQQAAAAAAAAAADQ4AWUICAAAAAAAAAA4JAFlBAAAAAAAAAAAAAAAAA==</t>
        </r>
      </text>
    </comment>
    <comment ref="A272" authorId="0" shapeId="0" xr:uid="{F895A169-3EE3-45FC-95A2-36602C8793B2}">
      <text>
        <r>
          <rPr>
            <sz val="9"/>
            <color indexed="81"/>
            <rFont val="MS P ゴシック"/>
            <family val="3"/>
            <charset val="128"/>
          </rPr>
          <t>Insight iXlW00001C0000272R0585476093S00000542P01360LAocjBAQBF1NjaVRlZ2ljLmRhdGEuTW9sZWN1bGUBbwF/ARJTY2lUZWdpYy5Nb2xlY3VsZQAAAQFkAv5qAQAAAAIBAgESHAAAAPz8APwAAgAAAAAAAPC/AgAAAAAAABHAAoPAyqFFttu/AAAAABgMAAD8/AD8AAIAAAAAAADwvwIAAAAAAAAKwAKDwMqhRbbbvwAAAAAYAAAA/PwA/AACAAAAAAAA8L8CAAAAAAAABsACYxBYObTI9L8AAAAAGAAAAPz8APwAAgAAAAAAAPC/AgAAAAAAAPy/AmMQWDm0yPS/AAAAABgMAAD8/AD8AAIAAAAAAADwvwIAAAAAAAD0vwKDwMqhRbbbvwAAAAAYAAAA/PwA/AACAAAAAAAA8L8CAAAAAAAA/L8Cg8DKoUW22z8AAAAAGAAAAPz8APwAAgAAAAAAAPC/AgAAAAAAAAbAAoPAyqFFtts/AAAAABwAAAD8/AD8AAIAAAAAAADwvwIAAAAAAADQvwKDwMqhRbbbvwAAAAAYAAAA/PwA/AACAAAAAAAA8L8CAAAAAAAA0D8Cg8DKoUW22z8AAAAAGAAAAPz8APwAAgAAAAAAAPC/AgAAAAAAAPQ/AoPAyqFFtts/AAAAABgAAAD8/AD8AAIAAAAAAADwvwIAAAAAAAD8PwJjEFg5tMj0PwAAAAAYAAAA/PwA/AACAAAAAAAA8L8CAAAAAAAABkACYxBYObTI9D8AAAAAGAAAAPz8APwAAgAAAAAAAPC/AgAAAAAAAApAAoPAyqFFtts/AAAAAAERAAAA/PwA/AACAAAAAAAA8L8CAAAAAAAAEUACg8DKoUW22z8AAAAAGAAAAPz8APwAAgAAAAAAAPC/AgAAAAAAAAZAAoPAyqFFttu/AAAAABgAAAD8/AD8AAIAAAAAAADwvwIAAAAAAAD8PwKDwMqhRbbbvwAAAAABEQAAAPz8APwAAgAAAAAAAPC/AjMzMzMzMxRAAt9xio7k8o+/AAAAAAERAAAA/PwA/AACAAAAAAAA8L8CwqikTkBTGEAC33GKjuTyjz8AAAAAAREEAAFlBBAAAAAAAAAABAgBZQQAAAAAAAAAAAgMAWUEAAAAAAAAAAAMEAFlBAAAAAAAAAAAEBQBZQQAAAAAAAAAABQYAWUEAAAAAAAAAAAYBAFlBAAAAAAAAAAAEBwBZQQUAAAAAAAAABwgAWUEAAAAAAAAAAAgJAFlBAAAAAAAAAAAJCgBZQgMAAAAAAAAACgsAWUEAAAAAAAAAAAsMAFlCAwAAAAAAAAAMDQBZQQAAAAAAAAAADA4AWUEAAAAAAAAAAA4PAFlCAgAAAAAAAAAPCQBZQQAAAAAAAAAAAAAAAA=</t>
        </r>
      </text>
    </comment>
    <comment ref="A273" authorId="0" shapeId="0" xr:uid="{2D86EA14-3D1F-46A2-BF19-F5F31724104C}">
      <text>
        <r>
          <rPr>
            <sz val="9"/>
            <color indexed="81"/>
            <rFont val="MS P ゴシック"/>
            <family val="3"/>
            <charset val="128"/>
          </rPr>
          <t>Insight iXlW00001C0000273R0585476093S00000544P01360LAocjBAQBF1NjaVRlZ2ljLmRhdGEuTW9sZWN1bGUBbwF/ARJTY2lUZWdpYy5Nb2xlY3VsZQAAAQFkAv5qAQAAAAIBAgESHAAAAPz8APwAAgAAAAAAAPC/AszuycNCLQ/AAgAAAAAAAPo/AAAAABgMAAD8/AD8AAIAAAAAAADwvwKsPldbsT8IwAIAAAAAAADyPwAAAAAYAAAA/PwA/AACAAAAAAAA8L8CrD5XW7E/CMACAAAAAAAAwD8AAAAAGAAAAPz8APwAAgAAAAAAAPC/AouO5PIfUgHAAgAAAAAAANi/AAAAABgMAAD8/AD8AAIAAAAAAADwvwJjEFg5tMj0vwIAAAAAAADAPwAAAAAYAAAA/PwA/AACAAAAAAAA8L8CYxBYObTI9L8CAAAAAAAA8j8AAAAAGAAAAPz8APwAAgAAAAAAAPC/AlK4HoXrUQHAAgAAAAAAAPo/AAAAABwAAAD8/AD8AAIAAAAAAADwvwKDwMqhRbbbvwIAAAAAAADYvwAAAAAYAAAA/PwA/AACAAAAAAAA8L8Cg8DKoUW22z8CAAAAAAAAwD8AAAAAGAAAAPz8APwAAgAAAAAAAPC/AmMQWDm0yPQ/AgAAAAAAANi/AAAAABgAAAD8/AD8AAIAAAAAAADwvwJjEFg5tMj0PwIAAAAAAAD2vwAAAAAYAAAA/PwA/AACAAAAAAAA8L8CUrgehetRAUACAAAAAAAA/r8AAAAAGAAAAPz8APwAAgAAAAAAAPC/AnNoke18PwhAAgAAAAAAAPa/AAAAABgAAAD8/AD8AAIAAAAAAADwvwJzaJHtfD8IQAIAAAAAAADYvwAAAAABIwAAAPz8APwAAgAAAAAAAPC/AszuycNCLQ9AAgAAAAAAAMA/AAAAABgAAAD8/AD8AAIAAAAAAADwvwKLjuTyH1IBQAIAAAAAAADAPwAAAAABEQAAAPz8APwAAgAAAAAAAPC/ApkqGJXUyRJAAh6n6Egu/8G/AAAAAAERAAAA/PwA/AACAAAAAAAA8L8CKKCJsOHpFkACxbEubqMBvL8AAAAAAREEAAFlBBAAAAAAAAAABAgBZQQAAAAAAAAAAAgMAWUEAAAAAAAAAAAMEAFlBAAAAAAAAAAAEBQBZQQAAAAAAAAAABQYAWUEAAAAAAAAAAAYBAFlBAAAAAAAAAAAEBwBZQQUAAAAAAAAABwgAWUEAAAAAAAAAAAgJAFlBAAAAAAAAAAAJCgBZQgMAAAAAAAAACgsAWUEAAAAAAAAAAAsMAFlCAgAAAAAAAAAMDQBZQQAAAAAAAAAADQ4AWUEAAAAAAAAAAA0PAFlCAgAAAAAAAAAPCQBZQQAAAAAAAAAAAAAAAA=</t>
        </r>
      </text>
    </comment>
    <comment ref="A274" authorId="0" shapeId="0" xr:uid="{B6C5B70A-8EBA-4FCE-AC43-61875417B432}">
      <text>
        <r>
          <rPr>
            <sz val="9"/>
            <color indexed="81"/>
            <rFont val="MS P ゴシック"/>
            <family val="3"/>
            <charset val="128"/>
          </rPr>
          <t>Insight iXlW00001C0000274R0585476093S00000546P01260LAocjBAQBF1NjaVRlZ2ljLmRhdGEuTW9sZWN1bGUBbwF/ARJTY2lUZWdpYy5Nb2xlY3VsZQAAAQFkAv5qAQAAAAIBAgERGAAAAPz8APwAAgAAAAAAAPC/Ajj4wmSqYPS/AgAAAAAAAOA/AAAAABwAAAD8/AD8AAIAAAAAAADwvwIVrkfhehTavwEAAAAAIAAAAPz8APwAAgAAAAAAAPC/Aj0s1JrmHQHAAQAAAAAgAAAA/PwA/AACAAAAAAAA8L8COPjCZKpg9L8CAAAAAAAA4L8AAAAAHAAAAPz8APwAAgAAAAAAAPC/AsHKoUW2cwhAAgAAAAAAAPC/AAAAABgMAAD8/AD8AAIAAAAAAADwvwKgGi/dJIYBQAIAAAAAAADgvwAAAAAYAAAA/PwA/AACAAAAAAAA8L8CXtxGA3gLCMACAAAAAAAA4D8AAAAAGAAAAPz8APwAAgAAAAAAAPC/Av7UeOkmMfU/AgAAAAAAAPC/AAAAABgAAAD8/AD8AAIAAAAAAADwvwKgGi/dJIYBQAIAAAAAAADgPwAAAAAYCAAA/PwA/AACAAAAAAAA8L8C8tJNYhBY3T8CAAAAAAAA4D8AAAAAGAAAAPz8APwAAgAAAAAAAPC/AvLSTWIQWN0/AgAAAAAAAOC/AAAAABgAAAD8/AD8AAIAAAAAAADwvwL+1HjpJjH1PwEAAAAAGAAAAPz8APwAAgAAAAAAAPC/AhpR2ht8YQ9AAgAAAAAAAOC/AAAAABgAAAD8/AD8AAIAAAAAAADwvwLByqFFtnMIQAIAAAAAAAAAwAAAAAAYAAAA/PwA/AACAAAAAAAA8L8CXtxGA3gLBMACBoGVQ4ts178AAAAAGAAAAPz8APwAAgAAAAAAAPC/An+MuWsJ+Q7AAAAAAAAYAAAA/PwA/AACAAAAAAAA8L8CXtxGA3gLDMACQmDl0CLb9T8AAAAAAREEAAFlBAAAAAAAAAAACAABZQQAAAAAAAAAAAwAAWUIAAAAAAAAAAAUEAFlBBAAAAAAAAAAFCABZQQAAAAAAAAAABgIAWUEAAAAAAAAAAAcKAFlBAAAAAAAAAAAICwBZQQAAAAAAAAAACQEAWUEFAAAAAAAAAAoJAFlBAAAAAAAAAAALCQBZQQAAAAAAAAAADAQAWUEAAAAAAAAAAA0EAFlBAAAAAAAAAAAOBgBZQQAAAAAAAAAADwYAWUEAAAAAAAAAAABEBgBZQQAAAAAAAAAABQcAWUEAAAAAAAAAAAAAAAA</t>
        </r>
      </text>
    </comment>
    <comment ref="A275" authorId="0" shapeId="0" xr:uid="{DA4B4F3E-6088-4223-906B-FF4812DF91A5}">
      <text>
        <r>
          <rPr>
            <sz val="9"/>
            <color indexed="81"/>
            <rFont val="MS P ゴシック"/>
            <family val="3"/>
            <charset val="128"/>
          </rPr>
          <t>Insight iXlW00001C0000275R0585476093S00000548P01452LAocjBAQBF1NjaVRlZ2ljLmRhdGEuTW9sZWN1bGUBbwF/ARJTY2lUZWdpYy5Nb2xlY3VsZQAAAQFkAv5qAQAAAAIBAgETGAAAAPz8APwAAgAAAAAAAPC/Av5l9+Rhof4/Atnw9EpZhuK/AAAAABwAAAD8/AD8AAIAAAAAAADwvwJLWYY41sXwPwJseHqlLEPxvwAAAAAgAAAA/PwA/AACAAAAAAAA8L8CIGPuWkI+BkACbHh6pSxD8b8AAAAAIAAAAPz8APwAAgAAAAAAAPC/Av5l9+Rhof4/AlAeFmpN89o/AAAAABwAAAD8/AD8AAIAAAAAAADwvwLek4eFWlMDwAJGtvP91HjtPwAAAAAYAAAA/PwA/AACAAAAAAAA8L8CQRNhw9MrDUAC2fD0SlmG4r8AAAAAGAwAAPz8APwAAgAAAAAAAPC/AkzIBz2bVcc/Atnw9EpZhuK/AAAAABgIAAD8/AD8AAIAAAAAAADwvwJ6xyk6ksv4vwKMbOf7qfHaPwAAAAAYAAAA/PwA/AACAAAAAAAA8L8CNxrAWyBBCsACjGzn+6nx2j8AAAAAGAAAAPz8APwAAgAAAAAAAPC/AkzIBz2bVcc/AlAeFmpN89o/AAAAABgAAAD8/AD8AAIAAAAAAADwvwJxzojS3uDlvwJseHqlLEPxvwAAAAAYAAAA/PwA/AACAAAAAAAA8L8CescpOpLL+L8C2fD0SlmG4r8AAAAAGAAAAPz8APwAAgAAAAAAAPC/AnHOiNLe4OW/Aka28/3UeO0/AAAAABgAAAD8/AD8AAIAAAAAAADwvwJBE2HD0ysJQAJWn6ut2F/SPwAAAAAYAAAA/PwA/AACAAAAAAAA8L8CseHplbIMEkACwoanV8oytL8AAAAAGAAAAPz8APwAAgAAAAAAAPC/AqCJsOHplRBAAh+F61G4Hve/AAAAABgAAAD8/AD8AAIAAAAAAADwvwIsZRniWJcQwAJGtvP91HjtPwAAAAAYAAAA/PwA/AACAAAAAAAA8L8CPL1SliEOFMACjGzn+6nx2j8AAAAAGAAAAPz8APwAAgAAAAAAAPC/AixlGeJYlxDAAiPb+X5qvP4/AAAAAAETBAABZQQAAAAAAAAAAAgAAWUEAAAAAAAAAAAMAAFlCAAAAAAAAAAAHBABZQQUAAAAAAAAABQIAWUEAAAAAAAAAAAYBAFlBBAAAAAAAAAAHCwBZQQAAAAAAAAAACAQAWUEAAAAAAAAAAAkGAFlBAAAAAAAAAAAKBgBZQQAAAAAAAAAACwoAWUEAAAAAAAAAAAwJAFlBAAAAAAAAAAANBQBZQQAAAAAAAAAADgUAWUEAAAAAAAAAAA8FAFlBAAAAAAAAAAAARAgAWUEAAAAAAAAAAABEQEQAWUEAAAAAAAAAAABEgEQAWUEAAAAAAAAAAAcMAFlBAAAAAAAAAAAAAAAAA==</t>
        </r>
      </text>
    </comment>
    <comment ref="A276" authorId="0" shapeId="0" xr:uid="{E6CA3BF7-E6B9-4B0B-8526-BDC86B2EDFDB}">
      <text>
        <r>
          <rPr>
            <sz val="9"/>
            <color indexed="81"/>
            <rFont val="MS P ゴシック"/>
            <family val="3"/>
            <charset val="128"/>
          </rPr>
          <t>Insight iXlW00001C0000276R0585476093S00000550P01464LAocjBAQBF1NjaVRlZ2ljLmRhdGEuTW9sZWN1bGUBbwF/ARJTY2lUZWdpYy5Nb2xlY3VsZQAAAQFkAv5qAQAAAAIBAgETGAAAAPz8APwAAgAAAAAAAPC/Agu1pnnHKf8/Ak7zjlN0JOO/AAAAABwAAAD8/AD8AAIAAAAAAADwvwLKVMGopE7xPwKneccpOpLxvwAAAAAYAAAA/PwA/AACAAAAAAAA8L8CTKYKRiV1EMACswxxrIvb7D8AAAAAIAAAAPz8APwAAgAAAAAAAPC/At/gC5OpggZAAqd5xyk6kvG/AAAAABgAAAD8/AD8AAIAAAAAAADwvwJMpgpGJXUSwAKb5h2n6Ej8PwAAAAAYAAAA/PwA/AACAAAAAAAA8L8CTKYKRiV1FMACswxxrIvb7D8AAAAAIAAAAPz8APwAAgAAAAAAAPC/Agu1pnnHKf8/AmYZ4lgXt9k/AAAAABwAAAD8/AD8AAIAAAAAAADwvwJX7C+7Jw8DwAKzDHGsi9vsPwAAAAAYAAAA/PwA/AACAAAAAAAA8L8CAJF++zpwDUACTvOOU3Qk478AAAAAGAAAAPz8APwAAgAAAAAAAPC/AnicoiO5/AnAAmYZ4lgXt9k/AAAAABgIAAD8/AD8AAIAAAAAAADwvwJApN++DpzLPwJO845TdCTjvwAAAAAYDAAA/PwA/AACAAAAAAAA8L8C+8vuycNC+L8CZhniWBe32T8AAAAAGAAAAPz8APwAAgAAAAAAAPC/AkCk374OnMs/AmYZ4lgXt9k/AAAAABgAAAD8/AD8AAIAAAAAAADwvwJz1xLyQc/kvwKneccpOpLxvwAAAAAYAAAA/PwA/AACAAAAAAAA8L8CbHh6pSxD+L8CTvOOU3Qk478AAAAAGAAAAPz8APwAAgAAAAAAAPC/AnPXEvJBz+S/ArMMcayL2+w/AAAAABgAAAD8/AD8AAIAAAAAAADwvwIAkX77OnAJQAJsmnecoiPRPwAAAAAYAAAA/PwA/AACAAAAAAAA8L8CkKD4MeYuEkACbJp3nKIjub8AAAAAGAAAAPz8APwAAgAAAAAAAPC/AoBIv30duBBAAunZrPpcbfe/AAAAAAEUBAABZQQAAAAAAAAAAAgkAWUEAAAAAAAAAAAMAAFlBAAAAAAAAAAAEAgBZQQAAAAAAAAAABQIAWUEAAAAAAAAAAAYAAFlCAAAAAAAAAAALBwBZQQQAAAAAAAAACAMAWUEAAAAAAAAAAAkHAFlBAAAAAAAAAAAKAQBZQQUAAAAAAAAACw4AWUEAAAAAAAAAAAwKAFlBAAAAAAAAAAANCgBZQQAAAAAAAAAADg0AWUEAAAAAAAAAAA8MAFlBAAAAAAAAAAAARAgAWUEAAAAAAAAAAABESABZQQAAAAAAAAAAAESIAFlBAAAAAAAAAAALDwBZQQAAAAAAAAAABAUAWUEAAAAAAAAAAAAAAAA</t>
        </r>
      </text>
    </comment>
    <comment ref="A277" authorId="0" shapeId="0" xr:uid="{BAB58A23-E8CD-439B-939E-B52901EDC1B9}">
      <text>
        <r>
          <rPr>
            <sz val="9"/>
            <color indexed="81"/>
            <rFont val="MS P ゴシック"/>
            <family val="3"/>
            <charset val="128"/>
          </rPr>
          <t>Insight iXlW00001C0000277R0585476093S00000552P01612LAocjBAQBF1NjaVRlZ2ljLmRhdGEuTW9sZWN1bGUBbwF/ARJTY2lUZWdpYy5Nb2xlY3VsZQAAAQFkAv5qAQAAAAIBAgEVGAAAAPz8APwAAgAAAAAAAPC/AigPC7WmeQJAAvyp8dJNYtg/AAAAABwAAAD8/AD8AAIAAAAAAADwvwKdEaW9wRf3PwL+1HjpJjHsPwAAAAAgAAAA/PwA/AACAAAAAAAA8L8CSb99HThnCUAC/tR46SYx7D8AAAAAIAAAAPz8APwAAgAAAAAAAPC/AigPC7WmeQJAAgIrhxbZzuO/AAAAABwAAAD8/AD8AAIAAAAAAADwvwK1N/jCZCoAwALyQc9m1efxvwAAAAAYAAAA/PwA/AACAAAAAAAA8L8CtTf4wmQqEEAC/Knx0k1i2D8AAAAAIAAAAPz8APwAAgAAAAAAAPC/AigPC7WmeRLAAjj4wmSqYNg/AAAAABgIAAD8/AD8AAIAAAAAAADwvwK3Yn/ZPXniPwL8qfHSTWLYPwAAAAAYAAAA/PwA/AACAAAAAAAA8L8C1udqK/YXB8AC5IOezarP478AAAAAGAwAAPz8APwAAgAAAAAAAPC/AigPC7WmefK/AuSDns2qz+O/AAAAABgAAAD8/AD8AAIAAAAAAADwvwIoDwu1pnnyvwI4+MJkqmDYPwAAAAAYAAAA/PwA/AACAAAAAAAA8L8CmbuWkA960r8C/tR46SYx7D8AAAAAGAAAAPz8APwAAgAAAAAAAPC/Apm7lpAPetK/AoGVQ4ts5/G/AAAAABgAAAD8/AD8AAIAAAAAAADwvwK3Yn/ZPXniPwICK4cW2c7jvwAAAAAYAAAA/PwA/AACAAAAAAAA8L8C95fdk4cFDsACgZVDi2zn8b8AAAAAGAAAAPz8APwAAgAAAAAAAPC/Atbnaiv2FwfAAjj4wmSqYNg/AAAAABgAAAD8/AD8AAIAAAAAAADwvwIoDwu1pnkSwAICK4cW2c7jvwAAAAAYAAAA/PwA/AACAAAAAAAA8L8CL26jAbwFDsACHHxhMlUw7D8AAAAAGAAAAPz8APwAAgAAAAAAAPC/ArU3+MJkKhJAAsHKoUW28/M/AAAAABgAAAD8/AD8AAIAAAAAAADwvwLiehSuR6ETQAIRWDm0yHa+vwAAAAAYAAAA/PwA/AACAAAAAAAA8L8Cam/whclUDEACz4jS3uAL378AAAAAARYEAAFlBAAAAAAAAAAACAABZQQAAAAAAAAAAAwAAWUIAAAAAAAAAAAkEAFlBBAAAAAAAAAAFAgBZQQAAAAAAAAAABgBEQFlBAAAAAAAAAAAHAQBZQQUAAAAAAAAACAQAWUEAAAAAAAAAAAkMAFlBAAAAAAAAAAAKCwBZQQAAAAAAAAAACwcAWUEAAAAAAAAAAAwNAFlBAAAAAAAAAAANBwBZQQAAAAAAAAAADggAWUEAAAAAAAAAAA8IAFlBAAAAAAAAAAAARA4AWUEAAAAAAAAAAABETwBZQQAAAAAAAAAAAESFAFlBAAAAAAAAAAAARMUAWUEAAAAAAAAAAABFBQBZQQAAAAAAAAAACQoAWUEAAAAAAAAAAAYARABZQQAAAAAAAAAAAAAAAA=</t>
        </r>
      </text>
    </comment>
    <comment ref="A278" authorId="0" shapeId="0" xr:uid="{79253AF1-3B4E-423D-9733-8D5BBD88D1C8}">
      <text>
        <r>
          <rPr>
            <sz val="9"/>
            <color indexed="81"/>
            <rFont val="MS P ゴシック"/>
            <family val="3"/>
            <charset val="128"/>
          </rPr>
          <t>Insight iXlW00001C0000278R0585476093S00000554P01976LAocjBAQBF1NjaVRlZ2ljLmRhdGEuTW9sZWN1bGUBbwF/ARJTY2lUZWdpYy5Nb2xlY3VsZQAAAQFkAv5qAQAAAAIBAgEaGAAAAPz8APwAAgAAAAAAAPC/AmfV52ordgxAAoPAyqFFtts/AAAAABgAAAD8/AD8AAIAAAAAAADwvwJNFYxK6sQRwAKDwMqhRbbbPwAAAAAYAAAA/PwA/AACAAAAAAAA8L8CmioYldSJD8ACg8DKoUW2278AAAAAHAAAAPz8APwAAgAAAAAAAPC/AmfV52ordghAAoPAyqFFttu/AAAAACAAAAD8/AD8AAIAAAAAAADwvwK06nO1FTsSQAKDwMqhRbbbPwAAAAAgAAAA/PwA/AACAAAAAAAA8L8CZ9Xnait2CEAC1LzjFB3J9D8AAAAAGAAAAPz8APwAAgAAAAAAAPC/ApoqGJXUiQfAAoPAyqFFttu/AAAAACAAAAD8/AD8AAIAAAAAAADwvwJNFYxK6sQVwAKDwMqhRbbbPwAAAAAcAAAA/PwA/AACAAAAAAAA8L8CZapgVFIn7r8Cg8DKoUW2278AAAAAGAAAAPz8APwAAgAAAAAAAPC/ArTqc7UVOxRAAmMQWDm0yPQ/AAAAABgMAAD8/AD8AAIAAAAAAADwvwJn1edqK3YAQAKDwMqhRbbbvwAAAAAYAAAA/PwA/AACAAAAAAAA8L8CmSoYldSJA8ACYxBYObTI9L8AAAAAIAAAAPz8APwAAgAAAAAAAPC/ApoqGJXUiQ/AAmMQWDm0yPQ/AAAAABgAAAD8/AD8AAIAAAAAAADwvwIzVTAqqRP3vwJjEFg5tMj0vwAAAAAYCAAA/PwA/AACAAAAAAAA8L8CtFn1udqKrT8Cg8DKoUW2278AAAAAGAAAAPz8APwAAgAAAAAAAPC/As6qz9VW7Pg/AoPAyqFFtts/AAAAABgAAAD8/AD8AAIAAAAAAADwvwLOqs/VVuz4PwJjEFg5tMj0vwAAAAAYAAAA/PwA/AACAAAAAAAA8L8Cm1Wfq63Y4T8CYxBYObTI9L8AAAAAGAAAAPz8APwAAgAAAAAAAPC/AptVn6ut2OE/AoPAyqFFtts/AAAAABgAAAD8/AD8AAIAAAAAAADwvwJNFYxK6sQRwALUvOMUHcn0vwAAAAAYAAAA/PwA/AACAAAAAAAA8L8CmioYldSJD8ACi47k8h9SAcAAAAAAGAAAAPz8APwAAgAAAAAAAPC/AoenV8oyxBBAAmMQWDm0yPw/AAAAABgAAAD8/AD8AAIAAAAAAADwvwK06nO1FTsWQAKLjuTyH1IBQAAAAAAYAAAA/PwA/AACAAAAAAAA8L8CxEKtad6xF0ACxSCwcmiR6T8AAAAAGAAAAPz8APwAAgAAAAAAAPC/ApoqGJXUiQfAAouO5PIfUgHAAAAAABgAAAD8/AD8AAIAAAAAAADwvwJNFYxK6sQRwAJSuB6F61EBQAAAAAABGwQIAWUEAAAAAAAAAAAIGAFlCAwAAAAAAAAADAABZQQAAAAAAAAAABAAAWUEAAAAAAAAAAAUAAFlCAAAAAAAAAAAGCwBZQQAAAAAAAAAABwEAWUIAAAAAAAAAAA4IAFlBBQAAAAAAAAAJBABZQQAAAAAAAAAACgMAWUEEAAAAAAAAAAsNAFlBAAAAAAAAAAAMAQBZQQAAAAAAAAAADQgAWUEAAAAAAAAAAA4AREBZQQAAAAAAAAAADwoAWUEAAAAAAAAAAABECgBZQQAAAAAAAAAAAERARABZQQAAAAAAAAAAAESPAFlBAAAAAAAAAAAARMBFAFlCAgAAAAAAAAAARQBGAFlBAAAAAAAAAAAARUkAWUEAAAAAAAAAAABFiQBZQQAAAAAAAAAAAEXJAFlBAAAAAAAAAAAARgsAWUICAAAAAAAAAABGTABZQQAAAAAAAAAADgBEgFlBAAAAAAAAAAAARMIAWUEAAAAAAAAAAAAAAAA</t>
        </r>
      </text>
    </comment>
    <comment ref="A279" authorId="0" shapeId="0" xr:uid="{FB64652A-9B1E-4E21-ACC6-229C10EE4499}">
      <text>
        <r>
          <rPr>
            <sz val="9"/>
            <color indexed="81"/>
            <rFont val="MS P ゴシック"/>
            <family val="3"/>
            <charset val="128"/>
          </rPr>
          <t>Insight iXlW00001C0000279R0585476093S00000556P01612LAocjBAQBF1NjaVRlZ2ljLmRhdGEuTW9sZWN1bGUBbwF/ARJTY2lUZWdpYy5Nb2xlY3VsZQAAAQFkAv5qAQAAAAIAAgEVGAAAAPz8APwAAgAAAAAAAPC/AigPC7WmeQJAAvyp8dJNYtg/AAAAABwAAAD8/AD8AAIAAAAAAADwvwIoDwu1pnnyvwICK4cW2c7jvwAAAAAcAAAA/PwA/AACAAAAAAAA8L8CDr4wmSoY9z8C/tR46SYx7D8AAAAAIAAAAPz8APwAAgAAAAAAAPC/Akm/fR04ZwlAAv7UeOkmMew/AAAAACAAAAD8/AD8AAIAAAAAAADwvwIoDwu1pnkCQAICK4cW2c7jvwAAAAAYAAAA/PwA/AACAAAAAAAA8L8C0SLb+X4qEEAC/Knx0k1i2D8AAAAAIAAAAPz8APwAAgAAAAAAAPC/AigPC7WmeRLAAjj4wmSqYNg/AAAAABgAAAD8/AD8AAIAAAAAAADwvwK1N/jCZCoAwAKBlUOLbOfxvwAAAAAYAAAA/PwA/AACAAAAAAAA8L8CmbuWkA960r8CHHxhMlUw7D8AAAAAGAAAAPz8APwAAgAAAAAAAPC/Ardif9k9eeI/AgIrhxbZzuO/AAAAABgAAAD8/AD8AAIAAAAAAADwvwK3Yn/ZPXniPwL8qfHSTWLYPwAAAAAYAAAA/PwA/AACAAAAAAAA8L8CmbuWkA960r8CgZVDi2zn8b8AAAAAGAAAAPz8APwAAgAAAAAAAPC/AigPC7WmefK/Ajj4wmSqYNg/AAAAABgAAAD8/AD8AAIAAAAAAADwvwIOvjCZKhgHwAICK4cW2c7jvwAAAAAYAAAA/PwA/AACAAAAAAAA8L8CKA8LtaZ5EsACAiuHFtnO478AAAAAGAAAAPz8APwAAgAAAAAAAPC/Ai9uowG8BQ7AAhx8YTJVMOw/AAAAABgAAAD8/AD8AAIAAAAAAADwvwLRItv5fioSQALByqFFtvPzPwAAAAAYAAAA/PwA/AACAAAAAAAA8L8C4noUrkehE0ACEVg5tMh2vr8AAAAAGAAAAPz8APwAAgAAAAAAAPC/AqJFtvP9VAxAAs+I0t7gC9+/AAAAABgAAAD8/AD8AAIAAAAAAADwvwIOvjCZKhgHwAI4+MJkqmDYPwAAAAAYAAAA/PwA/AACAAAAAAAA8L8CL26jAbwFDsACgZVDi2zn8b8AAAAAARYELAFlBAAAAAAAAAAACAABZQQAAAAAAAAAAAwAAWUEAAAAAAAAAAAQAAFlCAAAAAAAAAAAFAwBZQQAAAAAAAAAABg4AWUEAAAAAAAAAAAcBAFlBAAAAAAAAAAAICgBZQQAAAAAAAAAACQoAWUEAAAAAAAAAAAoCAFlBAAAAAAAAAAALCQBZQQAAAAAAAAAADAgAWUEAAAAAAAAAAA0HAFlBAAAAAAAAAAAOAEUAWUEAAAAAAAAAAA8ARMBZQQAAAAAAAAAAAEQFAFlBAAAAAAAAAAAAREUAWUEAAAAAAAAAAABEhQBZQQAAAAAAAAAAAETNAFlBAAAAAAAAAAAARQ0AWUEAAAAAAAAAAAEMAFlBAAAAAAAAAAAGDwBZQQAAAAAAAAAAAAAAAA=</t>
        </r>
      </text>
    </comment>
    <comment ref="A280" authorId="0" shapeId="0" xr:uid="{48D8423C-4526-42DC-9F2F-B97120D99555}">
      <text>
        <r>
          <rPr>
            <sz val="9"/>
            <color indexed="81"/>
            <rFont val="MS P ゴシック"/>
            <family val="3"/>
            <charset val="128"/>
          </rPr>
          <t>Insight iXlW00001C0000280R0585476093S00000558P01504LAocjBAQBF1NjaVRlZ2ljLmRhdGEuTW9sZWN1bGUBbwF/ARJTY2lUZWdpYy5Nb2xlY3VsZQAAAQFkAv5qAQAAAAIAAgEUGAAAAPz8APwAAgAAAAAAAPC/Ar3jFB3J5RHAAgAAAAAAAOi/AAAAACAAAAD8/AD8AAIAAAAAAADwvwJZF7fRAN4MwAIAAAAAAADQvwAAAAAYAAAA/PwA/AACAAAAAAAA8L8COGdEaW/wBcACAAAAAAAA6L8AAAAAIAAAAPz8APwAAgAAAAAAAPC/AjhnRGlv8AXAAgAAAAAAAPy/AAAAABgAAAD8/AD8AAIAAAAAAADwvwIvbqMBvAX+vwIAAAAAAADQvwAAAAAYAAAA/PwA/AACAAAAAAAA8L8CL26jAbwF/r8CAAAAAAAA6D8AAAAAGAAAAPz8APwAAgAAAAAAAPC/Au0NvjCZKvC/AgAAAAAAAPQ/AAAAABgAAAD8/AD8AAIAAAAAAADwvwJdbcX+snvCvwIAAAAAAADoPwAAAAAYAAAA/PwA/AACAAAAAAAA8L8CDr4wmSoY5z8CAAAAAAAA9D8AAAAAHAAAAPz8APwAAgAAAAAAAPC/Akm/fR04Z/k/AgAAAAAAAOg/AAAAABgAAAD8/AD8AAIAAAAAAADwvwLFjzF3LaEDQAIAAAAAAAD0PwAAAAAYAAAA/PwA/AACAAAAAAAA8L8C5j+k376OCkACAAAAAAAA6D8AAAAAGAAAAPz8APwAAgAAAAAAAPC/AuY/pN++jgpAAgAAAAAAANC/AAAAABwAAAD8/AD8AAIAAAAAAADwvwIgY+5aQr4QQAIAAAAAAADovwAAAAAYAAAA/PwA/AACAAAAAAAA8L8CxY8xdy2hA0ACAAAAAAAA6L8AAAAAGAAAAPz8APwAAgAAAAAAAPC/Akm/fR04Z/k/AgAAAAAAANC/AAAAABgAAAD8/AD8AAIAAAAAAADwvwJdbcX+snvCvwIAAAAAAADQvwAAAAAYAAAA/PwA/AACAAAAAAAA8L8CfGEyVTAq8L8CAAAAAAAA6L8AAAAAAREAAAD8/AD8AAIAAAAAAADwvwJTliGOdfETQAKPU3Qkl//QvwAAAAABEQAAAPz8APwAAgAAAAAAAPC/AuELk6mCERhAAuNYF7fRAM6/AAAAAAETAAQBZQQAAAAAAAAAAAQIAWUEAAAAAAAAAAAIDAFlCAAAAAAAAAAACBABZQQAAAAAAAAAABAUAWUIDAAAAAAAAAAUGAFlBAAAAAAAAAAAGBwBZQgMAAAAAAAAABwgAWUEAAAAAAAAAAAgJAFlBAAAAAAAAAAAJCgBZQQAAAAAAAAAACgsAWUEAAAAAAAAAAAsMAFlBAAAAAAAAAAAMDQBZQQAAAAAAAAAADA4AWUEAAAAAAAAAAA4PAFlBAAAAAAAAAAAPCQBZQQAAAAAAAAAABwBEAFlBAAAAAAAAAAAARABEQFlCAgAAAAAAAAAAREQAWUEAAAAAAAAAAAAAAAA</t>
        </r>
      </text>
    </comment>
    <comment ref="A281" authorId="0" shapeId="0" xr:uid="{782D393C-EC4C-42FF-B0E6-51E081A2DA89}">
      <text>
        <r>
          <rPr>
            <sz val="9"/>
            <color indexed="81"/>
            <rFont val="MS P ゴシック"/>
            <family val="3"/>
            <charset val="128"/>
          </rPr>
          <t>Insight iXlW00001C0000281R0585476093S00000560P01432LAocjBAQBF1NjaVRlZ2ljLmRhdGEuTW9sZWN1bGUBbwF/ARJTY2lUZWdpYy5Nb2xlY3VsZQAAAQFkAv5qAQAAAAIAAgETGAAAAPz8APwAAgAAAAAAAPC/An0/NV66yQ/AAvw6cM6I0tK/AAAAACAAAAD8/AD8AAIAAAAAAADwvwJcj8L1KNwIwAJ+HThnRGnpvwAAAAAYAAAA/PwA/AACAAAAAAAA8L8CAwmKH2PuAcAC/DpwzojS0r8AAAAAGAAAAPz8APwAAgAAAAAAAPC/AgMJih9j7gHAAoPix5i7luY/AAAAABgAAAD8/AD8AAIAAAAAAADwvwLEsS5uowH2vwJB8WPMXUvzPwAAAAAYAAAA/PwA/AACAAAAAAAA8L8CBqOSOgFN4L8Cg+LHmLuW5j8AAAAAGAAAAPz8APwAAgAAAAAAAPC/Avw6cM6I0tY/AkHxY8xdS/M/AAAAABwAAAD8/AD8AAIAAAAAAADwvwIBb4EExY/zPwKD4seYu5bmPwAAAAAYAAAA/PwA/AACAAAAAAAA8L8CoWez6nO1AEACQfFjzF1L8z8AAAAAGAAAAPz8APwAAgAAAAAAAPC/AsIXJlMFowdAAoPix5i7luY/AAAAABgAAAD8/AD8AAIAAAAAAADwvwL77evAOaMHQAL8OnDOiNLSvwAAAAAcAAAA/PwA/AACAAAAAAAA8L8CG55eKcuQDkACfh04Z0Rp6b8AAAAAGAAAAPz8APwAAgAAAAAAAPC/AqFns+pztQBAAn4dOGdEaem/AAAAABgAAAD8/AD8AAIAAAAAAADwvwIBb4EExY/zPwL8OnDOiNLSvwAAAAAYAAAA/PwA/AACAAAAAAAA8L8CBqOSOgFN4L8C/DpwzojS0r8AAAAAGAAAAPz8APwAAgAAAAAAAPC/AsSxLm6jAfa/An4dOGdEaem/AAAAACQAAAD8/AD8AAIAAAAAAADwvwLEsS5uowH2vwK/DpwzorT8vwAAAAABEQAAAPz8APwAAgAAAAAAAPC/AkGC4seYexJAAouO5PIf0tO/AAAAAAERAAAA/PwA/AACAAAAAAAA8L8Cz/dT46WbFkACbef7qfHS0b8AAAAAARIABAFlBAAAAAAAAAAABAgBZQQAAAAAAAAAAAgMAWUIDAAAAAAAAAAMEAFlBAAAAAAAAAAAEBQBZQgMAAAAAAAAABQYAWUEAAAAAAAAAAAYHAFlBAAAAAAAAAAAHCABZQQAAAAAAAAAACAkAWUEAAAAAAAAAAAkKAFlBAAAAAAAAAAAKCwBZQQAAAAAAAAAACgwAWUEAAAAAAAAAAAwNAFlBAAAAAAAAAAANBwBZQQAAAAAAAAAABQ4AWUEAAAAAAAAAAA4PAFlCAgAAAAAAAAAPAgBZQQAAAAAAAAAADwBEAFlBAAAAAAAAAAAAAAAAA==</t>
        </r>
      </text>
    </comment>
    <comment ref="A282" authorId="0" shapeId="0" xr:uid="{120EEB69-6D7A-4347-817E-1DF7FFEC0F0F}">
      <text>
        <r>
          <rPr>
            <sz val="9"/>
            <color indexed="81"/>
            <rFont val="MS P ゴシック"/>
            <family val="3"/>
            <charset val="128"/>
          </rPr>
          <t>Insight iXlW00001C0000282R0585476093S00000562P00876LAocjBAQBF1NjaVRlZ2ljLmRhdGEuTW9sZWN1bGUBbwF/ARJTY2lUZWdpYy5Nb2xlY3VsZQAAAQFkAv5qAQAAAAIBAiwcAAAA/PwA/AACAAAAAAAA8L8ChslUwaikxr8C8YXJVMGoxL8AAAAAGAAAAPz8APwAAgAAAAAAAPC/ApayDHGsi++/Aio6kst/SNs/AAAAABgAAAD8/AD8AAIAAAAAAADwvwIsZRniWBffvwLNzMzMzMzxvwAAAAAYAAAA/PwA/AACAAAAAAAA8L8CvAUSFD/G6D8Cat5xio7kwj8AAAAAGAAAAPz8APwAAgAAAAAAAPC/ArwFEhQ/xve/As3MzMzMzPG/AAAAABgIAAD8/AD8AAIAAAAAAADwvwJIcvkP6bf8vwLxhclUwajEvwAAAAAcAAAA/PwA/AACAAAAAAAA8L8C87BQa5r3BcACat5xio7kwj8AAAAAGAAAAPz8APwAAgAAAAAAAPC/AmaIY13cRvg/Asb+snvysOC/AAAAABgAAAD8/AD8AAIAAAAAAADwvwLp2az6XG3vPwIYt9EA3gLyPwAAAAAYAAAA/PwA/AACAAAAAAAA8L8CAwmKH2Pu/j8CoyO5/If09j8AAAAAGAAAAPz8APwAAgAAAAAAAPC/AjqSy39IvwNAAjQzMzMzM8u/AAAAACwEAAFlBAAAAAAAAAAACAABZQQAAAAAAAAAAAwAAWUEAAAAAAAAAAAQCAFlBAAAAAAAAAAAFAQBZQQAAAAAAAAAABQYAWUEFAAAAAAAAAAcDAFlBAAAAAAAAAAAIAwBZQQAAAAAAAAAACQgAWUEAAAAAAAAAAAoHAFlBAAAAAAAAAAAFBABZQQAAAAAAAAAAAAAAAA=</t>
        </r>
      </text>
    </comment>
    <comment ref="A283" authorId="0" shapeId="0" xr:uid="{C8C534EA-E44B-433B-836E-C2038FCF3DB8}">
      <text>
        <r>
          <rPr>
            <sz val="9"/>
            <color indexed="81"/>
            <rFont val="MS P ゴシック"/>
            <family val="3"/>
            <charset val="128"/>
          </rPr>
          <t>Insight iXlW00001C0000283R0585476093S00000564P00964LAocjBAQBF1NjaVRlZ2ljLmRhdGEuTW9sZWN1bGUBbwF/ARJTY2lUZWdpYy5Nb2xlY3VsZQAAAQFkAv5qAQAAAAIBAjAcAAAA/PwA/AACAAAAAAAA8L8CCRueXinL3D8CgEi/fR04tz8AAAAAGAAAAPz8APwAAgAAAAAAAPC/AgtGJXUCmvA/AgfwFkhQ/Oa/AAAAABgAAAD8/AD8AAIAAAAAAADwvwILRiV1AprwPwInwoanV8rsPwAAAAAYAAAA/PwA/AACAAAAAAAA8L8CfPKwUGua4b8Cb4EExY8xtz8AAAAAGAAAAPz8APwAAgAAAAAAAPC/AhriWBe30f8/AhDpt68D5+I/AAAAACAAAAD8/AD8AAIAAAAAAADwvwKfPCzUmmYEwAJvgQTFjzG3PwAAAAAYCAAA/PwA/AACAAAAAAAA8L8CGuJYF7fR/z8C4C2QoPgx2r8AAAAAGAAAAPz8APwAAgAAAAAAAPC/Aj55WKg1zfC/ArFQa5p3nO4/AAAAABgAAAD8/AD8AAIAAAAAAADwvwI+eVioNc3wvwJWMCqpE9DovwAAAAAcAAAA/PwA/AACAAAAAAAA8L8CUyegibBhBkACZO5aQj7o778AAAAAGAAAAPz8APwAAgAAAAAAAPC/Ap88LNSaZgDAAlYwKqkT0Oi/AAAAABgAAAD8/AD8AAIAAAAAAADwvwKfPCzUmmYAwAKxUGuad5zuPwAAAAA0BAABZQQAAAAAAAAAAAgAAWUEAAAAAAAAAAAMAAFlBAAAAAAAAAAAEAgBZQQAAAAAAAAAABQoAWUEAAAAAAAAAAAYBAFlBAAAAAAAAAAAHAwBZQQAAAAAAAAAACAMAWUEAAAAAAAAAAAYJAFlBBQAAAAAAAAAKCABZQQAAAAAAAAAACwcAWUEAAAAAAAAAAAYEAFlBAAAAAAAAAAAFCwBZQQAAAAAAAAAAAAAAAA=</t>
        </r>
      </text>
    </comment>
    <comment ref="A284" authorId="0" shapeId="0" xr:uid="{3A77C403-9410-4181-8AD3-199EF117AE8E}">
      <text>
        <r>
          <rPr>
            <sz val="9"/>
            <color indexed="81"/>
            <rFont val="MS P ゴシック"/>
            <family val="3"/>
            <charset val="128"/>
          </rPr>
          <t>Insight iXlW00001C0000284R0585476093S00000566P00876LAocjBAQBF1NjaVRlZ2ljLmRhdGEuTW9sZWN1bGUBbwF/ARJTY2lUZWdpYy5Nb2xlY3VsZQAAAQFkAv5qAQAAAAIBAiwcAAAA/PwA/AACAAAAAAAA8L8C6dms+lxtzT8CsJRliGNd3D8AAAAAGAAAAPz8APwAAgAAAAAAAPC/AsKopE5AE+e/Am+jAbwFEug/AAAAABgAAAD8/AD8AAIAAAAAAADwvwKRD3o2qz7hPwLkFB3J5T/gvwAAAAAYAAAA/PwA/AACAAAAAAAA8L8CyQc9m1Wf8D8C5tAi2/l+8D8AAAAAGAAAAPz8APwAAgAAAAAAAPC/AlqGONbFbfe/AoQvTKYKRrU/AAAAABgAAAD8/AD8AAIAAAAAAADwvwJUdCSX/5D9PwKwlGWIY13cPwAAAAAYCAAA/PwA/AACAAAAAAAA8L8CyQc9m1Wf+D8Cxm00gLdA4L8AAAAAHAAAAPz8APwAAgAAAAAAAPC/AsE5I0p7AwFAAm6jAbwFEvW/AAAAABgAAAD8/AD8AAIAAAAAAADwvwJTliGOdXHpvwIB3gIJih/lvwAAAAAYAAAA/PwA/AACAAAAAAAA8L8C8YXJVMGoAcACcPCFyVTB4r8AAAAAGAAAAPz8APwAAgAAAAAAAPC/AoxK6gQ0EQHAAgCRfvs6cOo/AAAAACwEAAFlBAAAAAAAAAAACAABZQQAAAAAAAAAAAwAAWUEAAAAAAAAAAAQBAFlBAAAAAAAAAAAFAwBZQQAAAAAAAAAABgIAWUEAAAAAAAAAAAYHAFlBBQAAAAAAAAAIBABZQQAAAAAAAAAACQQAWUEAAAAAAAAAAAoEAFlBAAAAAAAAAAAGBQBZQQAAAAAAAAAAAAAAAA=</t>
        </r>
      </text>
    </comment>
    <comment ref="A285" authorId="0" shapeId="0" xr:uid="{A6FB94D0-A6BA-4AE1-98BF-C2C7A8A17FD5}">
      <text>
        <r>
          <rPr>
            <sz val="9"/>
            <color indexed="81"/>
            <rFont val="MS P ゴシック"/>
            <family val="3"/>
            <charset val="128"/>
          </rPr>
          <t>Insight iXlW00001C0000285R0585476093S00000568P00964LAocjBAQBF1NjaVRlZ2ljLmRhdGEuTW9sZWN1bGUBbwF/ARJTY2lUZWdpYy5Nb2xlY3VsZQAAAQFkAv5qAQAAAAIBAjAcAAAA/PwA/AACAAAAAAAA8L8Cnu+nxks32T8CkQ96Nqs+4b8AAAAAGAAAAPz8APwAAgAAAAAAAPC/Ap7vp8ZLN+O/AmU730+Nl+S/AAAAABgAAAD8/AD8AAIAAAAAAADwvwI1XrpJDALxPwJQjZduEoP0vwAAAAAYAAAA/PwA/AACAAAAAAAA8L8C7Z48LNSa7D8C5WGh1jTv1D8AAAAAGAAAAPz8APwAAgAAAAAAAPC/AjJ3LSEf9P0/AjLmriXkg74/AAAAABgIAAD8/AD8AAIAAAAAAADwvwKrYFRSJ6D/PwKnCkYldQLsvwAAAAAcAAAA/PwA/AACAAAAAAAA8L8CduCcEaW9BkACUwWjkjoB9r8AAAAAGAAAAPz8APwAAgAAAAAAAPC/AoljXdxGA/O/Asl2vp8aL8U/AAAAABgAAAD8/AD8AAIAAAAAAADwvwLEsS5uo4EBwALJdr6fGi/FPwAAAAAYAAAA/PwA/AACAAAAAAAA8L8C++3rwDkj7L8C6Gor9pfd8T8AAAAAGAAAAPz8APwAAgAAAAAAAPC/AoljXdxGA/u/AjEqqRPQRPs/AAAAABgAAAD8/AD8AAIAAAAAAADwvwIKaCJsePoDwALoaiv2l93xPwAAAAA0BAABZQQAAAAAAAAAAAgAAWUEAAAAAAAAAAAMAAFlBAAAAAAAAAAAEAwBZQQAAAAAAAAAABQIAWUEAAAAAAAAAAAUGAFlBBQAAAAAAAAAHAQBZQQAAAAAAAAAACAcAWUEAAAAAAAAAAAkHAFlBAAAAAAAAAAAKCQBZQQAAAAAAAAAACwgAWUEAAAAAAAAAAAUEAFlBAAAAAAAAAAAKCwBZQQAAAAAAAAAAAAAAAA=</t>
        </r>
      </text>
    </comment>
    <comment ref="A286" authorId="0" shapeId="0" xr:uid="{8F435733-DCCD-428C-997D-A3438AE788E5}">
      <text>
        <r>
          <rPr>
            <sz val="9"/>
            <color indexed="81"/>
            <rFont val="MS P ゴシック"/>
            <family val="3"/>
            <charset val="128"/>
          </rPr>
          <t>Insight iXlW00001C0000286R0585476093S00000570P01036LAocjBAQBF1NjaVRlZ2ljLmRhdGEuTW9sZWN1bGUBbwF/ARJTY2lUZWdpYy5Nb2xlY3VsZQAAAQFkAv5qAQAAAAIBAjQcAAAA/PwA/AACAAAAAAAA8L8CDr4wmSoY6T8CCvmgZ7Pq178AAAAAGAAAAPz8APwAAgAAAAAAAPC/Arraiv1l97S/AoV80LNZ9eu/AAAAABgAAAD8/AD8AAIAAAAAAADwvwKaCBueXin7PwJh5dAi2/novwAAAAAYAAAA/PwA/AACAAAAAAAA8L8CHjhnRGlv7D8CBhIUP8bc4z8AAAAAGAAAAPz8APwAAgAAAAAAAPC/AsrDQq1p3v0/AhQ/xty1hOo/AAAAABgIAAD8/AD8AAIAAAAAAADwvwLlYaHWNO8CQALwFkhQ/BijvwAAAAAcAAAA/PwA/AACAAAAAAAA8L8CwFsgQfHjCkACC7Wmeccpwr8AAAAAGAAAAPz8APwAAgAAAAAAAPC/AtsbfGEyVe6/Agr5oGez6te/AAAAABgAAAD8/AD8AAIAAAAAAADwvwLbG3xhMlXuvwJ8gy9MpgrkPwAAAAAYAAAA/PwA/AACAAAAAAAA8L8CL26jAbwF/b8ChXzQs1n1678AAAAAGAAAAPz8APwAAgAAAAAAAPC/AjhnRGlvcAXAAgr5oGez6te/AAAAABgAAAD8/AD8AAIAAAAAAADwvwIvbqMBvAX9vwK+wRcmUwXyPwAAAAAYAAAA/PwA/AACAAAAAAAA8L8COGdEaW9wBcACfIMvTKYK5D8AAAAAOAQAAWUEAAAAAAAAAAAIAAFlBAAAAAAAAAAADAABZQQAAAAAAAAAABAMAWUEAAAAAAAAAAAUCAFlBAAAAAAAAAAAFBgBZQQUAAAAAAAAABwEAWUEAAAAAAAAAAAgHAFlBAAAAAAAAAAAJBwBZQQAAAAAAAAAACgkAWUEAAAAAAAAAAAsIAFlBAAAAAAAAAAAMCgBZQQAAAAAAAAAABQQAWUEAAAAAAAAAAAwLAFlBAAAAAAAAAAAAAAAAA==</t>
        </r>
      </text>
    </comment>
    <comment ref="A287" authorId="0" shapeId="0" xr:uid="{1555941A-C384-4550-A5B5-9AF64DBA1CE3}">
      <text>
        <r>
          <rPr>
            <sz val="9"/>
            <color indexed="81"/>
            <rFont val="MS P ゴシック"/>
            <family val="3"/>
            <charset val="128"/>
          </rPr>
          <t>Insight iXlW00001C0000287R0585476093S00000572P01216LAocjBAQBF1NjaVRlZ2ljLmRhdGEuTW9sZWN1bGUBbwF/ARJTY2lUZWdpYy5Nb2xlY3VsZQAAAQFkAv5qAQAAAAIBAgEQHAAAAPz8APwAAgAAAAAAAPC/Agr5oGez6gxAAmpN845TdMy/AAAAABgIAAD8/AD8AAIAAAAAAADwvwIv/yH99vUEQAJHA3gLJCi+vwAAAAAYAAAA/PwA/AACAAAAAAAA8L8CL/8h/fb1AEACG8BbIEHx5z8AAAAAGAAAAPz8APwAAgAAAAAAAPC/AqLWNO84RfI/Au7rwDkjSuE/AAAAABwAAAD8/AD8AAIAAAAAAADwvwIp7Q2+MJnwPwL+9nXgnBHdvwAAAAAYAAAA/PwA/AACAAAAAAAA8L8COGdEaW/wxT8Cf/s6cM6I7r8AAAAAGAAAAPz8APwAAgAAAAAAAPC/ArWmeccpOua/AjlFR3L5D92/AAAAABgAAAD8/AD8AAIAAAAAAADwvwKcM6K0N/j4vwKdoiO5/IfuvwAAAAAYAAAA/PwA/AACAAAAAAAA8L8CKKCJsOFpA8AC/vZ14JwR3b8AAAAAGAAAAPz8APwAAgAAAAAAAPC/Au/Jw0KtaQPAAoIExY8xd+E/AAAAAAERAAAA/PwA/AACAAAAAAAA8L8CSFD8GHNXCsACQYLix5i78D8AAAAAGAAAAPz8APwAAgAAAAAAAPC/ApwzorQ3+Pi/AkGC4seYu/A/AAAAABgAAAD8/AD8AAIAAAAAAADwvwK1pnnHKTrmvwKCBMWPMXfhPwAAAAAYAAAA/PwA/AACAAAAAAAA8L8CLUMc6+I2/z8CeAskKH6M678AAAAAAREAAAD8/AD8AAIAAAAAAADwvwK4rwPnjKgRQAI/V1uxv+yePwAAAAABEQAAAPz8APwAAgAAAAAAAPC/AkYldQKayBVAAo/k8h/Sb68/AAAAADwEAAFlBBQAAAAAAAAABAgBZQQAAAAAAAAAAAgMAWUEAAAAAAAAAAAMEAFlBAAAAAAAAAAAEBQBZQQAAAAAAAAAABQYAWUEAAAAAAAAAAAYHAFlCAwAAAAAAAAAHCABZQQAAAAAAAAAACAkAWUIDAAAAAAAAAAkKAFlBAAAAAAAAAAAJCwBZQQAAAAAAAAAACwwAWUICAAAAAAAAAAwGAFlBAAAAAAAAAAAEDQBZQQAAAAAAAAAADQEAWUEAAAAAAAAAAAAAAAA</t>
        </r>
      </text>
    </comment>
    <comment ref="A288" authorId="0" shapeId="0" xr:uid="{9C2DE4BA-7A3F-4D00-BC57-F6BACE1902C8}">
      <text>
        <r>
          <rPr>
            <sz val="9"/>
            <color indexed="81"/>
            <rFont val="MS P ゴシック"/>
            <family val="3"/>
            <charset val="128"/>
          </rPr>
          <t>Insight iXlW00001C0000288R0585476093S00000574P01216LAocjBAQBF1NjaVRlZ2ljLmRhdGEuTW9sZWN1bGUBbwF/ARJTY2lUZWdpYy5Nb2xlY3VsZQAAAQFkAv5qAQAAAAIBAgEQHAAAAPz8APwAAgAAAAAAAPC/Agr5oGez6gxAAhZqTfOOU7S/AAAAABgIAAD8/AD8AAIAAAAAAADwvwIv/yH99vUEQALdtYR80LOZPwAAAAAYAAAA/PwA/AACAAAAAAAA8L8CL/8h/fb1AEACMuauJeSD7D8AAAAAGAAAAPz8APwAAgAAAAAAAPC/AqLWNO84RfI/AgYSFD/G3OU/AAAAABwAAAD8/AD8AAIAAAAAAADwvwIp7Q2+MJnwPwLOqs/VVuzTvwAAAAAYAAAA/PwA/AACAAAAAAAA8L8COGdEaW/wxT8CZ9Xnaiv26b8AAAAAGAAAAPz8APwAAgAAAAAAAPC/ArWmeccpOua/As6qz9VW7NO/AAAAABgAAAD8/AD8AAIAAAAAAADwvwK1pnnHKTrmvwKZKhiV1AnmPwAAAAAYAAAA/PwA/AACAAAAAAAA8L8CnDOitDf4+L8CTRWMSuoE8z8AAAAAGAAAAPz8APwAAgAAAAAAAPC/Au/Jw0KtaQPAApkqGJXUCeY/AAAAABgAAAD8/AD8AAIAAAAAAADwvwLvycNCrWkDwALOqs/VVuzTvwAAAAABIwAAAPz8APwAAgAAAAAAAPC/AhB6Nqs+VwrAAmfV52or9um/AAAAABgAAAD8/AD8AAIAAAAAAADwvwKcM6K0N/j4vwJn1edqK/bpvwAAAAAYAAAA/PwA/AACAAAAAAAA8L8CLUMc6+I2/z8CQz7o2az65r8AAAAAAREAAAD8/AD8AAIAAAAAAADwvwK4rwPnjKgRQAJHA3gLJCjGPwAAAAABEQAAAPz8APwAAgAAAAAAAPC/AkYldQKayBVAAoNRSZ2AJso/AAAAADwEAAFlBBQAAAAAAAAABAgBZQQAAAAAAAAAAAgMAWUEAAAAAAAAAAAMEAFlBAAAAAAAAAAAEBQBZQQAAAAAAAAAABQYAWUEAAAAAAAAAAAYHAFlCAwAAAAAAAAAHCABZQQAAAAAAAAAACAkAWUICAAAAAAAAAAkKAFlBAAAAAAAAAAAKCwBZQQAAAAAAAAAACgwAWUICAAAAAAAAAAwGAFlBAAAAAAAAAAAEDQBZQQAAAAAAAAAADQEAWUEAAAAAAAAAAAAAAAA</t>
        </r>
      </text>
    </comment>
    <comment ref="A289" authorId="0" shapeId="0" xr:uid="{56C51BA6-8A52-4184-B4D7-4EA68992DC07}">
      <text>
        <r>
          <rPr>
            <sz val="9"/>
            <color indexed="81"/>
            <rFont val="MS P ゴシック"/>
            <family val="3"/>
            <charset val="128"/>
          </rPr>
          <t>Insight iXlW00001C0000289R0585476093S00000576P01216LAocjBAQBF1NjaVRlZ2ljLmRhdGEuTW9sZWN1bGUBbwF/ARJTY2lUZWdpYy5Nb2xlY3VsZQAAAQFkAv5qAQAAAAIBAgEQHAAAAPz8APwAAgAAAAAAAPC/Agr5oGez6gxAAmpN845TdMy/AAAAABgIAAD8/AD8AAIAAAAAAADwvwIv/yH99vUEQAJHA3gLJCi+vwAAAAAYAAAA/PwA/AACAAAAAAAA8L8CL/8h/fb1AEACG8BbIEHx5z8AAAAAGAAAAPz8APwAAgAAAAAAAPC/AqLWNO84RfI/Au7rwDkjSuE/AAAAABwAAAD8/AD8AAIAAAAAAADwvwIp7Q2+MJnwPwL+9nXgnBHdvwAAAAAYAAAA/PwA/AACAAAAAAAA8L8COGdEaW/wxT8Cf/s6cM6I7r8AAAAAGAAAAPz8APwAAgAAAAAAAPC/ArWmeccpOua/AjlFR3L5D92/AAAAABgAAAD8/AD8AAIAAAAAAADwvwKcM6K0N/j4vwKdoiO5/IfuvwAAAAAYAAAA/PwA/AACAAAAAAAA8L8CKKCJsOFpA8AC/vZ14JwR3b8AAAAAGAAAAPz8APwAAgAAAAAAAPC/Au/Jw0KtaQPAAoIExY8xd+E/AAAAAAEjAAAA/PwA/AACAAAAAAAA8L8CSFD8GHNXCsACQYLix5i78D8AAAAAGAAAAPz8APwAAgAAAAAAAPC/ApwzorQ3+Pi/AkGC4seYu/A/AAAAABgAAAD8/AD8AAIAAAAAAADwvwK1pnnHKTrmvwKCBMWPMXfhPwAAAAAYAAAA/PwA/AACAAAAAAAA8L8CLUMc6+I2/z8CeAskKH6M678AAAAAAREAAAD8/AD8AAIAAAAAAADwvwK4rwPnjKgRQAI/V1uxv+yePwAAAAABEQAAAPz8APwAAgAAAAAAAPC/AkYldQKayBVAAo/k8h/Sb68/AAAAADwEAAFlBBQAAAAAAAAABAgBZQQAAAAAAAAAAAgMAWUEAAAAAAAAAAAMEAFlBAAAAAAAAAAAEBQBZQQAAAAAAAAAABQYAWUEAAAAAAAAAAAYHAFlCAwAAAAAAAAAHCABZQQAAAAAAAAAACAkAWUIDAAAAAAAAAAkKAFlBAAAAAAAAAAAJCwBZQQAAAAAAAAAACwwAWUICAAAAAAAAAAwGAFlBAAAAAAAAAAAEDQBZQQAAAAAAAAAADQEAWUEAAAAAAAAAAAAAAAA</t>
        </r>
      </text>
    </comment>
    <comment ref="A290" authorId="0" shapeId="0" xr:uid="{3B3E3DDE-038A-48C2-A88C-3E0BF1DC00EB}">
      <text>
        <r>
          <rPr>
            <sz val="9"/>
            <color indexed="81"/>
            <rFont val="MS P ゴシック"/>
            <family val="3"/>
            <charset val="128"/>
          </rPr>
          <t>Insight iXlW00001C0000290R0585476093S00000578P01216LAocjBAQBF1NjaVRlZ2ljLmRhdGEuTW9sZWN1bGUBbwF/ARJTY2lUZWdpYy5Nb2xlY3VsZQAAAQFkAv5qAQAAAAIBAgEQGAAAAPz8APwAAgAAAAAAAPC/Atv5fmq8dLO/AkGC4seYu/A/AAAAABgAAAD8/AD8AAIAAAAAAADwvwKh+DHmriXuvwKCBMWPMXfhPwAAAAAYAAAA/PwA/AACAAAAAAAA8L8Cklz+Q/rt/L8CQYLix5i78D8AAAAAGAAAAPz8APwAAgAAAAAAAPC/AmrecYqOZAXAAoIExY8xd+E/AAAAABgAAAD8/AD8AAIAAAAAAADwvwJq3nGKjmQFwAI5RUdy+Q/dvwAAAAAYAAAA/PwA/AACAAAAAAAA8L8Cklz+Q/rt/L8CnaIjufyH7r8AAAAAGAAAAPz8APwAAgAAAAAAAPC/Ar+fGi/dJO6/Av72deCcEd2/AAAAABgAAAD8/AD8AAIAAAAAAADwvwLb+X5qvHSzvwJ/+zpwzojuvwAAAAAcAAAA/PwA/AACAAAAAAAA8L8CSOF6FK5H6T8C/vZ14JwR3b8AAAAAGAAAAPz8APwAAgAAAAAAAPC/Ajq0yHa+n+w/Au7rwDkjSuE/AAAAABgAAAD8/AD8AAIAAAAAAADwvwLYgXNGlPb9PwIbwFsgQfHnPwAAAAAYDAAA/PwA/AACAAAAAAAA8L8C7MA5I0r7AkACRwN4CyQovr8AAAAAHAAAAPz8APwAAgAAAAAAAPC/Ase6uI0G8ApAAmpN845TdMy/AAAAABgAAAD8/AD8AAIAAAAAAADwvwKoxks3iUH7PwJ4CyQofozrvwAAAAABEQAAAPz8APwAAgAAAAAAAPC/ApeQD3o2qxBAAj9XW7G/7J4/AAAAAAERAAAA/PwA/AACAAAAAAAA8L8CJQaBlUPLFEACj+TyH9Jvrz8AAAAAPAAEAWUEAAAAAAAAAAAECAFlCAwAAAAAAAAACAwBZQQAAAAAAAAAAAwQAWUICAAAAAAAAAAQFAFlBAAAAAAAAAAAFBgBZQgIAAAAAAAAABgEAWUEAAAAAAAAAAAYHAFlBAAAAAAAAAAAHCABZQQAAAAAAAAAACAkAWUEAAAAAAAAAAAkKAFlBAAAAAAAAAAAKCwBZQQAAAAAAAAAACwwAWUEFAAAAAAAAAAsNAFlBAAAAAAAAAAANCABZQQAAAAAAAAAAAAAAAA=</t>
        </r>
      </text>
    </comment>
    <comment ref="A291" authorId="0" shapeId="0" xr:uid="{17AA746C-9A0F-4162-BEE8-3BBE3EEF0B50}">
      <text>
        <r>
          <rPr>
            <sz val="9"/>
            <color indexed="81"/>
            <rFont val="MS P ゴシック"/>
            <family val="3"/>
            <charset val="128"/>
          </rPr>
          <t>Insight iXlW00001C0000291R0585476093S00000580P01216LAocjBAQBF1NjaVRlZ2ljLmRhdGEuTW9sZWN1bGUBbwF/ARJTY2lUZWdpYy5Nb2xlY3VsZQAAAQFkAv5qAQAAAAIBAgEQGAAAAPz8APwAAgAAAAAAAPC/AhB6Nqs+VwrAAmfV52or9um/AAAAABgAAAD8/AD8AAIAAAAAAADwvwLvycNCrWkDwALOqs/VVuzTvwAAAAAYAAAA/PwA/AACAAAAAAAA8L8C78nDQq1pA8ACmSoYldQJ5j8AAAAAGAAAAPz8APwAAgAAAAAAAPC/ApwzorQ3+Pi/Ak0VjErqBPM/AAAAABgAAAD8/AD8AAIAAAAAAADwvwK1pnnHKTrmvwKZKhiV1AnmPwAAAAAYAAAA/PwA/AACAAAAAAAA8L8CtaZ5xyk65r8CzqrP1Vbs078AAAAAGAAAAPz8APwAAgAAAAAAAPC/AjhnRGlv8MU/AmfV52or9um/AAAAABwAAAD8/AD8AAIAAAAAAADwvwIp7Q2+MJnwPwLOqs/VVuzTvwAAAAAYAAAA/PwA/AACAAAAAAAA8L8CotY07zhF8j8CBhIUP8bc5T8AAAAAGAAAAPz8APwAAgAAAAAAAPC/Ai//If329QBAAjLmriXkg+w/AAAAABgMAAD8/AD8AAIAAAAAAADwvwIv/yH99vUEQALdtYR80LOZPwAAAAAcAAAA/PwA/AACAAAAAAAA8L8CCvmgZ7PqDEACFmpN845TtL8AAAAAGAAAAPz8APwAAgAAAAAAAPC/Ai1DHOviNv8/AkM+6Nms+ua/AAAAABgAAAD8/AD8AAIAAAAAAADwvwKcM6K0N/j4vwJn1edqK/bpvwAAAAABEQAAAPz8APwAAgAAAAAAAPC/ArivA+eMqBFAAkcDeAskKMY/AAAAAAERAAAA/PwA/AACAAAAAAAA8L8CRiV1AprIFUACg1FJnYAmyj8AAAAAPAAEAWUEAAAAAAAAAAAECAFlCAwAAAAAAAAACAwBZQQAAAAAAAAAAAwQAWUICAAAAAAAAAAQFAFlBAAAAAAAAAAAFBgBZQQAAAAAAAAAABgcAWUEAAAAAAAAAAAcIAFlBAAAAAAAAAAAICQBZQQAAAAAAAAAACQoAWUEAAAAAAAAAAAoLAFlBBQAAAAAAAAAKDABZQQAAAAAAAAAADAcAWUEAAAAAAAAAAAUNAFlCAgAAAAAAAAANAQBZQQAAAAAAAAAAAAAAAA=</t>
        </r>
      </text>
    </comment>
    <comment ref="A292" authorId="0" shapeId="0" xr:uid="{A2A0B845-4FD2-40BF-AE22-4D1EE4F66429}">
      <text>
        <r>
          <rPr>
            <sz val="9"/>
            <color indexed="81"/>
            <rFont val="MS P ゴシック"/>
            <family val="3"/>
            <charset val="128"/>
          </rPr>
          <t>Insight iXlW00001C0000292R0585476093S00000582P01216LAocjBAQBF1NjaVRlZ2ljLmRhdGEuTW9sZWN1bGUBbwF/ARJTY2lUZWdpYy5Nb2xlY3VsZQAAAQFkAv5qAQAAAAIBAgEQGAAAAPz8APwAAgAAAAAAAPC/AkhQ/BhzVwrAAkGC4seYu/A/AAAAABgAAAD8/AD8AAIAAAAAAADwvwLvycNCrWkDwAKCBMWPMXfhPwAAAAAYAAAA/PwA/AACAAAAAAAA8L8CKKCJsOFpA8AC/vZ14JwR3b8AAAAAGAAAAPz8APwAAgAAAAAAAPC/ApwzorQ3+Pi/Ap2iI7n8h+6/AAAAABgAAAD8/AD8AAIAAAAAAADwvwK1pnnHKTrmvwI5RUdy+Q/dvwAAAAAYAAAA/PwA/AACAAAAAAAA8L8COGdEaW/wxT8Cf/s6cM6I7r8AAAAAHAAAAPz8APwAAgAAAAAAAPC/AintDb4wmfA/Av72deCcEd2/AAAAABgAAAD8/AD8AAIAAAAAAADwvwKi1jTvOEXyPwLu68A5I0rhPwAAAAAYAAAA/PwA/AACAAAAAAAA8L8CL/8h/fb1AEACG8BbIEHx5z8AAAAAGAwAAPz8APwAAgAAAAAAAPC/Ai//If329QRAAkcDeAskKL6/AAAAABwAAAD8/AD8AAIAAAAAAADwvwIK+aBns+oMQAJqTfOOU3TMvwAAAAAYAAAA/PwA/AACAAAAAAAA8L8CLUMc6+I2/z8CeAskKH6M678AAAAAGAAAAPz8APwAAgAAAAAAAPC/ArWmeccpOua/AoIExY8xd+E/AAAAABgAAAD8/AD8AAIAAAAAAADwvwKcM6K0N/j4vwJBguLHmLvwPwAAAAABEQAAAPz8APwAAgAAAAAAAPC/ArivA+eMqBFAAj9XW7G/7J4/AAAAAAERAAAA/PwA/AACAAAAAAAA8L8CRiV1AprIFUACj+TyH9Jvrz8AAAAAPAAEAWUEAAAAAAAAAAAECAFlCAwAAAAAAAAACAwBZQQAAAAAAAAAAAwQAWUIDAAAAAAAAAAQFAFlBAAAAAAAAAAAFBgBZQQAAAAAAAAAABgcAWUEAAAAAAAAAAAcIAFlBAAAAAAAAAAAICQBZQQAAAAAAAAAACQoAWUEFAAAAAAAAAAkLAFlBAAAAAAAAAAALBgBZQQAAAAAAAAAABAwAWUEAAAAAAAAAAAwNAFlCAgAAAAAAAAANAQBZQQAAAAAAAAAAAAAAAA=</t>
        </r>
      </text>
    </comment>
    <comment ref="A293" authorId="0" shapeId="0" xr:uid="{91B92D92-05FC-4898-8555-D3F19F19A883}">
      <text>
        <r>
          <rPr>
            <sz val="9"/>
            <color indexed="81"/>
            <rFont val="MS P ゴシック"/>
            <family val="3"/>
            <charset val="128"/>
          </rPr>
          <t>Insight iXlW00001C0000293R0585476093S00000584P01288LAocjBAQBF1NjaVRlZ2ljLmRhdGEuTW9sZWN1bGUBbwF/ARJTY2lUZWdpYy5Nb2xlY3VsZQAAAQFkAv5qAQAAAAIBAgERGAAAAPz8APwAAgAAAAAAAPC/AuLplbIMcei/AgwkKH6MuQDAAAAAACAAAAD8/AD8AAIAAAAAAADwvwIzVTAqqRP6vwIXSFD8GHP5vwAAAAAYAAAA/PwA/AACAAAAAAAA8L8CM1UwKqkT+r8CLpCg+DHm4r8AAAAAGAAAAPz8APwAAgAAAAAAAPC/Arraiv1l9wPAAm+BBMWPMbe/AAAAABgAAAD8/AD8AAIAAAAAAADwvwK62or9ZfcDwALTb18HzhntPwAAAAAYAAAA/PwA/AACAAAAAAAA8L8CM1UwKqkT+r8C6bevA+eM9j8AAAAAGAAAAPz8APwAAgAAAAAAAPC/AuLplbIMcei/AtNvXwfOGe0/AAAAABgAAAD8/AD8AAIAAAAAAADwvwLi6ZWyDHHovwJvgQTFjzG3vwAAAAAYAAAA/PwA/AACAAAAAAAA8L8CC7Wmeccpuj8CLpCg+DHm4r8AAAAAHAAAAPz8APwAAgAAAAAAAPC/AgfwFkhQ/O4/Am+BBMWPMbe/AAAAABgAAAD8/AD8AAIAAAAAAADwvwILtaZ5xynxPwI/V1uxv+zsPwAAAAAYAAAA/PwA/AACAAAAAAAA8L8CY+5aQj5oAEACJ8KGp1fK8T8AAAAAGAwAAPz8APwAAgAAAAAAAPC/AmPuWkI+aARAAqCrrdhfds8/AAAAABwAAAD8/AD8AAIAAAAAAADwvwI/6Nms+lwMQALZX3ZPHhbCPwAAAAAYAAAA/PwA/AACAAAAAAAA8L8ClyGOdXEb/j8CT0ATYcPT378AAAAAAREAAAD8/AD8AAIAAAAAAADwvwJTJ6CJsGERQALrc7UV+8vWvwAAAAABEQAAAPz8APwAAgAAAAAAAPC/AuGcEaW9gRVAAs3MzMzMzNS/AAAAAAEQAAQBZQQAAAAAAAAAAAQIAWUEAAAAAAAAAAAIDAFlCAwAAAAAAAAADBABZQQAAAAAAAAAABAUAWUICAAAAAAAAAAUGAFlBAAAAAAAAAAAGBwBZQgIAAAAAAAAABwIAWUEAAAAAAAAAAAcIAFlBAAAAAAAAAAAICQBZQQAAAAAAAAAACQoAWUEAAAAAAAAAAAoLAFlBAAAAAAAAAAALDABZQQAAAAAAAAAADA0AWUEFAAAAAAAAAAwOAFlBAAAAAAAAAAAOCQBZQQAAAAAAAAAAAAAAAA=</t>
        </r>
      </text>
    </comment>
    <comment ref="A294" authorId="0" shapeId="0" xr:uid="{95F95712-5799-47EB-BEE4-137B57C996CA}">
      <text>
        <r>
          <rPr>
            <sz val="9"/>
            <color indexed="81"/>
            <rFont val="MS P ゴシック"/>
            <family val="3"/>
            <charset val="128"/>
          </rPr>
          <t>Insight iXlW00001C0000294R0585476093S00000586P01288LAocjBAQBF1NjaVRlZ2ljLmRhdGEuTW9sZWN1bGUBbwF/ARJTY2lUZWdpYy5Nb2xlY3VsZQAAAQFkAv5qAQAAAAIBAgERGAAAAPz8APwAAgAAAAAAAPC/AiZTBaOSugnAAiigibDh6ek/AAAAACAAAAD8/AD8AAIAAAAAAADwvwImUwWjkroBwAIooImw4enpPwAAAAAYAAAA/PwA/AACAAAAAAAA8L8CTaYKRiV1+78CvAUSFD/GrL8AAAAAGAAAAPz8APwAAgAAAAAAAPC/AiZTBaOSugHAAt/gC5Opgu2/AAAAABgAAAD8/AD8AAIAAAAAAADwvwK+UpYhjnX7vwKxUGuad5z8vwAAAAAYAAAA/PwA/AACAAAAAAAA8L8Ce6UsQxzr5r8CsVBrmnec/L8AAAAAGAAAAPz8APwAAgAAAAAAAPC/AuqVsgxxrMu/At/gC5Opgu2/AAAAABgAAAD8/AD8AAIAAAAAAADwvwKGWtO84xTpPwLf4AuTqYLtvwAAAAAcAAAA/PwA/AACAAAAAAAA8L8CQ61p3nGK9D8CvAUSFD/GrL8AAAAAGAAAAPz8APwAAgAAAAAAAPC/AoxK6gQ0Eew/Aq2L22gAb+s/AAAAABgAAAD8/AD8AAIAAAAAAADwvwLOqs/VVuz5PwIGgZVDi2z4PwAAAAAYDAAA/PwA/AACAAAAAAAA8L8CiIVa07zjA0ACBoGVQ4ts8D8AAAAAHAAAAPz8APwAAgAAAAAAAPC/AsOGp1fKMgtAAgMJih9j7vY/AAAAABgAAAD8/AD8AAIAAAAAAADwvwJ90LNZ9TkCQAJfKcsQx7qoPwAAAAAYAAAA/PwA/AACAAAAAAAA8L8Ce6UsQxzr5r8CvAUSFD/GrL8AAAAAAREAAAD8/AD8AAIAAAAAAADwvwKV9gZfmMwQQAIFNBE2PL3CvwAAAAABEQAAAPz8APwAAgAAAAAAAPC/AiNseHql7BRAApPLf0i/fb2/AAAAAAEQAAQBZQQAAAAAAAAAAAQIAWUEAAAAAAAAAAAIDAFlCAwAAAAAAAAADBABZQQAAAAAAAAAABAUAWUICAAAAAAAAAAUGAFlBAAAAAAAAAAAGBwBZQQAAAAAAAAAABwgAWUEAAAAAAAAAAAgJAFlBAAAAAAAAAAAJCgBZQQAAAAAAAAAACgsAWUEAAAAAAAAAAAsMAFlBBQAAAAAAAAALDQBZQQAAAAAAAAAADQgAWUEAAAAAAAAAAAYOAFlCAgAAAAAAAAAOAgBZQQAAAAAAAAAAAAAAAA=</t>
        </r>
      </text>
    </comment>
    <comment ref="A295" authorId="0" shapeId="0" xr:uid="{787C007F-7827-4DEB-996B-7363734B8CA2}">
      <text>
        <r>
          <rPr>
            <sz val="9"/>
            <color indexed="81"/>
            <rFont val="MS P ゴシック"/>
            <family val="3"/>
            <charset val="128"/>
          </rPr>
          <t>Insight iXlW00001C0000295R0585476093S00000588P01320LAocjBAQBF1NjaVRlZ2ljLmRhdGEuTW9sZWN1bGUBbwF/ARJTY2lUZWdpYy5Nb2xlY3VsZQAAAQFkAv5qAQAAAAIBAgERHAAAAPz8APwAAgAAAAAAAPC/AoPAyqFFtv0/Amsr9pfdk88/AAAAABgAAAD8/AD8AAIAAAAAAADwvwIqOpLLf0j3vwJkzF1LyAe9vwAAAAAcAAAA/PwA/AACAAAAAAAA8L8CRWlv8IXJ5r8C1LzjFB3J4T8AAAAAGAAAAPz8APwAAgAAAAAAAPC/AvhT46WbxPA/Ak5iEFg5tOo/AAAAACAAAAD8/AD8AAIAAAAAAADwvwId6+I2GkADwAKx4emVsgzJPwAAAAAYAAAA/PwA/AACAAAAAAAA8L8C+FPjpZvE+D8CYVRSJ6CJ5r8AAAAAIAAAAPz8APwAAgAAAAAAAPC/AoV80LNZ9fO/AhFYObTIdvG/AAAAABgIAAD8/AD8AAIAAAAAAADwvwJlO99PjZfOPwJrK/aX3ZPPPwAAAAAYAAAA/PwA/AACAAAAAAAA8L8CEVg5tMh2BkAC8WPMXUvI4T8AAAAAGAAAAPz8APwAAgAAAAAAAPC/AvCnxks3ieE/AmFUUiegiea/AAAAABgAAAD8/AD8AAIAAAAAAADwvwIZBFYOLTIJwAIkSnuDL0zevwAAAAAYAAAA/PwA/AACAAAAAAAA8L8C6iYxCKycEEACaQBvgQTF7z8AAAAAGAAAAPz8APwAAgAAAAAAAPC/An9qvHSTGApAAqH4MeauJfc/AAAAABgAAAD8/AD8AAIAAAAAAADwvwJlO99PjZcNQAK30QDeAgm6PwAAAAAYAAAA/PwA/AACAAAAAAAA8L8CgSbChqfXA8ACggTFjzF3878AAAAAGAAAAPz8APwAAgAAAAAAAPC/At1GA3gLJA/AArmNBvAWSPK/AAAAABgAAAD8/AD8AAIAAAAAAADwvwJ4CyQofowOwAL7y+7Jw0LRPwAAAAABEgQIAWUEAAAAAAAAAAAcCAFlBBAAAAAAAAAADAABZQQAAAAAAAAAABAEAWUEAAAAAAAAAAAUAAFlBAAAAAAAAAAAGAQBZQgAAAAAAAAAABwMAWUEAAAAAAAAAAAgAAFlBAAAAAAAAAAAJBQBZQQAAAAAAAAAACgQAWUEAAAAAAAAAAAsNAFlBAAAAAAAAAAAMCABZQQAAAAAAAAAADQgAWUEAAAAAAAAAAA4KAFlBAAAAAAAAAAAPCgBZQQAAAAAAAAAAAEQKAFlBAAAAAAAAAAALDABZQQAAAAAAAAAABwkAWUEAAAAAAAAAAAAAAAA</t>
        </r>
      </text>
    </comment>
    <comment ref="A296" authorId="0" shapeId="0" xr:uid="{425FD5C2-61B7-4B2A-BC36-33E218DBED56}">
      <text>
        <r>
          <rPr>
            <sz val="9"/>
            <color indexed="81"/>
            <rFont val="MS P ゴシック"/>
            <family val="3"/>
            <charset val="128"/>
          </rPr>
          <t>Insight iXlW00001C0000296R0585476093S00000590P00844LAocjBAQBF1NjaVRlZ2ljLmRhdGEuTW9sZWN1bGUBbwF/ARJTY2lUZWdpYy5Nb2xlY3VsZQAAAQFkAv5qAQAAAAIBAiwYAAAA/PwA/AACAAAAAAAA8L8C0gDeAgmK9z8CyXa+nxov9D8AAAAAGAAAAPz8APwAAgAAAAAAAPC/AkvqBDQRNvQ/Avvt68A5I9I/AAAAABgAAAD8/AD8AAIAAAAAAADwvwIijnVxGw0AQALG/rJ78rDYvwAAAAAcAAAA/PwA/AACAAAAAAAA8L8CtOpztRX70z8CcF8HzhlRmr8AAAAAGAAAAPz8APwAAgAAAAAAAPC/Ai1DHOviNmo/AjcawFsgQe+/AAAAABgAAAD8/AD8AAIAAAAAAADwvwK94xQdyeXvvwI3GsBbIEHvvwAAAAAYCAAA/PwA/AACAAAAAAAA8L8Cat5xio7k9L8CLUMc6+I2mr8AAAAAHAAAAPz8APwAAgAAAAAAAPC/Ajy9UpYhDgLAAvvt68A5I9I/AAAAABgAAAD8/AD8AAIAAAAAAADwvwK2FfvL7snfvwJ4nKIjufzhPwAAAAABEQAAAPz8APwAAgAAAAAAAPC/Aoj029eBcwZAApf/kH77OsA/AAAAAAERAAAA/PwA/AACAAAAAAAA8L8Cpd++DpyzDkAC001iEFg5xD8AAAAAJAAEAWUEAAAAAAAAAAAECAFlBAAAAAAAAAAABAwBZQQAAAAAAAAAAAwQAWUEAAAAAAAAAAAQFAFlBAAAAAAAAAAAFBgBZQQAAAAAAAAAABgcAWUEEAAAAAAAAAAYIAFlBAAAAAAAAAAAIAwBZQQAAAAAAAAAAAAAAAA=</t>
        </r>
      </text>
    </comment>
    <comment ref="A297" authorId="0" shapeId="0" xr:uid="{3A4A399B-7F21-48B4-B06F-76C96F453097}">
      <text>
        <r>
          <rPr>
            <sz val="9"/>
            <color indexed="81"/>
            <rFont val="MS P ゴシック"/>
            <family val="3"/>
            <charset val="128"/>
          </rPr>
          <t>Insight iXlW00001C0000297R0585476093S00000592P00892LAocjBAQBF1NjaVRlZ2ljLmRhdGEuTW9sZWN1bGUBbwF/ARJTY2lUZWdpYy5Nb2xlY3VsZQAAAQFkAv5qAQAAAAIBAiwcAAAA/PwA/AACAAAAAAAA8L8CNe84RUdyyT8CTYQNT6+UxT8AAAAAGAAAAPz8APwAAgAAAAAAAPC/AgHeAgmKH/A/AsDsnjws1Nq/AAAAABgAAAD8/AD8AAIAAAAAAADwvwICvAUSFD/gPwIooImw4enxPwAAAAAYAAAA/PwA/AACAAAAAAAA8L8CUfwYc9cS6L8ClkOLbOf7wb8AAAAAGAAAAPz8APwAAgAAAAAAAPC/AgHeAgmKH/g/AiigibDh6fE/AAAAABgMAAD8/AD8AAIAAAAAAADwvwL+9nXgnBH9PwJNhA1Pr5TFPwAAAAAcAAAA/PwA/AACAAAAAAAA8L8CTvOOU3QkBkACDeAtkKD4wb8AAAAAGAAAAPz8APwAAgAAAAAAAPC/ArTqc7UV+/C/AhFYObTIdvG/AAAAABgAAAD8/AD8AAIAAAAAAADwvwK06nO1Ffv4vwIcDeAtkKDcPwAAAAAYAAAA/PwA/AACAAAAAAAA8L8CoKut2F/2AsAClkOLbOf7wb8AAAAAGAAAAPz8APwAAgAAAAAAAPC/Alr1udqKfQDAAhFYObTIdvG/AAAAADAEAAFlBAAAAAAAAAAACAABZQQAAAAAAAAAAAwAAWUEAAAAAAAAAAAQCAFlBAAAAAAAAAAAFAQBZQQAAAAAAAAAABQYAWUEEAAAAAAAAAAcDAFlBAAAAAAAAAAAIAwBZQQAAAAAAAAAACQgAWUEAAAAAAAAAAAoHAFlBAAAAAAAAAAAFBABZQQAAAAAAAAAACQoAWUEAAAAAAAAAAAAAAAA</t>
        </r>
      </text>
    </comment>
    <comment ref="A298" authorId="0" shapeId="0" xr:uid="{B17AA26D-6F23-4A6E-A84C-D3F0967E0175}">
      <text>
        <r>
          <rPr>
            <sz val="9"/>
            <color indexed="81"/>
            <rFont val="MS P ゴシック"/>
            <family val="3"/>
            <charset val="128"/>
          </rPr>
          <t>Insight iXlW00001C0000298R0585476093S00000594P00964LAocjBAQBF1NjaVRlZ2ljLmRhdGEuTW9sZWN1bGUBbwF/ARJTY2lUZWdpYy5Nb2xlY3VsZQAAAQFkAv5qAQAAAAIBAjAcAAAA/PwA/AACAAAAAAAA8L8CCRueXinL3D8CgEi/fR04tz8AAAAAGAAAAPz8APwAAgAAAAAAAPC/AgtGJXUCmvA/AgfwFkhQ/Oa/AAAAABgAAAD8/AD8AAIAAAAAAADwvwILRiV1AprwPwInwoanV8rsPwAAAAAYAAAA/PwA/AACAAAAAAAA8L8CfPKwUGua4b8Cb4EExY8xtz8AAAAAGAAAAPz8APwAAgAAAAAAAPC/AhriWBe30f8/AhDpt68D5+I/AAAAACAAAAD8/AD8AAIAAAAAAADwvwKfPCzUmmYEwAJvgQTFjzG3PwAAAAAYDAAA/PwA/AACAAAAAAAA8L8CGuJYF7fR/z8C4C2QoPgx2r8AAAAAGAAAAPz8APwAAgAAAAAAAPC/Aj55WKg1zfC/ArFQa5p3nO4/AAAAABgAAAD8/AD8AAIAAAAAAADwvwI+eVioNc3wvwJWMCqpE9DovwAAAAAcAAAA/PwA/AACAAAAAAAA8L8CUyegibBhBkACZO5aQj7o778AAAAAGAAAAPz8APwAAgAAAAAAAPC/Ap88LNSaZgDAAlYwKqkT0Oi/AAAAABgAAAD8/AD8AAIAAAAAAADwvwKfPCzUmmYAwAKxUGuad5zuPwAAAAA0BAABZQQAAAAAAAAAAAgAAWUEAAAAAAAAAAAMAAFlBAAAAAAAAAAAEAgBZQQAAAAAAAAAABQoAWUEAAAAAAAAAAAYBAFlBAAAAAAAAAAAHAwBZQQAAAAAAAAAACAMAWUEAAAAAAAAAAAYJAFlBBAAAAAAAAAAKCABZQQAAAAAAAAAACwcAWUEAAAAAAAAAAAYEAFlBAAAAAAAAAAAFCwBZQQAAAAAAAAAAAAAAAA=</t>
        </r>
      </text>
    </comment>
    <comment ref="A299" authorId="0" shapeId="0" xr:uid="{4A140A53-5C06-4C25-A2D3-5ABAE48558E8}">
      <text>
        <r>
          <rPr>
            <sz val="9"/>
            <color indexed="81"/>
            <rFont val="MS P ゴシック"/>
            <family val="3"/>
            <charset val="128"/>
          </rPr>
          <t>Insight iXlW00001C0000299R0585476093S00000596P00984LAocjBAQBF1NjaVRlZ2ljLmRhdGEuTW9sZWN1bGUBbwF/ARJTY2lUZWdpYy5Nb2xlY3VsZQAAAQFkAv5qAQAAAAIBAjQYAAAA/PwA/AACAAAAAAAA8L8CU5YhjnVx6b8CAd4CCYof5b8AAAAAGAAAAPz8APwAAgAAAAAAAPC/AlqGONbFbfe/AoQvTKYKRrU/AAAAABgAAAD8/AD8AAIAAAAAAADwvwLxhclUwagBwAJw8IXJVMHivwAAAAAYAAAA/PwA/AACAAAAAAAA8L8CjErqBDQRAcACAJF++zpw6j8AAAAAGAAAAPz8APwAAgAAAAAAAPC/AsKopE5AE+e/Am+jAbwFEug/AAAAABwAAAD8/AD8AAIAAAAAAADwvwLp2az6XG3NPwKwlGWIY13cPwAAAAAYAAAA/PwA/AACAAAAAAAA8L8CyQc9m1Wf8D8C5tAi2/l+8D8AAAAAGAAAAPz8APwAAgAAAAAAAPC/AlR0JJf/kP0/ArCUZYhjXdw/AAAAABgIAAD8/AD8AAIAAAAAAADwvwLJBz2bVZ/4PwLGbTSAt0DgvwAAAAAcAAAA/PwA/AACAAAAAAAA8L8CwTkjSnsDAUACbqMBvAUS9b8AAAAAGAAAAPz8APwAAgAAAAAAAPC/ApEPejarPuE/AuQUHcnlP+C/AAAAAAERAAAA/PwA/AACAAAAAAAA8L8CKKCJsOFpB0ACfT81XrpJxL8AAAAAAREAAAD8/AD8AAIAAAAAAADwvwJEi2zn+6kPQAJB8WPMXUvAvwAAAAAsAAQBZQQAAAAAAAAAAAQIAWUEAAAAAAAAAAAEDAFlBAAAAAAAAAAABBABZQQAAAAAAAAAABAUAWUEAAAAAAAAAAAUGAFlBAAAAAAAAAAAGBwBZQQAAAAAAAAAABwgAWUEAAAAAAAAAAAgJAFlBBAAAAAAAAAAICgBZQQAAAAAAAAAACgUAWUEAAAAAAAAAAAAAAAA</t>
        </r>
      </text>
    </comment>
    <comment ref="A300" authorId="0" shapeId="0" xr:uid="{0DC8E821-10BE-4E64-A1E0-304FF28FD240}">
      <text>
        <r>
          <rPr>
            <sz val="9"/>
            <color indexed="81"/>
            <rFont val="MS P ゴシック"/>
            <family val="3"/>
            <charset val="128"/>
          </rPr>
          <t>Insight iXlW00001C0000300R0585476093S00000598P01036LAocjBAQBF1NjaVRlZ2ljLmRhdGEuTW9sZWN1bGUBbwF/ARJTY2lUZWdpYy5Nb2xlY3VsZQAAAQFkAv5qAQAAAAIBAjQcAAAA/PwA/AACAAAAAAAA8L8CDr4wmSoY6b8CCvmgZ7Pq1z8AAAAAHAAAAPz8APwAAgAAAAAAAPC/AtsbfGEyVe4/AnyDL0ymCuS/AAAAABgAAAD8/AD8AAIAAAAAAADwvwK62or9Zfe0PwKFfNCzWfXrPwAAAAAYAAAA/PwA/AACAAAAAAAA8L8Cmggbnl4p+78CYeXQItv56D8AAAAAGAAAAPz8APwAAgAAAAAAAPC/Ah44Z0Rpb+y/AuhqK/aX3eO/AAAAABgAAAD8/AD8AAIAAAAAAADwvwLKw0Ktad79vwIUP8bctYTqvwAAAAAYAAAA/PwA/AACAAAAAAAA8L8C2xt8YTJV7j8CCvmgZ7Pq1z8AAAAAGAwAAPz8APwAAgAAAAAAAPC/AuVhodY07wLAAvAWSFD8GKM/AAAAABwAAAD8/AD8AAIAAAAAAADwvwLAWyBB8eMKwAILtaZ5xynCPwAAAAAYAAAA/PwA/AACAAAAAAAA8L8CL26jAbwF/T8CvsEXJlMF8r8AAAAAGAAAAPz8APwAAgAAAAAAAPC/Ai9uowG8Bf0/AoV80LNZ9es/AAAAABgAAAD8/AD8AAIAAAAAAADwvwI4Z0Rpb3AFQAJ8gy9MpgrkvwAAAAAYAAAA/PwA/AACAAAAAAAA8L8COGdEaW9wBUACCvmgZ7Pq1z8AAAAAOAQYAWUEAAAAAAAAAAAIAAFlBAAAAAAAAAAADAABZQQAAAAAAAAAABAAAWUEAAAAAAAAAAAUEAFlBAAAAAAAAAAAGAgBZQQAAAAAAAAAABwMAWUEAAAAAAAAAAAcIAFlBBAAAAAAAAAAJAQBZQgIAAAAAAAAACgYAWUICAAAAAAAAAAsMAFlCAgAAAAAAAAAMCgBZQQAAAAAAAAAABwUAWUEAAAAAAAAAAAsJAFlBAAAAAAAAAAAAAAAAA==</t>
        </r>
      </text>
    </comment>
    <comment ref="A301" authorId="0" shapeId="0" xr:uid="{D8D0F9DE-2B03-4552-8700-634C6436632D}">
      <text>
        <r>
          <rPr>
            <sz val="9"/>
            <color indexed="81"/>
            <rFont val="MS P ゴシック"/>
            <family val="3"/>
            <charset val="128"/>
          </rPr>
          <t>Insight iXlW00001C0000301R0585476093S00000600P01216LAocjBAQBF1NjaVRlZ2ljLmRhdGEuTW9sZWN1bGUBbwF/ARJTY2lUZWdpYy5Nb2xlY3VsZQAAAQFkAv5qAQAAAAIBAgEQHAAAAPz8APwAAgAAAAAAAPC/Ase6uI0G8ApAAmpN845TdMy/AAAAABgMAAD8/AD8AAIAAAAAAADwvwLswDkjSvsCQAJHA3gLJCi+vwAAAAAYAAAA/PwA/AACAAAAAAAA8L8C2IFzRpT2/T8CG8BbIEHx5z8AAAAAGAAAAPz8APwAAgAAAAAAAPC/Ajq0yHa+n+w/Au7rwDkjSuE/AAAAABwAAAD8/AD8AAIAAAAAAADwvwJI4XoUrkfpPwL+9nXgnBHdvwAAAAAYAAAA/PwA/AACAAAAAAAA8L8C2/l+arx0s78Cf/s6cM6I7r8AAAAAGAAAAPz8APwAAgAAAAAAAPC/Ar+fGi/dJO6/Av72deCcEd2/AAAAABgAAAD8/AD8AAIAAAAAAADwvwKSXP5D+u38vwKdoiO5/IfuvwAAAAAYAAAA/PwA/AACAAAAAAAA8L8Cat5xio5kBcACOUVHcvkP3b8AAAAAGAAAAPz8APwAAgAAAAAAAPC/AmrecYqOZAXAAoIExY8xd+E/AAAAABgAAAD8/AD8AAIAAAAAAADwvwKSXP5D+u38vwJBguLHmLvwPwAAAAAYAAAA/PwA/AACAAAAAAAA8L8Cofgx5q4l7r8CggTFjzF34T8AAAAAJAAAAPz8APwAAgAAAAAAAPC/Atv5fmq8dLO/AkGC4seYu/A/AAAAABgAAAD8/AD8AAIAAAAAAADwvwKoxks3iUH7PwJ4CyQofozrvwAAAAABEQAAAPz8APwAAgAAAAAAAPC/ApeQD3o2qxBAAj9XW7G/7J4/AAAAAAERAAAA/PwA/AACAAAAAAAA8L8CJQaBlUPLFEACj+TyH9Jvrz8AAAAAPAQAAWUEEAAAAAAAAAAECAFlBAAAAAAAAAAACAwBZQQAAAAAAAAAAAwQAWUEAAAAAAAAAAAQFAFlBAAAAAAAAAAAFBgBZQQAAAAAAAAAABgcAWUIDAAAAAAAAAAcIAFlBAAAAAAAAAAAICQBZQgIAAAAAAAAACQoAWUEAAAAAAAAAAAoLAFlCAgAAAAAAAAALBgBZQQAAAAAAAAAACwwAWUEAAAAAAAAAAAQNAFlBAAAAAAAAAAANAQBZQQAAAAAAAAAAAAAAAA=</t>
        </r>
      </text>
    </comment>
    <comment ref="A302" authorId="0" shapeId="0" xr:uid="{96FCC377-2FF4-4C63-8249-6326D0407EAD}">
      <text>
        <r>
          <rPr>
            <sz val="9"/>
            <color indexed="81"/>
            <rFont val="MS P ゴシック"/>
            <family val="3"/>
            <charset val="128"/>
          </rPr>
          <t>Insight iXlW00001C0000302R0585476093S00000602P01216LAocjBAQBF1NjaVRlZ2ljLmRhdGEuTW9sZWN1bGUBbwF/ARJTY2lUZWdpYy5Nb2xlY3VsZQAAAQFkAv5qAQAAAAIBAgEQHAAAAPz8APwAAgAAAAAAAPC/Agr5oGez6gxAAhZqTfOOU7S/AAAAABgMAAD8/AD8AAIAAAAAAADwvwIv/yH99vUEQALdtYR80LOZPwAAAAAYAAAA/PwA/AACAAAAAAAA8L8CL/8h/fb1AEACMuauJeSD7D8AAAAAGAAAAPz8APwAAgAAAAAAAPC/AqLWNO84RfI/AgYSFD/G3OU/AAAAABwAAAD8/AD8AAIAAAAAAADwvwIp7Q2+MJnwPwLOqs/VVuzTvwAAAAAYAAAA/PwA/AACAAAAAAAA8L8COGdEaW/wxT8CZ9Xnaiv26b8AAAAAGAAAAPz8APwAAgAAAAAAAPC/ArWmeccpOua/As6qz9VW7NO/AAAAABgAAAD8/AD8AAIAAAAAAADwvwK1pnnHKTrmvwKZKhiV1AnmPwAAAAAYAAAA/PwA/AACAAAAAAAA8L8CnDOitDf4+L8CTRWMSuoE8z8AAAAAGAAAAPz8APwAAgAAAAAAAPC/Au/Jw0KtaQPAApkqGJXUCeY/AAAAABgAAAD8/AD8AAIAAAAAAADwvwLvycNCrWkDwALOqs/VVuzTvwAAAAABEQAAAPz8APwAAgAAAAAAAPC/AhB6Nqs+VwrAAmfV52or9um/AAAAABgAAAD8/AD8AAIAAAAAAADwvwKcM6K0N/j4vwJn1edqK/bpvwAAAAAYAAAA/PwA/AACAAAAAAAA8L8CLUMc6+I2/z8CQz7o2az65r8AAAAAAREAAAD8/AD8AAIAAAAAAADwvwK4rwPnjKgRQAJHA3gLJCjGPwAAAAABEQAAAPz8APwAAgAAAAAAAPC/AkYldQKayBVAAoNRSZ2AJso/AAAAADwEAAFlBBAAAAAAAAAABAgBZQQAAAAAAAAAAAgMAWUEAAAAAAAAAAAMEAFlBAAAAAAAAAAAEBQBZQQAAAAAAAAAABQYAWUEAAAAAAAAAAAYHAFlCAwAAAAAAAAAHCABZQQAAAAAAAAAACAkAWUICAAAAAAAAAAkKAFlBAAAAAAAAAAAKCwBZQQAAAAAAAAAACgwAWUICAAAAAAAAAAwGAFlBAAAAAAAAAAAEDQBZQQAAAAAAAAAADQEAWUEAAAAAAAAAAAAAAAA</t>
        </r>
      </text>
    </comment>
    <comment ref="A303" authorId="0" shapeId="0" xr:uid="{D9D4DD2E-7CBB-407C-9AA9-0A6185BEF63F}">
      <text>
        <r>
          <rPr>
            <sz val="9"/>
            <color indexed="81"/>
            <rFont val="MS P ゴシック"/>
            <family val="3"/>
            <charset val="128"/>
          </rPr>
          <t>Insight iXlW00001C0000303R0585476093S00000604P01216LAocjBAQBF1NjaVRlZ2ljLmRhdGEuTW9sZWN1bGUBbwF/ARJTY2lUZWdpYy5Nb2xlY3VsZQAAAQFkAv5qAQAAAAIBAgEQHAAAAPz8APwAAgAAAAAAAPC/Agr5oGez6gxAAmpN845TdMy/AAAAABgMAAD8/AD8AAIAAAAAAADwvwIv/yH99vUEQAJHA3gLJCi+vwAAAAAYAAAA/PwA/AACAAAAAAAA8L8CL/8h/fb1AEACG8BbIEHx5z8AAAAAGAAAAPz8APwAAgAAAAAAAPC/AqLWNO84RfI/Au7rwDkjSuE/AAAAABwAAAD8/AD8AAIAAAAAAADwvwIp7Q2+MJnwPwL+9nXgnBHdvwAAAAAYAAAA/PwA/AACAAAAAAAA8L8COGdEaW/wxT8Cf/s6cM6I7r8AAAAAGAAAAPz8APwAAgAAAAAAAPC/ArWmeccpOua/AjlFR3L5D92/AAAAABgAAAD8/AD8AAIAAAAAAADwvwKcM6K0N/j4vwKdoiO5/IfuvwAAAAAYAAAA/PwA/AACAAAAAAAA8L8CKKCJsOFpA8AC/vZ14JwR3b8AAAAAGAAAAPz8APwAAgAAAAAAAPC/Au/Jw0KtaQPAAoIExY8xd+E/AAAAAAERAAAA/PwA/AACAAAAAAAA8L8CSFD8GHNXCsACQYLix5i78D8AAAAAGAAAAPz8APwAAgAAAAAAAPC/ApwzorQ3+Pi/AkGC4seYu/A/AAAAABgAAAD8/AD8AAIAAAAAAADwvwK1pnnHKTrmvwKCBMWPMXfhPwAAAAAYAAAA/PwA/AACAAAAAAAA8L8CLUMc6+I2/z8CeAskKH6M678AAAAAAREAAAD8/AD8AAIAAAAAAADwvwK4rwPnjKgRQAI/V1uxv+yePwAAAAABEQAAAPz8APwAAgAAAAAAAPC/AkYldQKayBVAAo/k8h/Sb68/AAAAADwEAAFlBBAAAAAAAAAABAgBZQQAAAAAAAAAAAgMAWUEAAAAAAAAAAAMEAFlBAAAAAAAAAAAEBQBZQQAAAAAAAAAABQYAWUEAAAAAAAAAAAYHAFlCAwAAAAAAAAAHCABZQQAAAAAAAAAACAkAWUIDAAAAAAAAAAkKAFlBAAAAAAAAAAAJCwBZQQAAAAAAAAAACwwAWUICAAAAAAAAAAwGAFlBAAAAAAAAAAAEDQBZQQAAAAAAAAAADQEAWUEAAAAAAAAAAAAAAAA</t>
        </r>
      </text>
    </comment>
    <comment ref="A304" authorId="0" shapeId="0" xr:uid="{629923C8-992A-4E2C-9F4D-CB2FF2741B69}">
      <text>
        <r>
          <rPr>
            <sz val="9"/>
            <color indexed="81"/>
            <rFont val="MS P ゴシック"/>
            <family val="3"/>
            <charset val="128"/>
          </rPr>
          <t>Insight iXlW00001C0000304R0585476093S00000606P01216LAocjBAQBF1NjaVRlZ2ljLmRhdGEuTW9sZWN1bGUBbwF/ARJTY2lUZWdpYy5Nb2xlY3VsZQAAAQFkAv5qAQAAAAIBAgEQHAAAAPz8APwAAgAAAAAAAPC/Ase6uI0G8ApAAmpN845TdMy/AAAAABgMAAD8/AD8AAIAAAAAAADwvwLswDkjSvsCQAJHA3gLJCi+vwAAAAAYAAAA/PwA/AACAAAAAAAA8L8C2IFzRpT2/T8CG8BbIEHx5z8AAAAAGAAAAPz8APwAAgAAAAAAAPC/Ajq0yHa+n+w/Au7rwDkjSuE/AAAAABwAAAD8/AD8AAIAAAAAAADwvwJI4XoUrkfpPwL+9nXgnBHdvwAAAAAYAAAA/PwA/AACAAAAAAAA8L8C2/l+arx0s78Cf/s6cM6I7r8AAAAAGAAAAPz8APwAAgAAAAAAAPC/Ar+fGi/dJO6/Av72deCcEd2/AAAAABgAAAD8/AD8AAIAAAAAAADwvwKSXP5D+u38vwKdoiO5/IfuvwAAAAAYAAAA/PwA/AACAAAAAAAA8L8Cat5xio5kBcACOUVHcvkP3b8AAAAAGAAAAPz8APwAAgAAAAAAAPC/AmrecYqOZAXAAoIExY8xd+E/AAAAABgAAAD8/AD8AAIAAAAAAADwvwKSXP5D+u38vwJBguLHmLvwPwAAAAAYAAAA/PwA/AACAAAAAAAA8L8Cofgx5q4l7r8CggTFjzF34T8AAAAAASMAAAD8/AD8AAIAAAAAAADwvwLb+X5qvHSzvwJBguLHmLvwPwAAAAAYAAAA/PwA/AACAAAAAAAA8L8CqMZLN4lB+z8CeAskKH6M678AAAAAAREAAAD8/AD8AAIAAAAAAADwvwKXkA96NqsQQAI/V1uxv+yePwAAAAABEQAAAPz8APwAAgAAAAAAAPC/AiUGgZVDyxRAAo/k8h/Sb68/AAAAADwEAAFlBBAAAAAAAAAABAgBZQQAAAAAAAAAAAgMAWUEAAAAAAAAAAAMEAFlBAAAAAAAAAAAEBQBZQQAAAAAAAAAABQYAWUEAAAAAAAAAAAYHAFlCAwAAAAAAAAAHCABZQQAAAAAAAAAACAkAWUICAAAAAAAAAAkKAFlBAAAAAAAAAAAKCwBZQgIAAAAAAAAACwYAWUEAAAAAAAAAAAsMAFlBAAAAAAAAAAAEDQBZQQAAAAAAAAAADQEAWUEAAAAAAAAAAAAAAAA</t>
        </r>
      </text>
    </comment>
    <comment ref="A305" authorId="0" shapeId="0" xr:uid="{5E5CAB11-5DC6-4235-8800-DF2E82E05BAF}">
      <text>
        <r>
          <rPr>
            <sz val="9"/>
            <color indexed="81"/>
            <rFont val="MS P ゴシック"/>
            <family val="3"/>
            <charset val="128"/>
          </rPr>
          <t>Insight iXlW00001C0000305R0585476093S00000608P01216LAocjBAQBF1NjaVRlZ2ljLmRhdGEuTW9sZWN1bGUBbwF/ARJTY2lUZWdpYy5Nb2xlY3VsZQAAAQFkAv5qAQAAAAIBAgEQHAAAAPz8APwAAgAAAAAAAPC/Agr5oGez6gxAAmpN845TdMy/AAAAABgMAAD8/AD8AAIAAAAAAADwvwIv/yH99vUEQAJHA3gLJCi+vwAAAAAYAAAA/PwA/AACAAAAAAAA8L8CL/8h/fb1AEACG8BbIEHx5z8AAAAAGAAAAPz8APwAAgAAAAAAAPC/AqLWNO84RfI/Au7rwDkjSuE/AAAAABwAAAD8/AD8AAIAAAAAAADwvwIp7Q2+MJnwPwL+9nXgnBHdvwAAAAAYAAAA/PwA/AACAAAAAAAA8L8COGdEaW/wxT8Cf/s6cM6I7r8AAAAAGAAAAPz8APwAAgAAAAAAAPC/ArWmeccpOua/AjlFR3L5D92/AAAAABgAAAD8/AD8AAIAAAAAAADwvwKcM6K0N/j4vwKdoiO5/IfuvwAAAAAYAAAA/PwA/AACAAAAAAAA8L8CKKCJsOFpA8AC/vZ14JwR3b8AAAAAGAAAAPz8APwAAgAAAAAAAPC/Au/Jw0KtaQPAAoIExY8xd+E/AAAAAAEjAAAA/PwA/AACAAAAAAAA8L8CSFD8GHNXCsACQYLix5i78D8AAAAAGAAAAPz8APwAAgAAAAAAAPC/ApwzorQ3+Pi/AkGC4seYu/A/AAAAABgAAAD8/AD8AAIAAAAAAADwvwK1pnnHKTrmvwKCBMWPMXfhPwAAAAAYAAAA/PwA/AACAAAAAAAA8L8CLUMc6+I2/z8CeAskKH6M678AAAAAAREAAAD8/AD8AAIAAAAAAADwvwK4rwPnjKgRQAI/V1uxv+yePwAAAAABEQAAAPz8APwAAgAAAAAAAPC/AkYldQKayBVAAo/k8h/Sb68/AAAAADwEAAFlBBAAAAAAAAAABAgBZQQAAAAAAAAAAAgMAWUEAAAAAAAAAAAMEAFlBAAAAAAAAAAAEBQBZQQAAAAAAAAAABQYAWUEAAAAAAAAAAAYHAFlCAwAAAAAAAAAHCABZQQAAAAAAAAAACAkAWUIDAAAAAAAAAAkKAFlBAAAAAAAAAAAJCwBZQQAAAAAAAAAACwwAWUICAAAAAAAAAAwGAFlBAAAAAAAAAAAEDQBZQQAAAAAAAAAADQEAWUEAAAAAAAAAAAAAAAA</t>
        </r>
      </text>
    </comment>
    <comment ref="A306" authorId="0" shapeId="0" xr:uid="{EB53361B-1147-459B-AADE-182D4E7491D3}">
      <text>
        <r>
          <rPr>
            <sz val="9"/>
            <color indexed="81"/>
            <rFont val="MS P ゴシック"/>
            <family val="3"/>
            <charset val="128"/>
          </rPr>
          <t>Insight iXlW00001C0000306R0585476093S00000610P01216LAocjBAQBF1NjaVRlZ2ljLmRhdGEuTW9sZWN1bGUBbwF/ARJTY2lUZWdpYy5Nb2xlY3VsZQAAAQFkAv5qAQAAAAIBAgEQGAAAAPz8APwAAgAAAAAAAPC/Atv5fmq8dLO/AkGC4seYu/A/AAAAABgAAAD8/AD8AAIAAAAAAADwvwKh+DHmriXuvwKCBMWPMXfhPwAAAAAYAAAA/PwA/AACAAAAAAAA8L8Cklz+Q/rt/L8CQYLix5i78D8AAAAAGAAAAPz8APwAAgAAAAAAAPC/AmrecYqOZAXAAoIExY8xd+E/AAAAABgAAAD8/AD8AAIAAAAAAADwvwJq3nGKjmQFwAI5RUdy+Q/dvwAAAAAYAAAA/PwA/AACAAAAAAAA8L8Cklz+Q/rt/L8CnaIjufyH7r8AAAAAGAAAAPz8APwAAgAAAAAAAPC/Ar+fGi/dJO6/Av72deCcEd2/AAAAABgAAAD8/AD8AAIAAAAAAADwvwLb+X5qvHSzvwJ/+zpwzojuvwAAAAAcAAAA/PwA/AACAAAAAAAA8L8CSOF6FK5H6T8C/vZ14JwR3b8AAAAAGAAAAPz8APwAAgAAAAAAAPC/Ajq0yHa+n+w/Au7rwDkjSuE/AAAAABgAAAD8/AD8AAIAAAAAAADwvwLYgXNGlPb9PwIbwFsgQfHnPwAAAAAYCAAA/PwA/AACAAAAAAAA8L8C7MA5I0r7AkACRwN4CyQovr8AAAAAHAAAAPz8APwAAgAAAAAAAPC/Ase6uI0G8ApAAmpN845TdMy/AAAAABgAAAD8/AD8AAIAAAAAAADwvwKoxks3iUH7PwJ4CyQofozrvwAAAAABEQAAAPz8APwAAgAAAAAAAPC/ApeQD3o2qxBAAj9XW7G/7J4/AAAAAAERAAAA/PwA/AACAAAAAAAA8L8CJQaBlUPLFEACj+TyH9Jvrz8AAAAAPAAEAWUEAAAAAAAAAAAECAFlCAwAAAAAAAAACAwBZQQAAAAAAAAAAAwQAWUICAAAAAAAAAAQFAFlBAAAAAAAAAAAFBgBZQgIAAAAAAAAABgEAWUEAAAAAAAAAAAYHAFlBAAAAAAAAAAAHCABZQQAAAAAAAAAACAkAWUEAAAAAAAAAAAkKAFlBAAAAAAAAAAAKCwBZQQAAAAAAAAAACwwAWUEEAAAAAAAAAAsNAFlBAAAAAAAAAAANCABZQQAAAAAAAAAAAAAAAA=</t>
        </r>
      </text>
    </comment>
    <comment ref="A307" authorId="0" shapeId="0" xr:uid="{1F9E7F1F-A4EC-4224-89CE-7E63FD878465}">
      <text>
        <r>
          <rPr>
            <sz val="9"/>
            <color indexed="81"/>
            <rFont val="MS P ゴシック"/>
            <family val="3"/>
            <charset val="128"/>
          </rPr>
          <t>Insight iXlW00001C0000307R0585476093S00000612P01288LAocjBAQBF1NjaVRlZ2ljLmRhdGEuTW9sZWN1bGUBbwF/ARJTY2lUZWdpYy5Nb2xlY3VsZQAAAQFkAv5qAQAAAAIBAgERGAAAAPz8APwAAgAAAAAAAPC/AiKOdXEbDQ9AAgajkjoBTeC/AAAAACAAAAD8/AD8AAIAAAAAAADwvwIB3gIJih8IQAKDUUmdgCbwvwAAAAAYAAAA/PwA/AACAAAAAAAA8L8C4C2QoPgxAUACBqOSOgFN4L8AAAAAGAAAAPz8APwAAgAAAAAAAPC/An/7OnDOiPQ/AoNRSZ2AJvC/AAAAABgAAAD8/AD8AAIAAAAAAADwvwL0bFZ9rrbaPwIGo5I6AU3gvwAAAAAYAAAA/PwA/AACAAAAAAAA8L8C9GxWfa622j8CMgisHFpk3z8AAAAAGAAAAPz8APwAAgAAAAAAAPC/AtfFbTSAt9y/AhkEVg4tsu8/AAAAABwAAAD8/AD8AAIAAAAAAADwvwK30QDeAgn1vwIyCKwcWmTfPwAAAAAYAAAA/PwA/AACAAAAAAAA8L8CMLsnDwu19r8CcoqO5PIf4L8AAAAAGAAAAPz8APwAAgAAAAAAAPC/Aj2bVZ+rLQPAAoG3QILix+a/AAAAABgIAAD8/AD8AAIAAAAAAADwvwI9m1Wfqy0HwAKUh4Va07zDPwAAAAAcAAAA/PwA/AACAAAAAAAA8L8CGZXUCWgiD8ACrWnecYqO0D8AAAAAGAAAAPz8APwAAgAAAAAAAPC/AqW9wRcm0wHAAvVsVn2utuw/AAAAABgAAAD8/AD8AAIAAAAAAADwvwJ/+zpwzoj0PwIZBFYOLbLvPwAAAAAYAAAA/PwA/AACAAAAAAAA8L8C4C2QoPgxAUAC9rnaiv1l3z8AAAAAAREAAAD8/AD8AAIAAAAAAADwvwJE+u3rwLkSQALdtYR80LOZvwAAAAABEQAAAPz8APwAAgAAAAAAAPC/AtJvXwfO2RZAAgfwFkhQ/Hg/AAAAAAEQAAQBZQQAAAAAAAAAAAQIAWUEAAAAAAAAAAAIDAFlCAwAAAAAAAAADBABZQQAAAAAAAAAABAUAWUIDAAAAAAAAAAUGAFlBAAAAAAAAAAAGBwBZQQAAAAAAAAAABwgAWUEAAAAAAAAAAAgJAFlBAAAAAAAAAAAJCgBZQQAAAAAAAAAACgsAWUEEAAAAAAAAAAoMAFlBAAAAAAAAAAAMBwBZQQAAAAAAAAAABQ0AWUEAAAAAAAAAAA0OAFlCAgAAAAAAAAAOAgBZQQAAAAAAAAAAAAAAAA=</t>
        </r>
      </text>
    </comment>
    <comment ref="A308" authorId="0" shapeId="0" xr:uid="{E7606523-39D9-4D56-94F9-55349CA1020D}">
      <text>
        <r>
          <rPr>
            <sz val="9"/>
            <color indexed="81"/>
            <rFont val="MS P ゴシック"/>
            <family val="3"/>
            <charset val="128"/>
          </rPr>
          <t>Insight iXlW00001C0000308R0585476093S00000614P01176LAocjBAQBF1NjaVRlZ2ljLmRhdGEuTW9sZWN1bGUBbwF/ARJTY2lUZWdpYy5Nb2xlY3VsZQAAAQFkAv5qAQAAAAIBAjwcAAAA/PwA/AACAAAAAAAA8L8C0SLb+X5q8D8CXynLEMe61L8AAAAAGAAAAPz8APwAAgAAAAAAAPC/AnsUrkfhesQ/ArCUZYhjXeq/AAAAABgAAAD8/AD8AAIAAAAAAADwvwJlO99PjZfmvwJfKcsQx7rUvwAAAAAYAAAA/PwA/AACAAAAAAAA8L8C1XjpJjEI/z8CqaROQBNh578AAAAAGAAAAPz8APwAAgAAAAAAAPC/AkoMAiuHFvI/Ar5SliGOdeU/AAAAACAAAAD8/AD8AAIAAAAAAADwvwJ7FK5H4XrEPwJYyjLEsS79vwAAAAAYAAAA/PwA/AACAAAAAAAA8L8CA5oIG57eAEAC6iYxCKwc7D8AAAAAGAAAAPz8APwAAgAAAAAAAPC/AmU730+Nl+a/AlFrmnecouU/AAAAABgAAAD8/AD8AAIAAAAAAADwvwJlqmBUUif5vwKwlGWIY13qvwAAAAAYCAAA/PwA/AACAAAAAAAA8L8CA5oIG57eBEACmpmZmZmZiT8AAAAAGAAAAPz8APwAAgAAAAAAAPC/AlMFo5I6gQPAAlFrmnecouU/AAAAABgAAAD8/AD8AAIAAAAAAADwvwJTBaOSOoEDwAJfKcsQx7rUvwAAAAAYAAAA/PwA/AACAAAAAAAA8L8C9P3UeOkm+b8CqTXNO07R8j8AAAAAHAAAAPz8APwAAgAAAAAAAPC/At6Th4Va0wxAAmsr9pfdk7e/AAAAACQAAAD8/AD8AAIAAAAAAADwvwJ0tRX7y24KwAKpNc07TtHyPwAAAAABEAQAAWUEAAAAAAAAAAAIBAFlBAAAAAAAAAAADAABZQQAAAAAAAAAABAAAWUEAAAAAAAAAAAUBAFlCAAAAAAAAAAAGBABZQQAAAAAAAAAABwIAWUEAAAAAAAAAAAgCAFlCAwAAAAAAAAAJAwBZQQAAAAAAAAAACgsAWUIDAAAAAAAAAAsIAFlBAAAAAAAAAAAMBwBZQgIAAAAAAAAACQ0AWUEFAAAAAAAAAA4KAFlBAAAAAAAAAAAJBgBZQQAAAAAAAAAACgwAWUEAAAAAAAAAAAAAAAA</t>
        </r>
      </text>
    </comment>
    <comment ref="A309" authorId="0" shapeId="0" xr:uid="{BE73188B-10C3-492A-8858-857BE9618021}">
      <text>
        <r>
          <rPr>
            <sz val="9"/>
            <color indexed="81"/>
            <rFont val="MS P ゴシック"/>
            <family val="3"/>
            <charset val="128"/>
          </rPr>
          <t>Insight iXlW00001C0000309R0585476093S00000616P01176LAocjBAQBF1NjaVRlZ2ljLmRhdGEuTW9sZWN1bGUBbwF/ARJTY2lUZWdpYy5Nb2xlY3VsZQAAAQFkAv5qAQAAAAIBAjwcAAAA/PwA/AACAAAAAAAA8L8C0SLb+X5q8D8ChQ1Pr5RlyL8AAAAAGAAAAPz8APwAAgAAAAAAAPC/AnsUrkfhesQ/AmHD0ytlGea/AAAAABgAAAD8/AD8AAIAAAAAAADwvwJlO99PjZfmvwKFDU+vlGXIvwAAAAAYAAAA/PwA/AACAAAAAAAA8L8C1XjpJjEI/z8CW9O84xQd478AAAAAGAAAAPz8APwAAgAAAAAAAPC/AkoMAiuHFvI/AgwkKH6Muek/AAAAACAAAAD8/AD8AAIAAAAAAADwvwJ7FK5H4XrEPwKx4emVsgz7vwAAAAAYAAAA/PwA/AACAAAAAAAA8L8C9P3UeOkm+b8CYcPTK2UZ5r8AAAAAGAAAAPz8APwAAgAAAAAAAPC/AsrDQq1p3gBAAo0o7Q2+MPA/AAAAABgMAAD8/AD8AAIAAAAAAADwvwLKw0Ktad4EQALT3uALk6nCPwAAAAAYAAAA/PwA/AACAAAAAAAA8L8CGy/dJAaBA8AChQ1Pr5RlyL8AAAAAHAAAAPz8APwAAgAAAAAAAPC/At6Th4Va0wxAAjBMpgpGJaU/AAAAACQAAAD8/AD8AAIAAAAAAADwvwJ0tRX7y24KwAJhw9MrZRnmvwAAAAAYAAAA/PwA/AACAAAAAAAA8L8CZTvfT42X5r8Cnzws1Jrm6T8AAAAAGAAAAPz8APwAAgAAAAAAAPC/AvT91HjpJvm/AlAeFmpN8/Q/AAAAABgAAAD8/AD8AAIAAAAAAADwvwIbL90kBoEDwAKfPCzUmubpPwAAAAABEAQAAWUEAAAAAAAAAAAIBAFlBAAAAAAAAAAADAABZQQAAAAAAAAAABAAAWUEAAAAAAAAAAAUBAFlCAAAAAAAAAAAGAgBZQQAAAAAAAAAABwQAWUEAAAAAAAAAAAgDAFlBAAAAAAAAAAAJBgBZQgMAAAAAAAAACAoAWUEEAAAAAAAAAAsJAFlBAAAAAAAAAAAMAgBZQgMAAAAAAAAADQwAWUEAAAAAAAAAAA4NAFlCAgAAAAAAAAAIBwBZQQAAAAAAAAAADgkAWUEAAAAAAAAAAAAAAAA</t>
        </r>
      </text>
    </comment>
    <comment ref="A310" authorId="0" shapeId="0" xr:uid="{8F93FB87-62C1-4C68-AE5E-6C3786C29E87}">
      <text>
        <r>
          <rPr>
            <sz val="9"/>
            <color indexed="81"/>
            <rFont val="MS P ゴシック"/>
            <family val="3"/>
            <charset val="128"/>
          </rPr>
          <t>Insight iXlW00001C0000310R0585476093S00000618P01216LAocjBAQBF1NjaVRlZ2ljLmRhdGEuTW9sZWN1bGUBbwF/ARJTY2lUZWdpYy5Nb2xlY3VsZQAAAQFkAv5qAQAAAAIAAgEQHAAAAPz8APwAAgAAAAAAAPC/Ai1DHOvitgtAArIubqMBvOm/AAAAABgAAAD8/AD8AAIAAAAAAADwvwItQxzr4rYHQAI3qz5XW7GvPwAAAAAYAAAA/PwA/AACAAAAAAAA8L8CWoY41sVt/z8CN6s+V1uxrz8AAAAAGAAAAPz8APwAAgAAAAAAAPC/AlqGONbFbfc/AjerPldbse0/AAAAABgAAAD8/AD8AAIAAAAAAADwvwJmGeJYF7fdPwI3qz5XW7HtPwAAAAAcAAAA/PwA/AACAAAAAAAA8L8C1zTvOEVHor8CN6s+V1uxrz8AAAAAGAAAAPz8APwAAgAAAAAAAPC/AmYZ4lgXt90/AtDVVuwvu+m/AAAAABgAAAD8/AD8AAIAAAAAAADwvwJahjjWxW33PwLQ1VbsL7vpvwAAAAAYAAAA/PwA/AACAAAAAAAA8L8Cp3nHKTqS8L8CN6s+V1uxrz8AAAAAGAAAAPz8APwAAgAAAAAAAPC/Aqd5xyk6kvi/AtDVVuwvu+m/AAAAABgAAAD8/AD8AAIAAAAAAADwvwLUvOMUHUkEwALQ1VbsL7vpvwAAAAAYAAAA/PwA/AACAAAAAAAA8L8C1LzjFB1JCMACN6s+V1uxrz8AAAAAGAAAAPz8APwAAgAAAAAAAPC/AtS84xQdSQTAAjerPldbse0/AAAAABgAAAD8/AD8AAIAAAAAAADwvwKneccpOpL4vwI3qz5XW7HtPwAAAAABEQAAAPz8APwAAgAAAAAAAPC/AspUwaikDhFAAp6AJsKGp6c/AAAAAAERAAAA/PwA/AACAAAAAAAA8L8CWMoyxLEuFUACx9y1hHzQsz8AAAAAPAAEAWUEAAAAAAAAAAAECAFlBAAAAAAAAAAACAwBZQQAAAAAAAAAAAwQAWUEAAAAAAAAAAAQFAFlBAAAAAAAAAAAFBgBZQQAAAAAAAAAABgcAWUEAAAAAAAAAAAcCAFlBAAAAAAAAAAAFCABZQQAAAAAAAAAACAkAWUEAAAAAAAAAAAkKAFlBAAAAAAAAAAAKCwBZQQAAAAAAAAAACwwAWUEAAAAAAAAAAAwNAFlBAAAAAAAAAAANCABZQQAAAAAAAAAAAAAAAA=</t>
        </r>
      </text>
    </comment>
    <comment ref="A311" authorId="0" shapeId="0" xr:uid="{0D394235-341D-46C0-82C3-920144055B55}">
      <text>
        <r>
          <rPr>
            <sz val="9"/>
            <color indexed="81"/>
            <rFont val="MS P ゴシック"/>
            <family val="3"/>
            <charset val="128"/>
          </rPr>
          <t>Insight iXlW00001C0000311R0585476093S00000620P01360LAocjBAQBF1NjaVRlZ2ljLmRhdGEuTW9sZWN1bGUBbwF/ARJTY2lUZWdpYy5Nb2xlY3VsZQAAAQFkAv5qAQAAAAIAAgESHAAAAPz8APwAAgAAAAAAAPC/AkCk374OnA9AAo9TdCSX/+K/AAAAABgAAAD8/AD8AAIAAAAAAADwvwIf9GxWfa4IQALIKTqSy3/xvwAAAAAYAAAA/PwA/AACAAAAAAAA8L8C/0P67evAAUACj1N0JJf/4r8AAAAAGAAAAPz8APwAAgAAAAAAAPC/Av9D+u3rwAFAAh6n6Egu/9k/AAAAABgAAAD8/AD8AAIAAAAAAADwvwK7Jw8Ltab1PwKPU3Qkl//sPwAAAAAcAAAA/PwA/AACAAAAAAAA8L8CI2x4eqUs3z8C4lgXt9EA2j8AAAAAGAAAAPz8APwAAgAAAAAAAPC/AuQUHcnlP9i/AnGsi9toAO0/AAAAABgAAAD8/AD8AAIAAAAAAADwvwJ7pSxDHOvzvwLiWBe30QDaPwAAAAAYAAAA/PwA/AACAAAAAAAA8L8Ce6UsQxzr878Cj1N0JJf/4r8AAAAAGAAAAPz8APwAAgAAAAAAAPC/At4CCYof4wDAAsgpOpLLf/G/AAAAABgAAAD8/AD8AAIAAAAAAADwvwI4iUFg5dAHwAJxrIvbaADjvwAAAAAYAAAA/PwA/AACAAAAAAAA8L8COIlBYOXQB8ACHqfoSC7/2T8AAAAAGAAAAPz8APwAAgAAAAAAAPC/At4CCYof4wDAAo9TdCSX/+w/AAAAACQAAAD8/AD8AAIAAAAAAADwvwLeAgmKH+MAwALIKTqSy3/+PwAAAAAYAAAA/PwA/AACAAAAAAAA8L8C5x2n6Egu3z8Cj1N0JJf/4r8AAAAAGAAAAPz8APwAAgAAAAAAAPC/ArsnDwu1pvU/AsgpOpLLf/G/AAAAAAERAAAA/PwA/AACAAAAAAAA8L8CUwWjkjoBE0ACj1N0JJf/2D8AAAAAAREAAAD8/AD8AAIAAAAAAADwvwLiehSuRyEXQAJxrIvbaADbPwAAAAABEQAEAWUEAAAAAAAAAAAECAFlBAAAAAAAAAAACAwBZQQAAAAAAAAAAAwQAWUEAAAAAAAAAAAQFAFlBAAAAAAAAAAAFBgBZQQAAAAAAAAAABgcAWUEAAAAAAAAAAAcIAFlCAwAAAAAAAAAICQBZQQAAAAAAAAAACQoAWUICAAAAAAAAAAoLAFlBAAAAAAAAAAALDABZQgIAAAAAAAAADAcAWUEAAAAAAAAAAAwNAFlBAAAAAAAAAAAFDgBZQQAAAAAAAAAADg8AWUEAAAAAAAAAAA8CAFlBAAAAAAAAAAAAAAAAA==</t>
        </r>
      </text>
    </comment>
    <comment ref="A312" authorId="0" shapeId="0" xr:uid="{0D2600C2-3CF0-4677-81A1-E8E5CC5EFDA9}">
      <text>
        <r>
          <rPr>
            <sz val="9"/>
            <color indexed="81"/>
            <rFont val="MS P ゴシック"/>
            <family val="3"/>
            <charset val="128"/>
          </rPr>
          <t>Insight iXlW00001C0000312R0585476093S00000622P01360LAocjBAQBF1NjaVRlZ2ljLmRhdGEuTW9sZWN1bGUBbwF/ARJTY2lUZWdpYy5Nb2xlY3VsZQAAAQFkAv5qAQAAAAIAAgESHAAAAPz8APwAAgAAAAAAAPC/AkCk374OnA9AAuJYF7fRANa/AAAAABgAAAD8/AD8AAIAAAAAAADwvwIf9GxWfa4IQAJxrIvbaADrvwAAAAAYAAAA/PwA/AACAAAAAAAA8L8C/0P67evAAUAC4lgXt9EA1r8AAAAAGAAAAPz8APwAAgAAAAAAAPC/Av9D+u3rwAFAAo9TdCSX/+Q/AAAAABgAAAD8/AD8AAIAAAAAAADwvwJKe4MvTKb1PwLIKTqSy3/yPwAAAAAcAAAA/PwA/AACAAAAAAAA8L8CI2x4eqUs3z8Cj1N0JJf/5D8AAAAAGAAAAPz8APwAAgAAAAAAAPC/AuQUHcnlP9i/AsgpOpLLf/I/AAAAABgAAAD8/AD8AAIAAAAAAADwvwJ7pSxDHOvzvwKPU3Qkl//kPwAAAAAYAAAA/PwA/AACAAAAAAAA8L8C3gIJih/jAMACyCk6kst/8j8AAAAAGAAAAPz8APwAAgAAAAAAAPC/AjiJQWDl0AfAAnGsi9toAOU/AAAAABgAAAD8/AD8AAIAAAAAAADwvwL/snvysNAHwAIep+hILv/VvwAAAAAYAAAA/PwA/AACAAAAAAAA8L8C3gIJih/jAMACj1N0JJf/6r8AAAAAASMAAAD8/AD8AAIAAAAAAADwvwLeAgmKH+MAwALIKTqSy3/9vwAAAAAYAAAA/PwA/AACAAAAAAAA8L8Ce6UsQxzr878CHqfoSC7/1b8AAAAAGAAAAPz8APwAAgAAAAAAAPC/AiNseHqlLN8/Ah6n6Egu/9W/AAAAABgAAAD8/AD8AAIAAAAAAADwvwK7Jw8Ltab1PwKPU3Qkl//qvwAAAAABEQAAAPz8APwAAgAAAAAAAPC/AlMFo5I6ARNAAnGsi9toANe/AAAAAAERAAAA/PwA/AACAAAAAAAA8L8C4noUrkchF0ACj1N0JJf/1L8AAAAAAREABAFlBAAAAAAAAAAABAgBZQQAAAAAAAAAAAgMAWUEAAAAAAAAAAAMEAFlBAAAAAAAAAAAEBQBZQQAAAAAAAAAABQYAWUEAAAAAAAAAAAYHAFlBAAAAAAAAAAAHCABZQgMAAAAAAAAACAkAWUEAAAAAAAAAAAkKAFlCAgAAAAAAAAAKCwBZQQAAAAAAAAAACwwAWUEAAAAAAAAAAAsNAFlCAgAAAAAAAAANBwBZQQAAAAAAAAAABQ4AWUEAAAAAAAAAAA4PAFlBAAAAAAAAAAAPAgBZQQAAAAAAAAAAAAAAAA=</t>
        </r>
      </text>
    </comment>
    <comment ref="A313" authorId="0" shapeId="0" xr:uid="{0C1C2E27-A8EE-4BBF-9D9A-D80E07267D4C}">
      <text>
        <r>
          <rPr>
            <sz val="9"/>
            <color indexed="81"/>
            <rFont val="MS P ゴシック"/>
            <family val="3"/>
            <charset val="128"/>
          </rPr>
          <t>Insight iXlW00001C0000313R0585476093S00000624P01360LAocjBAQBF1NjaVRlZ2ljLmRhdGEuTW9sZWN1bGUBbwF/ARJTY2lUZWdpYy5Nb2xlY3VsZQAAAQFkAv5qAQAAAAIAAgESHAAAAPz8APwAAgAAAAAAAPC/ArByaJHtPBBAAh6n6Egu/9m/AAAAABgAAAD8/AD8AAIAAAAAAADwvwJANV66SYwJQAKPU3Qkl//svwAAAAAYAAAA/PwA/AACAAAAAAAA8L8C5q4l5IOeAkACHqfoSC7/2b8AAAAAGAAAAPz8APwAAgAAAAAAAPC/AuauJeSDngJAAo9TdCSX/+I/AAAAABgAAAD8/AD8AAIAAAAAAADwvwKL/WX35GH3PwLIKTqSy3/xPwAAAAAcAAAA/PwA/AACAAAAAAAA8L8CkzoBTYQN4z8CcayL22gA4z8AAAAAGAAAAPz8APwAAgAAAAAAAPC/AuELk6mCUdG/AjnWxW00gPE/AAAAABgAAAD8/AD8AAIAAAAAAADwvwKrz9VW7C/yvwJxrIvbaADjPwAAAAAYAAAA/PwA/AACAAAAAAAA8L8Cq8/VVuwv8r8CHqfoSC7/2b8AAAAAGAAAAPz8APwAAgAAAAAAAPC/AvaX3ZOHBQDAAnGsi9toAO2/AAAAABgAAAD8/AD8AAIAAAAAAADwvwIXSFD8GPMGwALiWBe30QDavwAAAAABIwAAAPz8APwAAgAAAAAAAPC/Ajj4wmSq4A3AAnGsi9toAO2/AAAAABgAAAD8/AD8AAIAAAAAAADwvwIXSFD8GPMGwAKPU3Qkl//iPwAAAAAYAAAA/PwA/AACAAAAAAAA8L8C9pfdk4cFAMACyCk6kst/8T8AAAAAGAAAAPz8APwAAgAAAAAAAPC/ApM6AU2EDeM/Ah6n6Egu/9m/AAAAABgAAAD8/AD8AAIAAAAAAADwvwKL/WX35GH3PwKPU3Qkl//svwAAAAABEQAAAPz8APwAAgAAAAAAAPC/AuSlm8QgcBNAAjxO0ZFc/rM/AAAAAAERAAAA/PwA/AACAAAAAAAA8L8CchsN4C2QF0ACxbEubqMBvD8AAAAAAREABAFlBAAAAAAAAAAABAgBZQQAAAAAAAAAAAgMAWUEAAAAAAAAAAAMEAFlBAAAAAAAAAAAEBQBZQQAAAAAAAAAABQYAWUEAAAAAAAAAAAYHAFlBAAAAAAAAAAAHCABZQgMAAAAAAAAACAkAWUEAAAAAAAAAAAkKAFlCAwAAAAAAAAAKCwBZQQAAAAAAAAAACgwAWUEAAAAAAAAAAAwNAFlCAgAAAAAAAAANBwBZQQAAAAAAAAAABQ4AWUEAAAAAAAAAAA4PAFlBAAAAAAAAAAAPAgBZQQAAAAAAAAAAAAAAAA=</t>
        </r>
      </text>
    </comment>
    <comment ref="A314" authorId="0" shapeId="0" xr:uid="{785FFF2E-5B2F-4C4C-B3C5-817557629A74}">
      <text>
        <r>
          <rPr>
            <sz val="9"/>
            <color indexed="81"/>
            <rFont val="MS P ゴシック"/>
            <family val="3"/>
            <charset val="128"/>
          </rPr>
          <t>Insight iXlW00001C0000314R0585476093S00000626P01360LAocjBAQBF1NjaVRlZ2ljLmRhdGEuTW9sZWN1bGUBbwF/ARJTY2lUZWdpYy5Nb2xlY3VsZQAAAQFkAv5qAQAAAAIAAgESHAAAAPz8APwAAgAAAAAAAPC/Alg5tMh2vg5AAo9TdCSX/+K/AAAAABgAAAD8/AD8AAIAAAAAAADwvwI4iUFg5dAHQALIKTqSy3/xvwAAAAAYAAAA/PwA/AACAAAAAAAA8L8C3gIJih/jAEACj1N0JJf/4r8AAAAAGAAAAPz8APwAAgAAAAAAAPC/At4CCYof4wBAAh6n6Egu/9k/AAAAABgAAAD8/AD8AAIAAAAAAADwvwJ7pSxDHOvzPwKPU3Qkl//sPwAAAAAcAAAA/PwA/AACAAAAAAAA8L8C5BQdyeU/2D8C4lgXt9EA2j8AAAAAGAAAAPz8APwAAgAAAAAAAPC/AuQUHcnlP9g/Ao9TdCSX/+K/AAAAABgAAAD8/AD8AAIAAAAAAADwvwJ7pSxDHOvzPwLIKTqSy3/xvwAAAAAYAAAA/PwA/AACAAAAAAAA8L8CI2x4eqUs378Cj1N0JJf/7D8AAAAAIAAAAPz8APwAAgAAAAAAAPC/AiNseHqlLN+/AsgpOpLLf/4/AAAAABgAAAD8/AD8AAIAAAAAAADwvwK7Jw8Ltab1vwIep+hILv/ZPwAAAAAYAAAA/PwA/AACAAAAAAAA8L8CuycPC7Wm9b8Cj1N0JJf/4r8AAAAAGAAAAPz8APwAAgAAAAAAAPC/Av9D+u3rwAHAAsgpOpLLf/G/AAAAABwAAAD8/AD8AAIAAAAAAADwvwIf9GxWfa4IwAJxrIvbaADjvwAAAAAYAAAA/PwA/AACAAAAAAAA8L8CH/RsVn2uCMACHqfoSC7/2T8AAAAAGAAAAPz8APwAAgAAAAAAAPC/Av9D+u3rwAHAAo9TdCSX/+w/AAAAAAERAAAA/PwA/AACAAAAAAAA8L8C30+Nl26SEkACj1N0JJf/2D8AAAAAAREAAAD8/AD8AAIAAAAAAADwvwJuxf6ye7IWQAJxrIvbaADbPwAAAAABEQAEAWUEAAAAAAAAAAAECAFlBAAAAAAAAAAACAwBZQQAAAAAAAAAAAwQAWUEAAAAAAAAAAAQFAFlBAAAAAAAAAAAFBgBZQQAAAAAAAAAABgcAWUEAAAAAAAAAAAcCAFlBAAAAAAAAAAAFCABZQQAAAAAAAAAACAkAWUIAAAAAAAAAAAgKAFlBAAAAAAAAAAAKCwBZQgMAAAAAAAAACwwAWUEAAAAAAAAAAAwNAFlCAgAAAAAAAAANDgBZQQAAAAAAAAAADg8AWUICAAAAAAAAAA8KAFlBAAAAAAAAAAAAAAAAA==</t>
        </r>
      </text>
    </comment>
    <comment ref="A315" authorId="0" shapeId="0" xr:uid="{F4A86498-A785-486C-97BA-769DF77AECFC}">
      <text>
        <r>
          <rPr>
            <sz val="9"/>
            <color indexed="81"/>
            <rFont val="MS P ゴシック"/>
            <family val="3"/>
            <charset val="128"/>
          </rPr>
          <t>Insight iXlW00001C0000315R0585476093S00000628P01004LAocjBAQBF1NjaVRlZ2ljLmRhdGEuTW9sZWN1bGUBbwF/ARJTY2lUZWdpYy5Nb2xlY3VsZQAAAQFkAv5qAQAAAAIAAjQYAAAA/PwA/AACAAAAAAAA8L8CAAAAAAAA+r8C1lbsL7sn8b8AAAAAARAAAAD8/AD8AAIAAAAAAADwvwIAAAAAAAD6vwJdbcX+snuyvwAAAAAgAAAA/PwA/AACAAAAAAAA8L8CAAAAAAAABcACXW3F/rJ7sr8AAAAAIAAAAPz8APwAAgAAAAAAAPC/AgAAAAAAAPq/AlVSJ6CJsO0/AAAAABwAAAD8/AD8AAIAAAAAAADwvwIAAAAAAADkvwJdbcX+snuyvwAAAAAYAAAA/PwA/AACAAAAAAAA8L8CAAAAAAAAwL8C2BLyQc9m6T8AAAAAGAAAAPz8APwAAgAAAAAAAPC/AgAAAAAAAOw/AtgS8kHPZuk/AAAAABgAAAD8/AD8AAIAAAAAAADwvwIAAAAAAAD2PwJdbcX+snuyvwAAAAAYAAAA/PwA/AACAAAAAAAA8L8CAAAAAAAAA0ACXW3F/rJ7sr8AAAAAHAAAAPz8APwAAgAAAAAAAPC/AgAAAAAAAAdAArprCfmgZ+k/AAAAABgAAAD8/AD8AAIAAAAAAADwvwIAAAAAAADsPwIvbqMBvAXuvwAAAAAYAAAA/PwA/AACAAAAAAAA8L8CAAAAAAAAwL8CL26jAbwF7r8AAAAAAREAAAD8/AD8AAIAAAAAAADwvwJnZmZmZmYNQAJdbcX+snuyvwAAAAAwAAQBZQQAAAAAAAAAAAQIAWUIAAAAAAAAAAAEDAFlCAAAAAAAAAAABBABZQQAAAAAAAAAABAUAWUEAAAAAAAAAAAUGAFlBAAAAAAAAAAAGBwBZQQAAAAAAAAAABwgAWUEAAAAAAAAAAAgJAFlBAAAAAAAAAAAHCgBZQQAAAAAAAAAACgsAWUEAAAAAAAAAAAsEAFlBAAAAAAAAAAAAAAAAA==</t>
        </r>
      </text>
    </comment>
    <comment ref="A316" authorId="0" shapeId="0" xr:uid="{2578E241-3A0C-40FB-A28D-15F1581ABF15}">
      <text>
        <r>
          <rPr>
            <sz val="9"/>
            <color indexed="81"/>
            <rFont val="MS P ゴシック"/>
            <family val="3"/>
            <charset val="128"/>
          </rPr>
          <t>Insight iXlW00001C0000316R0585476093S00000630P01688LAocjBAQBF1NjaVRlZ2ljLmRhdGEuTW9sZWN1bGUBbwF/ARJTY2lUZWdpYy5Nb2xlY3VsZQAAAQFkAv5qAQAAAAIAAgEWGAAAAPz8APwAAgAAAAAAAPC/AiS5/If0WwZAAlFrmnecouM/AAAAABwAAAD8/AD8AAIAAAAAAADwvwJyGw3gLZD4vwKwlGWIY13svwAAAAAcAAAA/PwA/AACAAAAAAAA8L8CBhIUP8bc/j8ChlrTvOMUvT8AAAAAIAAAAPz8APwAAgAAAAAAAPC/AkVpb/CFSQ1AAoZa07zjFL0/AAAAACAAAAD8/AD8AAIAAAAAAADwvwIkufyH9FsGQAKpNc07TtH5PwAAAAAYAAAA/PwA/AACAAAAAAAA8L8Cz/dT46UbEkACUWuad5yi4z8AAAAAGAAAAPz8APwAAgAAAAAAAPC/AhIUP8bcNQPAAljKMsSxLva/AAAAABgAAAD8/AD8AAIAAAAAAADwvwJyGw3gLZD4vwKGWtO84xS9PwAAAAAYAAAA/PwA/AACAAAAAAAA8L8CYHZPHhZq5b8C5x2n6Egu9r8AAAAAGAAAAPz8APwAAgAAAAAAAPC/AlMFo5I6AfE/AlFrmnecouM/AAAAABgAAAD8/AD8AAIAAAAAAADwvwKNKO0NvjDJPwKGWtO84xS9PwAAAAAYAAAA/PwA/AACAAAAAAAA8L8CYHZPHhZq5b8CUWuad5yi4z8AAAAAGAAAAPz8APwAAgAAAAAAAPC/Ao0o7Q2+MMk/As47TtGRXOy/AAAAABgAAAD8/AD8AAIAAAAAAADwvwIzxLEubiMKwAKwlGWIY13svwAAAAAYAAAA/PwA/AACAAAAAAAA8L8CswxxrIsbEEACW0I+6Nms9z8AAAAAGAAAAPz8APwAAgAAAAAAAPC/AuBPjZdukhVAAqk1zTtO0fE/AAAAABgAAAD8/AD8AAIAAAAAAADwvwLP91PjpRsUQAJlqmBUUifQvwAAAAAYAAAA/PwA/AACAAAAAAAA8L8CM8SxLm4jCsAChlrTvOMUvT8AAAAAGAAAAPz8APwAAgAAAAAAAPC/Aio6kst/iBDAAucdp+hILva/AAAAABgAAAD8/AD8AAIAAAAAAADwvwI6kst/SP8TwALOO07RkVzsvwAAAAAYAAAA/PwA/AACAAAAAAAA8L8CKjqSy3+IEMACUWuad5yi4z8AAAAAGAAAAPz8APwAAgAAAAAAAPC/AjqSy39I/xPAAoZa07zjFL0/AAAAAAEXBCABZQQAAAAAAAAAAAgAAWUEAAAAAAAAAAAMAAFlBAAAAAAAAAAAEAABZQgAAAAAAAAAABQMAWUEAAAAAAAAAAAYBAFlBAAAAAAAAAAAHCwBZQQAAAAAAAAAACAwAWUEAAAAAAAAAAAkCAFlBAAAAAAAAAAAKCQBZQQAAAAAAAAAACwoAWUEAAAAAAAAAAAwKAFlBAAAAAAAAAAANBgBZQQAAAAAAAAAADgUAWUEAAAAAAAAAAA8FAFlBAAAAAAAAAAAARAUAWUEAAAAAAAAAAABETQBZQQAAAAAAAAAAAESNAFlBAAAAAAAAAAAARMBEgFlBAAAAAAAAAAAARQBEQFlBAAAAAAAAAAAARUBEwFlBAAAAAAAAAAABBwBZQQAAAAAAAAAAAEVARQBZQQAAAAAAAAAAAAAAAA=</t>
        </r>
      </text>
    </comment>
    <comment ref="A317" authorId="0" shapeId="0" xr:uid="{6CDDD92D-8932-4642-B47F-7E1C0528D62D}">
      <text>
        <r>
          <rPr>
            <sz val="9"/>
            <color indexed="81"/>
            <rFont val="MS P ゴシック"/>
            <family val="3"/>
            <charset val="128"/>
          </rPr>
          <t>Insight iXlW00001C0000317R0585476093S00000632P01464LAocjBAQBF1NjaVRlZ2ljLmRhdGEuTW9sZWN1bGUBbwF/ARJTY2lUZWdpYy5Nb2xlY3VsZQAAAQFkAv5qAQAAAAIAAgETHAAAAPz8APwAAgAAAAAAAPC/AoXrUbgeBQPAAhsv3SQGgeG/AAAAABgAAAD8/AD8AAIAAAAAAADwvwJ7FK5H4foAQAKV1AloImzUPwAAAAAcAAAA/PwA/AACAAAAAAAA8L8C9ihcj8L18T8CldQJaCJs1D8AAAAAIAAAAPz8APwAAgAAAAAAAPC/AnsUrkfh+gRAAmfV52or9vI/AAAAACAAAAD8/AD8AAIAAAAAAADwvwJ7FK5H4foEQAIbL90kBoHhvwAAAAAYAAAA/PwA/AACAAAAAAAA8L8CC9ejcD0K/r8C0SLb+X5q1D8AAAAAGAAAAPz8APwAAgAAAAAAAPC/AgvXo3A9Cv6/As/3U+Olm/a/AAAAABgAAAD8/AD8AAIAAAAAAADwvwKF61G4HgULwAIbL90kBoHhvwAAAAAYAAAA/PwA/AACAAAAAAAA8L8CexSuR+H6DEACZ9Xnaiv28j8AAAAAGAAAAPz8APwAAgAAAAAAAPC/AuxRuB6F6+M/Ahsv3SQGgeG/AAAAABgAAAD8/AD8AAIAAAAAAADwvwIVrkfhehTsvwLRItv5fmrUPwAAAAAYAAAA/PwA/AACAAAAAAAA8L8CFa5H4XoU7L8Cz/dT46Wb9r8AAAAAGAAAAPz8APwAAgAAAAAAAPC/Ailcj8L1KNi/Ahsv3SQGgeG/AAAAABgAAAD8/AD8AAIAAAAAAADwvwIK+aBnsyoTwAIbL90kBoHhvwAAAAAYAAAA/PwA/AACAAAAAAAA8L8CZvfkYaFWEMACG55eKcsQ9L8AAAAAGAAAAPz8APwAAgAAAAAAAPC/Amb35GGhVhDAAgR4CyQofsQ/AAAAABgAAAD8/AD8AAIAAAAAAADwvwJ7FK5H4foMQAK06nO1FXsBQAAAAAAYAAAA/PwA/AACAAAAAAAA8L8CPgrXo3B9EkACZ9Xnaiv28j8AAAAAGAAAAPz8APwAAgAAAAAAAPC/AnsUrkfh+gxAAjerPldbscc/AAAAAAEUBAgBZQQAAAAAAAAAAAgkAWUEAAAAAAAAAAAMBAFlBAAAAAAAAAAAEAQBZQgAAAAAAAAAABQAAWUEAAAAAAAAAAAYAAFlBAAAAAAAAAAAHAABZQQAAAAAAAAAACAMAWUEAAAAAAAAAAAkMAFlBAAAAAAAAAAAKBQBZQQAAAAAAAAAACwYAWUEAAAAAAAAAAAwLAFlBAAAAAAAAAAANDwBZQQAAAAAAAAAADgcAWUEAAAAAAAAAAA8HAFlBAAAAAAAAAAAARAgAWUEAAAAAAAAAAABESABZQQAAAAAAAAAAAESIAFlBAAAAAAAAAAANDgBZQQAAAAAAAAAACgwAWUEAAAAAAAAAAAAAAAA</t>
        </r>
      </text>
    </comment>
    <comment ref="A318" authorId="0" shapeId="0" xr:uid="{3BEFA951-4D24-4DF7-853B-37FB7D7E8556}">
      <text>
        <r>
          <rPr>
            <sz val="9"/>
            <color indexed="81"/>
            <rFont val="MS P ゴシック"/>
            <family val="3"/>
            <charset val="128"/>
          </rPr>
          <t>Insight iXlW00001C0000318R0585476093S00000634P01616LAocjBAQBF1NjaVRlZ2ljLmRhdGEuTW9sZWN1bGUBbwF/ARJTY2lUZWdpYy5Nb2xlY3VsZQAAAQFkAv5qAQAAAAIAAgEVHAAAAPz8APwAAgAAAAAAAPC/Apm7lpAPev6/AuqVsgxxrN8/AAAAABgAAAD8/AD8AAIAAAAAAADwvwI0orQ3+MIEQALhnBGlvcHXvwAAAAAcAAAA/PwA/AACAAAAAAAA8L8CaERpb/CF+T8C4ZwRpb3B178AAAAAIAAAAPz8APwAAgAAAAAAAPC/AjSitDf4wghAAnrHKTqSy/O/AAAAACAAAAD8/AD8AAIAAAAAAADwvwI0orQ3+MIIQALqlbIMcazfPwAAAAAYAAAA/PwA/AACAAAAAAAA8L8CmbuWkA969r8CvAUSFD/G9T8AAAAAGAAAAPz8APwAAgAAAAAAAPC/Apm7lpAPeva/Ah3r4jYawNe/AAAAABgAAAD8/AD8AAIAAAAAAADwvwLNXUvIBz0HwALqlbIMcazfPwAAAAAYAAAA/PwA/AACAAAAAAAA8L8CGlHaG3xhEEACescpOpLL878AAAAAGAAAAPz8APwAAgAAAAAAAPC/AmdEaW/whfE/AuqVsgxxrN8/AAAAABgAAAD8/AD8AAIAAAAAAADwvwJj7lpCPujZvwK8BRIUP8b1PwAAAAAYAAAA/PwA/AACAAAAAAAA8L8CY+5aQj7o2b8CHeviNhrA178AAAAAGAAAAPz8APwAAgAAAAAAAPC/AnRGlPYGX7g/AuqVsgxxrN8/AAAAABgAAAD8/AD8AAIAAAAAAADwvwIaUdobfGEQQALOO07RkVzOvwAAAAAYAAAA/PwA/AACAAAAAAAA8L8CGlHaG3xhFEACescpOpLL878AAAAAGAAAAPz8APwAAgAAAAAAAPC/AhpR2ht8YRBAAr3jFB3J5QHAAAAAABgAAAD8/AD8AAIAAAAAAADwvwLNXUvIBz0LwAK8BRIUP8b1PwAAAAAYAAAA/PwA/AACAAAAAAAA8L8CzV1LyAc9C8ACHeviNhrA178AAAAAGAAAAPz8APwAAgAAAAAAAPC/AuauJeSDnhHAAh3r4jYawNe/AAAAABgAAAD8/AD8AAIAAAAAAADwvwLmriXkg54RwAK8BRIUP8b1PwAAAAAYAAAA/PwA/AACAAAAAAAA8L8C5q4l5IOeE8AC6pWyDHGs3z8AAAAAARYECAFlBAAAAAAAAAAACCQBZQQAAAAAAAAAAAwEAWUEAAAAAAAAAAAQBAFlCAAAAAAAAAAAFAABZQQAAAAAAAAAABgAAWUEAAAAAAAAAAAcAAFlBAAAAAAAAAAAIAwBZQQAAAAAAAAAACQwAWUEAAAAAAAAAAAoFAFlBAAAAAAAAAAALBgBZQQAAAAAAAAAADAsAWUEAAAAAAAAAAA0IAFlBAAAAAAAAAAAOCABZQQAAAAAAAAAADwgAWUEAAAAAAAAAAABEBwBZQQAAAAAAAAAAAERHAFlBAAAAAAAAAAAARIBEQFlBAAAAAAAAAAAARMBEAFlBAAAAAAAAAAAARQBEgFlBAAAAAAAAAAAKDABZQQAAAAAAAAAAAEUARMBZQQAAAAAAAAAAAAAAAA=</t>
        </r>
      </text>
    </comment>
    <comment ref="A319" authorId="0" shapeId="0" xr:uid="{51E6D4EF-F9DC-454C-8FA1-945096C3D8F9}">
      <text>
        <r>
          <rPr>
            <sz val="9"/>
            <color indexed="81"/>
            <rFont val="MS P ゴシック"/>
            <family val="3"/>
            <charset val="128"/>
          </rPr>
          <t>Insight iXlW00001C0000319R0585476093S00000636P01760LAocjBAQBF1NjaVRlZ2ljLmRhdGEuTW9sZWN1bGUBbwF/ARJTY2lUZWdpYy5Nb2xlY3VsZQAAAQFkAv5qAQAAAAIAAgEXGAAAAPz8APwAAgAAAAAAAPC/AutztRX7ywdAAhTQRNjw9Oa/AAAAABwAAAD8/AD8AAIAAAAAAADwvwLkpZvEILD1vwLtL7snDwvpPwAAAAAYAAAA/PwA/AACAAAAAAAA8L8CbAn5oGezCMAC7S+7Jw8L6T8AAAAAGAAAAPz8APwAAgAAAAAAAPC/AhODwMqhxQHAAvaX3ZOHhfQ/AAAAABwAAAD8/AD8AAIAAAAAAADwvwLKw0Ktad4AQAJPQBNhw9PLvwAAAAAgAAAA/PwA/AACAAAAAAAA8L8CDCQofoy5DkACT0ATYcPTy78AAAAAGAAAAPz8APwAAgAAAAAAAPC/Ao25awn5oA/AAvaX3ZOHhfQ/AAAAACAAAAD8/AD8AAIAAAAAAADwvwLrc7UV+8sHQAIKaCJseHr7vwAAAAAYAAAA/PwA/AACAAAAAAAA8L8CM1UwKqnTEkACFNBE2PD05r8AAAAAGAAAAPz8APwAAgAAAAAAAPC/AuSlm8QgsPW/Ak9AE2HD08u/AAAAABgAAAD8/AD8AAIAAAAAAADwvwKIFtnO91PfvwL2l92Th4X0PwAAAAAkAAAA/PwA/AACAAAAAAAA8L8CjblrCfmgD8AC+8vuycNCAkAAAAAAGAAAAPz8APwAAgAAAAAAAPC/AlMnoImw4fM/AhTQRNjw9Oa/AAAAABgAAAD8/AD8AAIAAAAAAADwvwJ/arx0kxjYPwJPQBNhw9PLvwAAAAAYAAAA/PwA/AACAAAAAAAA8L8Cf2q8dJMY2D8C7S+7Jw8L6T8AAAAAGAAAAPz8APwAAgAAAAAAAPC/AogW2c73U9+/AhTQRNjw9Oa/AAAAABgAAAD8/AD8AAIAAAAAAADwvwJsCfmgZ7MIwAJPQBNhw9PLvwAAAAAYAAAA/PwA/AACAAAAAAAA8L8C1zTvOEVHE8AC7S+7Jw8L6T8AAAAAGAAAAPz8APwAAgAAAAAAAPC/AjNVMCqp0xRAAr7BFyZTBcM/AAAAABgAAAD8/AD8AAIAAAAAAADwvwJDrWnecUoWQAIKaCJseHrzvwAAAAAYAAAA/PwA/AACAAAAAAAA8L8CM1UwKqnTEEACTMgHPZtV+b8AAAAAGAAAAPz8APwAAgAAAAAAAPC/Ao25awn5oA/AAhTQRNjw9Oa/AAAAABgAAAD8/AD8AAIAAAAAAADwvwLXNO84RUcTwAJPQBNhw9PLvwAAAAABGAQkAWUEAAAAAAAAAAAIDAFlBAAAAAAAAAAADAQBZQQAAAAAAAAAABAAAWUEAAAAAAAAAAAUAAFlBAAAAAAAAAAAGAgBZQQAAAAAAAAAABwAAWUIAAAAAAAAAAAgFAFlBAAAAAAAAAAAJDwBZQQAAAAAAAAAACg4AWUEAAAAAAAAAAAsGAFlBAAAAAAAAAAAMBABZQQAAAAAAAAAADQwAWUEAAAAAAAAAAA4NAFlBAAAAAAAAAAAPDQBZQQAAAAAAAAAAAEQCAFlCAwAAAAAAAAAAREYAWUICAAAAAAAAAABEiABZQQAAAAAAAAAAAETIAFlBAAAAAAAAAAAARQgAWUEAAAAAAAAAAABFQEQAWUEAAAAAAAAAAABFgEVAWUICAAAAAAAAAAEKAFlBAAAAAAAAAAAARYBEQFlBAAAAAAAAAAAAAAAAA==</t>
        </r>
      </text>
    </comment>
    <comment ref="A320" authorId="0" shapeId="0" xr:uid="{63658DDF-AA35-449D-9E34-691DF04A6939}">
      <text>
        <r>
          <rPr>
            <sz val="9"/>
            <color indexed="81"/>
            <rFont val="MS P ゴシック"/>
            <family val="3"/>
            <charset val="128"/>
          </rPr>
          <t>Insight iXlW00001C0000320R0585476093S00000638P01832LAocjBAQBF1NjaVRlZ2ljLmRhdGEuTW9sZWN1bGUBbwF/ARJTY2lUZWdpYy5Nb2xlY3VsZQAAAQFkAv5qAQAAAAIAAgEYGAAAAPz8APwAAgAAAAAAAPC/AtV46SYxCAHAAibkg57NqvU/AAAAABwAAAD8/AD8AAIAAAAAAADwvwJpke18PzX0vwJMyAc9m1XrPwAAAAAYAAAA/PwA/AACAAAAAAAA8L8CYVRSJ6CJCEACtTf4wmSq5L8AAAAAGAAAAPz8APwAAgAAAAAAAPC/AvYoXI/C9QfAAkzIBz2bVes/AAAAABwAAAD8/AD8AAIAAAAAAADwvwIIzhlR2psBQALT3uALk6nCvwAAAAAgAAAA/PwA/AACAAAAAAAA8L8CggTFjzF3D0AC097gC5Opwr8AAAAAIAAAAPz8APwAAgAAAAAAAPC/AtV46SYxCAHAAhPyQc9m1QJAAAAAABgAAAD8/AD8AAIAAAAAAADwvwL2KFyPwvUHwALT3uALk6nCvwAAAAAYAAAA/PwA/AACAAAAAAAA8L8C+ORhodY09L8C097gC5Opwr8AAAAAGAAAAPz8APwAAgAAAAAAAPC/AtgS8kHPZtm/ArU3+MJkqvU/AAAAACAAAAD8/AD8AAIAAAAAAADwvwJhVFInoIkIQALbG3xhMlX6vwAAAAAYAAAA/PwA/AACAAAAAAAA8L8CUdobfGEyE0ACtTf4wmSq5L8AAAAAGAAAAPz8APwAAgAAAAAAAPC/AhfZzvdT4w7AArU3+MJkquS/AAAAABgAAAD8/AD8AAIAAAAAAADwvwLNO07RkVz1PwK1N/jCZKrkvwAAAAAYAAAA/PwA/AACAAAAAAAA8L8CL26jAbwF3j8Cam/whclU6z8AAAAAGAAAAPz8APwAAgAAAAAAAPC/AtgS8kHPZtm/ArU3+MJkquS/AAAAACQAAAD8/AD8AAIAAAAAAADwvwIX2c73U+MOwALbG3xhMlX6vwAAAAAYAAAA/PwA/AACAAAAAAAA8L8CL26jAbwF3j8C097gC5Opwr8AAAAAGAAAAPz8APwAAgAAAAAAAPC/AhfZzvdT4w7AAibkg57NqvU/AAAAABgAAAD8/AD8AAIAAAAAAADwvwKcxCCwcugSwAJMyAc9m1XrPwAAAAAYAAAA/PwA/AACAAAAAAAA8L8CUdobfGEyFUACOiNKe4MvzD8AAAAAGAAAAPz8APwAAgAAAAAAAPC/AmIyVTAqqRZAAtsbfGEyVfK/AAAAABgAAAD8/AD8AAIAAAAAAADwvwJR2ht8YTIRQAKNKO0NvjD4vwAAAAAYAAAA/PwA/AACAAAAAAAA8L8CnMQgsHLoEsAC097gC5Opwr8AAAAAARkEAAFlBAAAAAAAAAAACBABZQQAAAAAAAAAAAwAAWUEAAAAAAAAAAAQNAFlBAAAAAAAAAAAFAgBZQQAAAAAAAAAABgAAWUIAAAAAAAAAAAcDAFlBAAAAAAAAAAAIAQBZQQAAAAAAAAAACQEAWUEAAAAAAAAAAAoCAFlCAAAAAAAAAAALBQBZQQAAAAAAAAAADAcAWUIDAAAAAAAAAA0AREBZQQAAAAAAAAAADgkAWUEAAAAAAAAAAA8IAFlBAAAAAAAAAAAARAwAWUEAAAAAAAAAAABETgBZQQAAAAAAAAAAAESDAFlCAwAAAAAAAAAARMBEgFlBAAAAAAAAAAAARQsAWUEAAAAAAAAAAABFSwBZQQAAAAAAAAAAAEWLAFlBAAAAAAAAAAAARcBEwFlCAgAAAAAAAAAARcwAWUEAAAAAAAAAAA8AREBZQQAAAAAAAAAAAAAAAA=</t>
        </r>
      </text>
    </comment>
    <comment ref="A321" authorId="0" shapeId="0" xr:uid="{766EC3B5-E9F9-4E68-8AAF-E890172FE87A}">
      <text>
        <r>
          <rPr>
            <sz val="9"/>
            <color indexed="81"/>
            <rFont val="MS P ゴシック"/>
            <family val="3"/>
            <charset val="128"/>
          </rPr>
          <t>Insight iXlW00001C0000321R0585476093S00000640P01832LAocjBAQBF1NjaVRlZ2ljLmRhdGEuTW9sZWN1bGUBbwF/ARJTY2lUZWdpYy5Nb2xlY3VsZQAAAQFkAv5qAQAAAAIAAgEYGAAAAPz8APwAAgAAAAAAAPC/AmpN845TdADAAgAAAAAAAPU/AAAAABwAAAD8/AD8AAIAAAAAAADwvwKTOgFNhA3zvwIAAAAAAADqPwAAAAAYAAAA/PwA/AACAAAAAAAA8L8Ck6mCUUkdCUACAAAAAAAA5r8AAAAAGAAAAPz8APwAAgAAAAAAAPC/Aov9ZffkYQfAAgAAAAAAAOo/AAAAABwAAAD8/AD8AAIAAAAAAADwvwJz+Q/pty8CQAIAAAAAAADIvwAAAAAgAAAA/PwA/AACAAAAAAAA8L8C9pfdk4cFEEACAAAAAAAAyL8AAAAAIAAAAPz8APwAAgAAAAAAAPC/AmpN845TdADAAgAAAAAAgAJAAAAAABgAAAD8/AD8AAIAAAAAAADwvwKTOgFNhA3zvwIAAAAAAADIvwAAAAAYAAAA/PwA/AACAAAAAAAA8L8CRWlv8IXJ1L8CAAAAAAAA9T8AAAAAIAAAAPz8APwAAgAAAAAAAPC/ApOpglFJHQlAAgAAAAAAAPu/AAAAABgAAAD8/AD8AAIAAAAAAADwvwIH8BZIUHwTQAIAAAAAAADmvwAAAAAYAAAA/PwA/AACAAAAAAAA8L8CrK3YX3ZPDsACAAAAAAAA9T8AAAAAGAAAAPz8APwAAgAAAAAAAPC/Aov9ZffkYQfAAgAAAAAAAMi/AAAAABgAAAD8/AD8AAIAAAAAAADwvwLmriXkg54SwAIAAAAAAADIvwAAAAAYAAAA/PwA/AACAAAAAAAA8L8Co5I6AU2E9j8CAAAAAAAA5r8AAAAAGAAAAPz8APwAAgAAAAAAAPC/Aqyt2F92Tw7AAgAAAAAAAOa/AAAAABgAAAD8/AD8AAIAAAAAAADwvwLmriXkg54SwAIAAAAAAADqPwAAAAAYAAAA/PwA/AACAAAAAAAA8L8C4QuTqYJR4T8CAAAAAAAA6j8AAAAAGAAAAPz8APwAAgAAAAAAAPC/AkVpb/CFydS/AgAAAAAAAOa/AAAAACQAAAD8/AD8AAIAAAAAAADwvwIT8kHPZhUWwAIAAAAAAADmvwAAAAAYAAAA/PwA/AACAAAAAAAA8L8Cw2SqYFRS4T8CAAAAAAAAyL8AAAAAGAAAAPz8APwAAgAAAAAAAPC/AgfwFkhQfBVAAg0CK4cW2cY/AAAAABgAAAD8/AD8AAIAAAAAAADwvwIXSFD8GPMWQAIAAAAAAADzvwAAAAAYAAAA/PwA/AACAAAAAAAA8L8CB/AWSFB8EUACQmDl0CLb+L8AAAAAARkEAAFlBAAAAAAAAAAACBABZQQAAAAAAAAAAAwAAWUEAAAAAAAAAAAQOAFlBAAAAAAAAAAAFAgBZQQAAAAAAAAAABgAAWUIAAAAAAAAAAAcBAFlBAAAAAAAAAAAIAQBZQQAAAAAAAAAACQIAWUIAAAAAAAAAAAoFAFlBAAAAAAAAAAALAwBZQgMAAAAAAAAADAMAWUEAAAAAAAAAAA0PAFlBAAAAAAAAAAAOAEUAWUEAAAAAAAAAAA8MAFlCAgAAAAAAAAAARAsAWUEAAAAAAAAAAABESABZQQAAAAAAAAAAAESHAFlBAAAAAAAAAAAARM0AWUEAAAAAAAAAAABFAERAWUEAAAAAAAAAAABFSgBZQQAAAAAAAAAAAEWKAFlBAAAAAAAAAAAARcoAWUEAAAAAAAAAAA0ARABZQgIAAAAAAAAAAEUARIBZQQAAAAAAAAAAAAAAAA=</t>
        </r>
      </text>
    </comment>
    <comment ref="A322" authorId="0" shapeId="0" xr:uid="{CEFA52E7-16A6-47C4-8C18-34148417D941}">
      <text>
        <r>
          <rPr>
            <sz val="9"/>
            <color indexed="81"/>
            <rFont val="MS P ゴシック"/>
            <family val="3"/>
            <charset val="128"/>
          </rPr>
          <t>Insight iXlW00001C0000322R0585476093S00000642P01448LAocjBAQBF1NjaVRlZ2ljLmRhdGEuTW9sZWN1bGUBbwF/ARJTY2lUZWdpYy5Nb2xlY3VsZQAAAQFkAv5qAQAAAAIAAgETARAAAAD8/AD8AAIAAAAAAADwvwLu68A5I8oLwAIbL90kBoHhvwAAAAAcAAAA/PwA/AACAAAAAAAA8L8C7uvAOSPKA8ACGy/dJAaB4b8AAAAAGAAAAPz8APwAAgAAAAAAAPC/AhIUP8bcNQBAApXUCWgibNQ/AAAAACAAAAD8/AD8AAIAAAAAAADwvwL3deCcEeURwAIbL90kBoHhvwAAAAAgAAAA/PwA/AACAAAAAAAA8L8C7uvAOSPKC8ACy6FFtvP93D8AAAAAHAAAAPz8APwAAgAAAAAAAPC/AiQofoy5a/A/ApXUCWgibNQ/AAAAACAAAAD8/AD8AAIAAAAAAADwvwISFD/G3DUEQAJn1edqK/byPwAAAAAYAAAA/PwA/AACAAAAAAAA8L8C3NeBc0aU/78Cz/dT46Wb9r8AAAAAGAAAAPz8APwAAgAAAAAAAPC/AtzXgXNGlP+/AtEi2/l+atQ/AAAAACAAAAD8/AD8AAIAAAAAAADwvwISFD/G3DUEQAIbL90kBoHhvwAAAAAYAAAA/PwA/AACAAAAAAAA8L8CEhQ/xtw1DEACZ9Xnaiv28j8AAAAAGAAAAPz8APwAAgAAAAAAAPC/Au7rwDkjygvAAo6XbhKDwPi/AAAAABgAAAD8/AD8AAIAAAAAAADwvwJIUPwYc9fgPwIbL90kBoHhvwAAAAAYAAAA/PwA/AACAAAAAAAA8L8CuK8D54wo778C0SLb+X5q1D8AAAAAGAAAAPz8APwAAgAAAAAAAPC/ArivA+eMKO+/As/3U+Olm/a/AAAAABgAAAD8/AD8AAIAAAAAAADwvwJwXwfOGVHevwIbL90kBoHhvwAAAAAYAAAA/PwA/AACAAAAAAAA8L8CEhQ/xtw1DEACtOpztRV7AUAAAAAAGAAAAPz8APwAAgAAAAAAAPC/AgmKH2PuGhJAAmfV52or9vI/AAAAABgAAAD8/AD8AAIAAAAAAADwvwISFD/G3DUMQAI3qz5XW7HHPwAAAAABEwQAAWUEAAAAAAAAAAAIFAFlBAAAAAAAAAAADAABZQgAAAAAAAAAABAAAWUIAAAAAAAAAAAUMAFlBAAAAAAAAAAAGAgBZQQAAAAAAAAAABwEAWUEAAAAAAAAAAAgBAFlBAAAAAAAAAAAJAgBZQgAAAAAAAAAACgYAWUEAAAAAAAAAAAsAAFlBAAAAAAAAAAAMDwBZQQAAAAAAAAAADQgAWUEAAAAAAAAAAA4HAFlBAAAAAAAAAAAPDQBZQQAAAAAAAAAAAEQKAFlBAAAAAAAAAAAAREoAWUEAAAAAAAAAAABEigBZQQAAAAAAAAAADg8AWUEAAAAAAAAAAAAAAAA</t>
        </r>
      </text>
    </comment>
    <comment ref="A323" authorId="0" shapeId="0" xr:uid="{E757030F-619D-4EF8-AF5A-7CF8620B393D}">
      <text>
        <r>
          <rPr>
            <sz val="9"/>
            <color indexed="81"/>
            <rFont val="MS P ゴシック"/>
            <family val="3"/>
            <charset val="128"/>
          </rPr>
          <t>Insight iXlW00001C0000323R0585476093S00000644P01184LAocjBAQBF1NjaVRlZ2ljLmRhdGEuTW9sZWN1bGUBbwF/ARJTY2lUZWdpYy5Nb2xlY3VsZQAAAQFkAv5qAQAAAAIAAgEQHAAAAPz8APwAAgAAAAAAAPC/AnpYqDXNuwlAAQAAAAAYAAAA/PwA/AACAAAAAAAA8L8CINJvXwfOAkACAAAAAAAA4D8AAAAAGAAAAPz8APwAAgAAAAAAAPC/Av9D+u3rwPc/AQAAAAAYAAAA/PwA/AACAAAAAAAA8L8CescpOpLL4z8CAAAAAAAA4D8AAAAAHAAAAPz8APwAAgAAAAAAAPC/AnrHKTqSy+M/AgAAAAAAAOC/AAAAABgAAAD8/AD8AAIAAAAAAADwvwIm5IOezarPvwIAAAAAAADwvwAAAAAYAAAA/PwA/AACAAAAAAAA8L8COIlBYOXQ8b8CAAAAAAAA4L8AAAAAGAAAAPz8APwAAgAAAAAAAPC/AnnpJjEIrP+/AgAAAAAAAPC/AAAAABgAAAD8/AD8AAIAAAAAAADwvwLdJAaBlcMGwAIAAAAAAADgvwAAAAAgAAAA/PwA/AACAAAAAAAA8L8C3SQGgZXDBsACAAAAAAAA4D8AAAAAGAAAAPz8APwAAgAAAAAAAPC/AnnpJjEIrP+/AQAAAAAYAAAA/PwA/AACAAAAAAAA8L8COIlBYOXQ8b8CAAAAAAAA4D8AAAAAGAAAAPz8APwAAgAAAAAAAPC/Av9D+u3rwPc/AgAAAAAAAPC/AAAAABgAAAD8/AD8AAIAAAAAAADwvwIg0m9fB84CQAIAAAAAAADgvwAAAAABEQAAAPz8APwAAgAAAAAAAPC/AnBfB84ZERBAAt9xio7k8o+/AAAAAAERAAAA/PwA/AACAAAAAAAA8L8C/tR46SYxFEAC33GKjuTyjz8AAAAAPAAEAWUEAAAAAAAAAAAECAFlBAAAAAAAAAAACAwBZQQAAAAAAAAAAAwQAWUEAAAAAAAAAAAQFAFlBAAAAAAAAAAAFBgBZQQAAAAAAAAAABgcAWUEAAAAAAAAAAAcIAFlBAAAAAAAAAAAICQBZQQAAAAAAAAAACQoAWUEAAAAAAAAAAAoLAFlBAAAAAAAAAAALBgBZQQAAAAAAAAAABAwAWUEAAAAAAAAAAAwNAFlBAAAAAAAAAAANAQBZQQAAAAAAAAAAAAAAAA=</t>
        </r>
      </text>
    </comment>
    <comment ref="A324" authorId="0" shapeId="0" xr:uid="{D930A9F5-1409-4261-8F6E-310C283FCBCB}">
      <text>
        <r>
          <rPr>
            <sz val="9"/>
            <color indexed="81"/>
            <rFont val="MS P ゴシック"/>
            <family val="3"/>
            <charset val="128"/>
          </rPr>
          <t>Insight iXlW00001C0000324R0585476093S00000646P01160LAocjBAQBF1NjaVRlZ2ljLmRhdGEuTW9sZWN1bGUBbwF/ARJTY2lUZWdpYy5Nb2xlY3VsZQAAAQFkAv5qAQAAAAIBAjwcAAAA/PwA/AACAAAAAAAA8L8CVp+rrdhfCEACg8DKoUW28r8AAAAAGAAAAPz8APwAAgAAAAAAAPC/Av0Yc9cScgFAAgaBlUOLbOW/AAAAABgAAAD8/AD8AAIAAAAAAADwvwL9GHPXEnIBQAL0/dR46SbVPwAAAAAYAAAA/PwA/AACAAAAAAAA8L8Ct9EA3gIJ9T8C+n5qvHST6j8AAAAAHAAAAPz8APwAAgAAAAAAAPC/AtfFbTSAt9w/AvT91HjpJtU/AAAAABgAAAD8/AD8AAIAAAAAAADwvwLXxW00gLfcPwIGgZVDi2zlvwAAAAAYAAAA/PwA/AACAAAAAAAA8L8Ct9EA3gIJ9T8Cg8DKoUW28r8AAAAAGAAAAPz8APwAAgAAAAAAAPC/AjC7Jw8Ltdq/Avp+arx0k+o/AAAAACAAAAD8/AD8AAIAAAAAAADwvwIwuycPC7XavwJ9PzVeukn9PwAAAAAYCAAA/PwA/AACAAAAAAAA8L8Cf/s6cM6I9L8C9P3UeOkm1T8AAAAAGAAAAPz8APwAAgAAAAAAAPC/Avp+arx0kwHAAvSOU3Qkl+c/AAAAABgAAAD8/AD8AAIAAAAAAADwvwJahjjWxe0GwAL6fmq8dJN4vwAAAAAYAAAA/PwA/AACAAAAAAAA8L8CIbByaJHtAsACgZVDi2zn678AAAAAIAAAAPz8APwAAgAAAAAAAPC/AvjkYaHWNPa/AnNoke18P+W/AAAAAAERAAAA/PwA/AACAAAAAAAA8L8CvAUSFD/GDkAC9P3UeOkm1T8AAAAAPAAEAWUEAAAAAAAAAAAECAFlBAAAAAAAAAAACAwBZQQAAAAAAAAAAAwQAWUEAAAAAAAAAAAQFAFlBAAAAAAAAAAAFBgBZQQAAAAAAAAAABgEAWUEAAAAAAAAAAAQHAFlBAAAAAAAAAAAHCABZQgAAAAAAAAAACQcAWUEFAAAAAAAAAAkKAFlBAAAAAAAAAAAKCwBZQQAAAAAAAAAACwwAWUEAAAAAAAAAAAwNAFlBAAAAAAAAAAANCQBZQQAAAAAAAAAAAAAAAA=</t>
        </r>
      </text>
    </comment>
    <comment ref="A325" authorId="0" shapeId="0" xr:uid="{35E43965-568C-4506-808A-685C72817A7D}">
      <text>
        <r>
          <rPr>
            <sz val="9"/>
            <color indexed="81"/>
            <rFont val="MS P ゴシック"/>
            <family val="3"/>
            <charset val="128"/>
          </rPr>
          <t>Insight iXlW00001C0000325R0585476093S00000648P01160LAocjBAQBF1NjaVRlZ2ljLmRhdGEuTW9sZWN1bGUBbwF/ARJTY2lUZWdpYy5Nb2xlY3VsZQAAAQFkAv5qAQAAAAIBAjwcAAAA/PwA/AACAAAAAAAA8L8CVp+rrdhfCEACg8DKoUW28r8AAAAAGAAAAPz8APwAAgAAAAAAAPC/Av0Yc9cScgFAAgaBlUOLbOW/AAAAABgAAAD8/AD8AAIAAAAAAADwvwL9GHPXEnIBQAL0/dR46SbVPwAAAAAYAAAA/PwA/AACAAAAAAAA8L8Ct9EA3gIJ9T8C+n5qvHST6j8AAAAAHAAAAPz8APwAAgAAAAAAAPC/AtfFbTSAt9w/AvT91HjpJtU/AAAAABgAAAD8/AD8AAIAAAAAAADwvwLXxW00gLfcPwIGgZVDi2zlvwAAAAAYAAAA/PwA/AACAAAAAAAA8L8Ct9EA3gIJ9T8Cg8DKoUW28r8AAAAAGAAAAPz8APwAAgAAAAAAAPC/AjC7Jw8Ltdq/Avp+arx0k+o/AAAAACAAAAD8/AD8AAIAAAAAAADwvwIwuycPC7XavwJ9PzVeukn9PwAAAAAYDAAA/PwA/AACAAAAAAAA8L8Cf/s6cM6I9L8C9P3UeOkm1T8AAAAAGAAAAPz8APwAAgAAAAAAAPC/Avp+arx0kwHAAvSOU3Qkl+c/AAAAABgAAAD8/AD8AAIAAAAAAADwvwJahjjWxe0GwAL6fmq8dJN4vwAAAAAYAAAA/PwA/AACAAAAAAAA8L8CIbByaJHtAsACgZVDi2zn678AAAAAIAAAAPz8APwAAgAAAAAAAPC/AvjkYaHWNPa/AnNoke18P+W/AAAAAAERAAAA/PwA/AACAAAAAAAA8L8CvAUSFD/GDkAC9P3UeOkm1T8AAAAAPAAEAWUEAAAAAAAAAAAECAFlBAAAAAAAAAAACAwBZQQAAAAAAAAAAAwQAWUEAAAAAAAAAAAQFAFlBAAAAAAAAAAAFBgBZQQAAAAAAAAAABgEAWUEAAAAAAAAAAAQHAFlBAAAAAAAAAAAHCABZQgAAAAAAAAAACQcAWUEEAAAAAAAAAAkKAFlBAAAAAAAAAAAKCwBZQQAAAAAAAAAACwwAWUEAAAAAAAAAAAwNAFlBAAAAAAAAAAANCQBZQQAAAAAAAAAAAAAAAA=</t>
        </r>
      </text>
    </comment>
    <comment ref="A326" authorId="0" shapeId="0" xr:uid="{1950B1DE-F4FD-4613-9C86-1307C0189601}">
      <text>
        <r>
          <rPr>
            <sz val="9"/>
            <color indexed="81"/>
            <rFont val="MS P ゴシック"/>
            <family val="3"/>
            <charset val="128"/>
          </rPr>
          <t>Insight iXlW00001C0000326R0585476093S00000650P01160LAocjBAQBF1NjaVRlZ2ljLmRhdGEuTW9sZWN1bGUBbwF/ARJTY2lUZWdpYy5Nb2xlY3VsZQAAAQFkAv5qAQAAAAIAAjwcAAAA/PwA/AACAAAAAAAA8L8CHcnlP6RfCEACg8DKoUW28r8AAAAAGAAAAPz8APwAAgAAAAAAAPC/Av0Yc9cScgFAAgaBlUOLbOW/AAAAABgAAAD8/AD8AAIAAAAAAADwvwL9GHPXEnIBQAIwTKYKRiXVPwAAAAAYAAAA/PwA/AACAAAAAAAA8L8Ct9EA3gIJ9T8CGCZTBaOS6j8AAAAAHAAAAPz8APwAAgAAAAAAAPC/AtfFbTSAt9w/AvT91HjpJtU/AAAAABgAAAD8/AD8AAIAAAAAAADwvwLXxW00gLfcPwIGgZVDi2zlvwAAAAAYAAAA/PwA/AACAAAAAAAA8L8Ct9EA3gIJ9T8Cg8DKoUW28r8AAAAAGAAAAPz8APwAAgAAAAAAAPC/AvRsVn2uttq/Avp+arx0k+o/AAAAACAAAAD8/AD8AAIAAAAAAADwvwL0bFZ9rrbavwJ9PzVeukn9PwAAAAAcAAAA/PwA/AACAAAAAAAA8L8Cf/s6cM6I9L8C9P3UeOkm1T8AAAAAGAAAAPz8APwAAgAAAAAAAPC/AsKopE5AkwHAAvSOU3Qkl+c/AAAAABgAAAD8/AD8AAIAAAAAAADwvwIhsHJoke0GwALtDb4wmSp4vwAAAAAYAAAA/PwA/AACAAAAAAAA8L8CIbByaJHtAsACnzws1Jrm678AAAAAGAAAAPz8APwAAgAAAAAAAPC/AvjkYaHWNPa/AnNoke18P+W/AAAAAAERAAAA/PwA/AACAAAAAAAA8L8ChC9MpgrGDkAC9P3UeOkm1T8AAAAAPAAEAWUEAAAAAAAAAAAECAFlBAAAAAAAAAAACAwBZQQAAAAAAAAAAAwQAWUEAAAAAAAAAAAQFAFlBAAAAAAAAAAAFBgBZQQAAAAAAAAAABgEAWUEAAAAAAAAAAAQHAFlBAAAAAAAAAAAHCABZQgAAAAAAAAAABwkAWUEAAAAAAAAAAAkKAFlBAAAAAAAAAAAKCwBZQQAAAAAAAAAACwwAWUEAAAAAAAAAAAwNAFlBAAAAAAAAAAANCQBZQQAAAAAAAAAAAAAAAA=</t>
        </r>
      </text>
    </comment>
    <comment ref="A327" authorId="0" shapeId="0" xr:uid="{74C472CD-42EA-4C4F-BEB5-DE798D3199E1}">
      <text>
        <r>
          <rPr>
            <sz val="9"/>
            <color indexed="81"/>
            <rFont val="MS P ゴシック"/>
            <family val="3"/>
            <charset val="128"/>
          </rPr>
          <t>Insight iXlW00001C0000327R0585476093S00000652P01004LAocjBAQBF1NjaVRlZ2ljLmRhdGEuTW9sZWN1bGUBbwF/ARJTY2lUZWdpYy5Nb2xlY3VsZQAAAQFkAv5qAQAAAAIBAjQcAAAA/PwA/AACAAAAAAAA8L8CTvOOU3QkBkACDeAtkKD4wb8AAAAAGAgAAPz8APwAAgAAAAAAAPC/Av72deCcEf0/Ak2EDU+vlMU/AAAAABgAAAD8/AD8AAIAAAAAAADwvwIB3gIJih/4PwIooImw4enxPwAAAAAYAAAA/PwA/AACAAAAAAAA8L8CArwFEhQ/4D8CKKCJsOHp8T8AAAAAHAAAAPz8APwAAgAAAAAAAPC/AjXvOEVHcsk/Ak2EDU+vlMU/AAAAABgAAAD8/AD8AAIAAAAAAADwvwIB3gIJih/wPwLA7J48LNTavwAAAAAYAAAA/PwA/AACAAAAAAAA8L8CUfwYc9cS6L8ClkOLbOf7wb8AAAAAGAAAAPz8APwAAgAAAAAAAPC/ArTqc7UV+/i/AhwN4C2QoNw/AAAAABgAAAD8/AD8AAIAAAAAAADwvwKgq63YX/YCwAKWQ4ts5/vBvwAAAAAYAAAA/PwA/AACAAAAAAAA8L8CWvW52op9AMACEVg5tMh28b8AAAAAGAAAAPz8APwAAgAAAAAAAPC/ArTqc7UV+/C/AhFYObTIdvG/AAAAAAERAAAA/PwA/AACAAAAAAAA8L8CtFn1udqKDEAC+n5qvHSTWL8AAAAAAREAAAD8/AD8AAIAAAAAAADwvwJoImx4emUSQALvycNCrWmePwAAAAAwBAABZQQUAAAAAAAAAAQIAWUEAAAAAAAAAAAIDAFlBAAAAAAAAAAADBABZQQAAAAAAAAAABAUAWUEAAAAAAAAAAAUBAFlBAAAAAAAAAAAEBgBZQQAAAAAAAAAABgcAWUEAAAAAAAAAAAcIAFlBAAAAAAAAAAAICQBZQQAAAAAAAAAACQoAWUEAAAAAAAAAAAoGAFlBAAAAAAAAAAAAAAAAA==</t>
        </r>
      </text>
    </comment>
    <comment ref="A328" authorId="0" shapeId="0" xr:uid="{C177FAF7-F85D-4886-8196-A3B4DCF53E6F}">
      <text>
        <r>
          <rPr>
            <sz val="9"/>
            <color indexed="81"/>
            <rFont val="MS P ゴシック"/>
            <family val="3"/>
            <charset val="128"/>
          </rPr>
          <t>Insight iXlW00001C0000328R0585476093S00000654P01004LAocjBAQBF1NjaVRlZ2ljLmRhdGEuTW9sZWN1bGUBbwF/ARJTY2lUZWdpYy5Nb2xlY3VsZQAAAQFkAv5qAQAAAAIBAjQcAAAA/PwA/AACAAAAAAAA8L8CcayL22gAAkACX5hMFYxK878AAAAAGAgAAPz8APwAAgAAAAAAAPC/AintDb4wmfo/Aov9ZffkYdm/AAAAABgAAAD8/AD8AAIAAAAAAADwvwIlBoGVQ4v/PwJ24JwRpb3hPwAAAAAYAAAA/PwA/AACAAAAAAAA8L8CKe0NvjCZ8j8C9dvXgXNG8j8AAAAAHAAAAPz8APwAAgAAAAAAAPC/Ajq0yHa+n9Y/AnbgnBGlveE/AAAAABgAAAD8/AD8AAIAAAAAAADwvwIB3gIJih/jvwKNuWsJ+aDrPwAAAAAYAAAA/PwA/AACAAAAAAAA8L8CiPTb14Fz9b8CO3DOiNLeyD8AAAAAGAAAAPz8APwAAgAAAAAAAPC/Au7rwDkjSva/ApSHhVrTvOm/AAAAABgAAAD8/AD8AAIAAAAAAADwvwLgvg6cMyIDwAKq8dJNYhDovwAAAAAYAAAA/PwA/AACAAAAAAAA8L8CZRniWBe3AsAC48eYu5aQzz8AAAAAGAAAAPz8APwAAgAAAAAAAPC/AlHaG3xhMuU/Aov9ZffkYdm/AAAAAAERAAAA/PwA/AACAAAAAAAA8L8C2BLyQc9mCEACD5wzorQ3qL8AAAAAAREAAAD8/AD8AAIAAAAAAADwvwL6fmq8dFMQQAI/xty1hHyQvwAAAAAwBAABZQQUAAAAAAAAAAQIAWUEAAAAAAAAAAAIDAFlBAAAAAAAAAAADBABZQQAAAAAAAAAABAUAWUEAAAAAAAAAAAUGAFlBAAAAAAAAAAAGBwBZQQAAAAAAAAAABwgAWUEAAAAAAAAAAAgJAFlBAAAAAAAAAAAJBgBZQQAAAAAAAAAABAoAWUEAAAAAAAAAAAoBAFlBAAAAAAAAAAAAAAAAA==</t>
        </r>
      </text>
    </comment>
    <comment ref="A329" authorId="0" shapeId="0" xr:uid="{E08BF8A3-1D5F-4716-AE2E-19DB88B16F87}">
      <text>
        <r>
          <rPr>
            <sz val="9"/>
            <color indexed="81"/>
            <rFont val="MS P ゴシック"/>
            <family val="3"/>
            <charset val="128"/>
          </rPr>
          <t>Insight iXlW00001C0000329R0585476093S00000656P01160LAocjBAQBF1NjaVRlZ2ljLmRhdGEuTW9sZWN1bGUBbwF/ARJTY2lUZWdpYy5Nb2xlY3VsZQAAAQFkAv5qAQAAAAIBAjwYAAAA/PwA/AACAAAAAAAA8L8C0ETY8PRK7b8CnoAmwoanp78AAAAAHAAAAPz8APwAAgAAAAAAAPC/AiNseHqlLANAAru4jQbwFtQ/AAAAABwAAAD8/AD8AAIAAAAAAADwvwJ8gy9MpgrGvwJ0tRX7y+7jPwAAAAAgAAAA/PwA/AACAAAAAAAA8L8CBhIUP8bc/b8CGuJYF7fR0D8AAAAAIAAAAPz8APwAAgAAAAAAAPC/AqRwPQrXo+a/Ak+vlGWIY/C/AAAAABgIAAD8/AD8AAIAAAAAAADwvwJd/kP67evoPwK7uI0G8BbUPwAAAAAYAAAA/PwA/AACAAAAAAAA8L8C/yH99nXgBMAC4lgXt9EA2r8AAAAAGAAAAPz8APwAAgAAAAAAAPC/AisYldQJaPk/AtGzWfW52uw/AAAAABgAAAD8/AD8AAIAAAAAAADwvwK6awn5oGfxPwLAWyBB8WPkvwAAAAAYAAAA/PwA/AACAAAAAAAA8L8CFoxK6gS0AEAC3gIJih9j5L8AAAAAGAAAAPz8APwAAgAAAAAAAPC/Aio6kst/yApAAnS1FfvL7uM/AAAAABgAAAD8/AD8AAIAAAAAAADwvwJANV66SQz/vwLAWyBB8WPyvwAAAAAYAAAA/PwA/AACAAAAAAAA8L8Cw2SqYFTSCsAC+ORhodY08b8AAAAAGAAAAPz8APwAAgAAAAAAAPC/Al8pyxDHOgrAAgFvgQTFj9U/AAAAABgAAAD8/AD8AAIAAAAAAADwvwI17zhFR3IMQAIEVg4tsp35PwAAAAA8BBwBZQQAAAAAAAAAAAgAAWUEAAAAAAAAAAAMAAFlBAAAAAAAAAAAEAABZQgAAAAAAAAAABQIAWUEEAAAAAAAAAAYDAFlBAAAAAAAAAAAHBQBZQQAAAAAAAAAACAUAWUEAAAAAAAAAAAkIAFlBAAAAAAAAAAAKAQBZQQAAAAAAAAAACwYAWUEAAAAAAAAAAAwGAFlBAAAAAAAAAAANBgBZQQAAAAAAAAAADgoAWUEAAAAAAAAAAAkBAFlBAAAAAAAAAAAAAAAAA==</t>
        </r>
      </text>
    </comment>
    <comment ref="A330" authorId="0" shapeId="0" xr:uid="{ED7ABF88-4ADA-4539-865E-5480DA9C64EE}">
      <text>
        <r>
          <rPr>
            <sz val="9"/>
            <color indexed="81"/>
            <rFont val="MS P ゴシック"/>
            <family val="3"/>
            <charset val="128"/>
          </rPr>
          <t>Insight iXlW00001C0000330R0585476093S00000658P01540LAocjBAQBF1NjaVRlZ2ljLmRhdGEuTW9sZWN1bGUBbwF/ARJTY2lUZWdpYy5Nb2xlY3VsZQAAAQFkAv5qAQAAAAIBAgEUGAAAAPz8APwAAgAAAAAAAPC/AnPXEvJBTwBAAp7vp8ZLN+c/AAAAABwAAAD8/AD8AAIAAAAAAADwvwLOO07RkVzsvwJDrWnecYrGvwAAAAAcAAAA/PwA/AACAAAAAAAA8L8CW0I+6Nms8z8CiWNd3EYD9T8AAAAAIAAAAPz8APwAAgAAAAAAAPC/AnUCmggbngdAAsx/SL99HfI/AAAAACAAAAD8/AD8AAIAAAAAAADwvwJuxf6ye/L+PwKe76fGSzfRvwAAAAAYCAAA/PwA/AACAAAAAAAA8L8Cl/+Qfvs61D8CGLfRAN4C7T8AAAAAGAAAAPz8APwAAgAAAAAAAPC/AvtcbcX+srs/AvjCZKpgVLK/AAAAABgAAAD8/AD8AAIAAAAAAADwvwL0jlN0JBcOQAIkKH6MuWvhPwAAAAAYAAAA/PwA/AACAAAAAAAA8L8C5x2n6Egu9r8C6pWyDHGs8L8AAAAAGAAAAPz8APwAAgAAAAAAAPC/ArhAguLHmOG/AozbaABvgfY/AAAAABgAAAD8/AD8AAIAAAAAAADwvwLkpZvEILD0vwK4QILix5jnPwAAAAAgAAAA/PwA/AACAAAAAAAA8L8CescpOpKLEcAC6pWyDHGs8L8AAAAAGAAAAPz8APwAAgAAAAAAAPC/AvSOU3QkFwPAAuqVsgxxrPC/AAAAABgAAAD8/AD8AAIAAAAAAADwvwL0jlN0JBcPwAIs9pfdk4f+vwAAAAAYAAAA/PwA/AACAAAAAAAA8L8C9I5TdCQXD8ACQ61p3nGKxr8AAAAAGAAAAPz8APwAAgAAAAAAAPC/AmgibHh6ZRFAAp6AJsKGp/U/AAAAABgAAAD8/AD8AAIAAAAAAADwvwKdoiO5/EcSQALx9EpZhjimvwAAAAAYAAAA/PwA/AACAAAAAAAA8L8CF9nO91NjCUAC5WGh1jTv0L8AAAAAGAAAAPz8APwAAgAAAAAAAPC/AvSOU3QkFwfAAiz2l92Th/6/AAAAABgAAAD8/AD8AAIAAAAAAADwvwL0jlN0JBcHwAJDrWnecYrGvwAAAAABFQQYAWUEAAAAAAAAAAAIAAFlBAAAAAAAAAAADAABZQQAAAAAAAAAABAAAWUIAAAAAAAAAAAUCAFlBBAAAAAAAAAAGBQBZQQAAAAAAAAAABwMAWUEAAAAAAAAAAAgBAFlBAAAAAAAAAAAJBQBZQQAAAAAAAAAACgkAWUEAAAAAAAAAAAsOAFlBAAAAAAAAAAAMCABZQQAAAAAAAAAADQBEgFlBAAAAAAAAAAAOAETAWUEAAAAAAAAAAA8HAFlBAAAAAAAAAAAARAcAWUEAAAAAAAAAAABERwBZQQAAAAAAAAAAAESMAFlBAAAAAAAAAAAARMwAWUEAAAAAAAAAAAoBAFlBAAAAAAAAAAALDQBZQQAAAAAAAAAAAAAAAA=</t>
        </r>
      </text>
    </comment>
    <comment ref="A331" authorId="0" shapeId="0" xr:uid="{18C9D9CE-FB3B-47F5-90A0-92869C90758C}">
      <text>
        <r>
          <rPr>
            <sz val="9"/>
            <color indexed="81"/>
            <rFont val="MS P ゴシック"/>
            <family val="3"/>
            <charset val="128"/>
          </rPr>
          <t>Insight iXlW00001C0000331R0585476093S00000660P00772LAocjBAQBF1NjaVRlZ2ljLmRhdGEuTW9sZWN1bGUBbwF/ARJTY2lUZWdpYy5Nb2xlY3VsZQAAAQFkAv5qAQAAAAIBAigYAAAA/PwA/AACAAAAAAAA8L8CWmQ730+N+z8C78nDQq1p8z8AAAAAGAAAAPz8APwAAgAAAAAAAPC/AtNNYhBYOfg/Ap0Rpb3BF84/AAAAABwAAAD8/AD8AAIAAAAAAADwvwJrvHSTGATiPwJ7pSxDHOuyvwAAAAAYAAAA/PwA/AACAAAAAAAA8L8CqMZLN4lB0D8C9rnaiv1l8L8AAAAAGAAAAPz8APwAAgAAAAAAAPC/AqwcWmQ73+e/Ava52or9ZfC/AAAAABgIAAD8/AD8AAIAAAAAAADwvwLiehSuR+HwvwJ7pSxDHOuyvwAAAAAcAAAA/PwA/AACAAAAAAAA8L8CeAskKH4MAMACJnUCmggbzj8AAAAAGAAAAPz8APwAAgAAAAAAAPC/AigPC7Wmec+/AsRCrWneceA/AAAAAAERAAAA/PwA/AACAAAAAAAA8L8ClBgEVg4tBEACkDF3LSEftD8AAAAAAREAAAD8/AD8AAIAAAAAAADwvwKwA+eMKG0MQAIIzhlR2hu8PwAAAAAgAAQBZQQAAAAAAAAAAAQIAWUEAAAAAAAAAAAIDAFlBAAAAAAAAAAADBABZQQAAAAAAAAAABAUAWUEAAAAAAAAAAAUGAFlBBAAAAAAAAAAFBwBZQQAAAAAAAAAABwIAWUEAAAAAAAAAAAAAAAA</t>
        </r>
      </text>
    </comment>
    <comment ref="A332" authorId="0" shapeId="0" xr:uid="{FEDF892F-5B11-408F-9545-3E31444F2960}">
      <text>
        <r>
          <rPr>
            <sz val="9"/>
            <color indexed="81"/>
            <rFont val="MS P ゴシック"/>
            <family val="3"/>
            <charset val="128"/>
          </rPr>
          <t>Insight iXlW00001C0000332R0585476093S00000662P01072LAocjBAQBF1NjaVRlZ2ljLmRhdGEuTW9sZWN1bGUBbwF/ARJTY2lUZWdpYy5Nb2xlY3VsZQAAAQFkAv5qAQAAAAIBAjgcAAAA/PwA/AACAAAAAAAA8L8CduCcEaW9BkACUwWjkjoB9r8AAAAAGAwAAPz8APwAAgAAAAAAAPC/AqtgVFInoP8/AqcKRiV1Auy/AAAAABgAAAD8/AD8AAIAAAAAAADwvwIydy0hH/T9PwIy5q4l5IO+PwAAAAAYAAAA/PwA/AACAAAAAAAA8L8C7Z48LNSa7D8C5WGh1jTv1D8AAAAAHAAAAPz8APwAAgAAAAAAAPC/Ap7vp8ZLN9k/ApEPejarPuG/AAAAABgAAAD8/AD8AAIAAAAAAADwvwKe76fGSzfjvwJlO99PjZfkvwAAAAAYAAAA/PwA/AACAAAAAAAA8L8CiWNd3EYD878CyXa+nxovxT8AAAAAGAAAAPz8APwAAgAAAAAAAPC/Avvt68A5I+y/AuhqK/aX3fE/AAAAABgAAAD8/AD8AAIAAAAAAADwvwKJY13cRgP7vwIxKqkT0ET7PwAAAAAYAAAA/PwA/AACAAAAAAAA8L8CCmgibHj6A8AC6Gor9pfd8T8AAAAAGAAAAPz8APwAAgAAAAAAAPC/AsSxLm6jgQHAAsl2vp8aL8U/AAAAABgAAAD8/AD8AAIAAAAAAADwvwI1XrpJDALxPwJQjZduEoP0vwAAAAABEQAAAPz8APwAAgAAAAAAAPC/At1GA3gLJA1AAlfsL7snD8M/AAAAAAERAAAA/PwA/AACAAAAAAAA8L8C/Rhz1xKyEkACkzoBTYQNxz8AAAAANAQAAWUEEAAAAAAAAAAECAFlBAAAAAAAAAAACAwBZQQAAAAAAAAAAAwQAWUEAAAAAAAAAAAQFAFlBAAAAAAAAAAAFBgBZQQAAAAAAAAAABgcAWUEAAAAAAAAAAAcIAFlBAAAAAAAAAAAICQBZQQAAAAAAAAAACQoAWUEAAAAAAAAAAAoGAFlBAAAAAAAAAAAECwBZQQAAAAAAAAAACwEAWUEAAAAAAAAAAAAAAAA</t>
        </r>
      </text>
    </comment>
    <comment ref="A333" authorId="0" shapeId="0" xr:uid="{D3D84F40-F669-4659-83BB-9D1EE5D4F61A}">
      <text>
        <r>
          <rPr>
            <sz val="9"/>
            <color indexed="81"/>
            <rFont val="MS P ゴシック"/>
            <family val="3"/>
            <charset val="128"/>
          </rPr>
          <t>Insight iXlW00001C0000333R0585476093S00000664P01144LAocjBAQBF1NjaVRlZ2ljLmRhdGEuTW9sZWN1bGUBbwF/ARJTY2lUZWdpYy5Nb2xlY3VsZQAAAQFkAv5qAQAAAAIBAjwcAAAA/PwA/AACAAAAAAAA8L8CwFsgQfHjCkACC7Wmeccpwr8AAAAAGAwAAPz8APwAAgAAAAAAAPC/AuVhodY07wJAAvAWSFD8GKO/AAAAABgAAAD8/AD8AAIAAAAAAADwvwLKw0Ktad79PwIUP8bctYTqPwAAAAAYAAAA/PwA/AACAAAAAAAA8L8CHjhnRGlv7D8CBhIUP8bc4z8AAAAAHAAAAPz8APwAAgAAAAAAAPC/Ag6+MJkqGOk/Agr5oGez6te/AAAAABgAAAD8/AD8AAIAAAAAAADwvwK62or9Zfe0vwKFfNCzWfXrvwAAAAAYAAAA/PwA/AACAAAAAAAA8L8C2xt8YTJV7r8CCvmgZ7Pq178AAAAAGAAAAPz8APwAAgAAAAAAAPC/Ai9uowG8Bf2/AoV80LNZ9eu/AAAAABgAAAD8/AD8AAIAAAAAAADwvwI4Z0Rpb3AFwAIK+aBns+rXvwAAAAAgAAAA/PwA/AACAAAAAAAA8L8COGdEaW9wBcACfIMvTKYK5D8AAAAAGAAAAPz8APwAAgAAAAAAAPC/Ai9uowG8Bf2/Ar7BFyZTBfI/AAAAABgAAAD8/AD8AAIAAAAAAADwvwLbG3xhMlXuvwJ8gy9MpgrkPwAAAAAYAAAA/PwA/AACAAAAAAAA8L8Cmggbnl4p+z8CYeXQItv56L8AAAAAAREAAAD8/AD8AAIAAAAAAADwvwITYcPTK6UQQAKfzarP1Va8PwAAAAABEQAAAPz8APwAAgAAAAAAAPC/AqLWNO84xRRAAgu1pnnHKcI/AAAAADgEAAFlBBAAAAAAAAAABAgBZQQAAAAAAAAAAAgMAWUEAAAAAAAAAAAMEAFlBAAAAAAAAAAAEBQBZQQAAAAAAAAAABQYAWUEAAAAAAAAAAAYHAFlBAAAAAAAAAAAHCABZQQAAAAAAAAAACAkAWUEAAAAAAAAAAAkKAFlBAAAAAAAAAAAKCwBZQQAAAAAAAAAACwYAWUEAAAAAAAAAAAQMAFlBAAAAAAAAAAAMAQBZQQAAAAAAAAAAAAAAAA=</t>
        </r>
      </text>
    </comment>
    <comment ref="A334" authorId="0" shapeId="0" xr:uid="{D8A7DFBF-5399-4F50-9716-B1668B530672}">
      <text>
        <r>
          <rPr>
            <sz val="9"/>
            <color indexed="81"/>
            <rFont val="MS P ゴシック"/>
            <family val="3"/>
            <charset val="128"/>
          </rPr>
          <t>Insight iXlW00001C0000334R0585476093S00000666P01020LAocjBAQBF1NjaVRlZ2ljLmRhdGEuTW9sZWN1bGUBbwF/ARJTY2lUZWdpYy5Nb2xlY3VsZQAAAQFkAv5qAQAAAAIBAjQcAAAA/PwA/AACAAAAAAAA8L8CmSoYldSJAkACyeU/pN++9b8AAAAAGAwAAPz8APwAAgAAAAAAAPC/AuqVsgxxrPs/AnzysFBrmuG/AAAAABgAAAD8/AD8AAIAAAAAAADwvwI7AU2EDU8AQAKA2T15WKjZPwAAAAAYAAAA/PwA/AACAAAAAAAA8L8CeekmMQis8z8CM8SxLm6j7z8AAAAAHAAAAPz8APwAAgAAAAAAAPC/AnulLEMc69o/AoDZPXlYqNk/AAAAABgAAAD8/AD8AAIAAAAAAADwvwLy0k1iEFjnPwJ88rBQa5rhvwAAAAAYAAAA/PwA/AACAAAAAAAA8L8CYOXQItv54L8C18VtNIC35j8AAAAAIAAAAPz8APwAAgAAAAAAAPC/Ao25awn5oOe/AqcKRiV1Avs/AAAAABgAAAD8/AD8AAIAAAAAAADwvwI4+MJkqmD0vwKIhVrTvOOkPwAAAAAYAAAA/PwA/AACAAAAAAAA8L8CLUMc6+I29b8CS3uDL0ym7r8AAAAAGAAAAPz8APwAAgAAAAAAAPC/ArhAguLHmALAAmHl0CLb+ey/AAAAABgAAAD8/AD8AAIAAAAAAADwvwIFxY8xdy0CwAIkufyH9Nu3PwAAAAABEQAAAPz8APwAAgAAAAAAAPC/AgCRfvs68AhAAnWTGARWDsU/AAAAADQEAAFlBBAAAAAAAAAABAgBZQQAAAAAAAAAAAgMAWUEAAAAAAAAAAAMEAFlBAAAAAAAAAAAEBQBZQQAAAAAAAAAABQEAWUEAAAAAAAAAAAQGAFlBAAAAAAAAAAAGBwBZQgAAAAAAAAAABggAWUEAAAAAAAAAAAgJAFlBAAAAAAAAAAAJCgBZQQAAAAAAAAAACgsAWUEAAAAAAAAAAAsIAFlBAAAAAAAAAAAAAAAAA==</t>
        </r>
      </text>
    </comment>
    <comment ref="A335" authorId="0" shapeId="0" xr:uid="{63F8FAAF-7362-432D-BF14-0CFC6FDB7300}">
      <text>
        <r>
          <rPr>
            <sz val="9"/>
            <color indexed="81"/>
            <rFont val="MS P ゴシック"/>
            <family val="3"/>
            <charset val="128"/>
          </rPr>
          <t>Insight iXlW00001C0000335R0585476093S00000668P00844LAocjBAQBF1NjaVRlZ2ljLmRhdGEuTW9sZWN1bGUBbwF/ARJTY2lUZWdpYy5Nb2xlY3VsZQAAAQFkAv5qAQAAAAIBAiwYAAAA/PwA/AACAAAAAAAA8L8Cnl4pyxDHAUAC4L4OnDOi6D8AAAAAHAAAAPz8APwAAgAAAAAAAPC/Aj29UpYhjvs/AhwN4C2QoLi/AAAAABgMAAD8/AD8AAIAAAAAAADwvwJ5eqUsQxznPwIcDeAtkKC4vwAAAAAYAAAA/PwA/AACAAAAAAAA8L8C4umVsgxxzD8CJ8KGp1fK7r8AAAAAGAAAAPz8APwAAgAAAAAAAPC/AoiFWtO84+i/Agkbnl4py+6/AAAAABgIAAD8/AD8AAIAAAAAAADwvwLEQq1p3nH0vwIcDeAtkKC4vwAAAAAcAAAA/PwA/AACAAAAAAAA8L8CYqHWNO84AsACHA3gLZCguL8AAAAAGAAAAPz8APwAAgAAAAAAAPC/AoiFWtO84+i/AuC+Dpwzoug/AAAAABgAAAD8/AD8AAIAAAAAAADwvwLi6ZWyDHHMPwLgvg6cM6LoPwAAAAABEQAAAPz8APwAAgAAAAAAAPC/AgXFjzF3LQhAAmgibHh6pby/AAAAAAERAAAA/PwA/AACAAAAAAAA8L8CEVg5tMg2EEAC8YXJVMGotL8AAAAAJAAEAWUEAAAAAAAAAAAIBAFlBBQAAAAAAAAACAwBZQQAAAAAAAAAAAwQAWUEAAAAAAAAAAAQFAFlBAAAAAAAAAAAFBgBZQQQAAAAAAAAABQcAWUEAAAAAAAAAAAcIAFlBAAAAAAAAAAAIAgBZQQAAAAAAAAAAAAAAAA=</t>
        </r>
      </text>
    </comment>
    <comment ref="A336" authorId="0" shapeId="0" xr:uid="{660DDEB5-2D7E-407E-BB9A-7FAD03E3B6FD}">
      <text>
        <r>
          <rPr>
            <sz val="9"/>
            <color indexed="81"/>
            <rFont val="MS P ゴシック"/>
            <family val="3"/>
            <charset val="128"/>
          </rPr>
          <t>Insight iXlW00001C0000336R0585476093S00000670P00916LAocjBAQBF1NjaVRlZ2ljLmRhdGEuTW9sZWN1bGUBbwF/ARJTY2lUZWdpYy5Nb2xlY3VsZQAAAQFkAv5qAQAAAAIBAjAYAAAA/PwA/AACAAAAAAAA8L8CNDMzMzMzB0AC0GbV52or5j8AAAAAGAAAAPz8APwAAgAAAAAAAPC/AmdmZmZmZv4/AtBm1edqK+Y/AAAAABwAAAD8/AD8AAIAAAAAAADwvwJnZmZmZmb2PwLQZtXnaivGvwAAAAAYDAAA/PwA/AACAAAAAAAA8L8CmpmZmZmZ2T8C0GbV52orxr8AAAAAGAAAAPz8APwAAgAAAAAAAPC/ApqZmZmZmbm/AhwN4C2QoPC/AAAAABgAAAD8/AD8AAIAAAAAAADwvwKamZmZmZnxvwIcDeAtkKDwvwAAAAAYCAAA/PwA/AACAAAAAAAA8L8CmpmZmZmZ+b8C0GbV52orxr8AAAAAHAAAAPz8APwAAgAAAAAAAPC/As3MzMzMzATAAtBm1edqK8a/AAAAABgAAAD8/AD8AAIAAAAAAADwvwKamZmZmZnxvwLQZtXnaivmPwAAAAAYAAAA/PwA/AACAAAAAAAA8L8CmpmZmZmZub8C0GbV52or5j8AAAAAAREAAAD8/AD8AAIAAAAAAADwvwKamZmZmZkNQALtDb4wmSrIvwAAAAABEQAAAPz8APwAAgAAAAAAAPC/AltCPujZ7BJAArK/7J48LMS/AAAAACgABAFlBAAAAAAAAAAABAgBZQQAAAAAAAAAAAwIAWUEFAAAAAAAAAAMEAFlBAAAAAAAAAAAEBQBZQQAAAAAAAAAABQYAWUEAAAAAAAAAAAYHAFlBBAAAAAAAAAAGCABZQQAAAAAAAAAACAkAWUEAAAAAAAAAAAkDAFlBAAAAAAAAAAAAAAAAA==</t>
        </r>
      </text>
    </comment>
    <comment ref="A337" authorId="0" shapeId="0" xr:uid="{827BC140-ED4E-4217-8D0D-4D5D1C4D3864}">
      <text>
        <r>
          <rPr>
            <sz val="9"/>
            <color indexed="81"/>
            <rFont val="MS P ゴシック"/>
            <family val="3"/>
            <charset val="128"/>
          </rPr>
          <t>Insight iXlW00001C0000337R0585476093S00000672P01144LAocjBAQBF1NjaVRlZ2ljLmRhdGEuTW9sZWN1bGUBbwF/ARJTY2lUZWdpYy5Nb2xlY3VsZQAAAQFkAv5qAQAAAAIBAjwcAAAA/PwA/AACAAAAAAAA8L8C24r9ZffkC8AC4QuTqYJR1b8AAAAAGAwAAPz8APwAAgAAAAAAAPC/AtuK/WX35APAAuELk6mCUdW/AAAAABgAAAD8/AD8AAIAAAAAAADwvwK2FfvL7sn/vwI6I0p7gy/zvwAAAAAYAAAA/PwA/AACAAAAAAAA8L8Cayv2l92T778COiNKe4Mv878AAAAAGAwAAPz8APwAAgAAAAAAAPC/AtZW7C+7J9+/AuELk6mCUdW/AAAAABgAAAD8/AD8AAIAAAAAAADwvwJrK/aX3ZPvvwKTOgFNhA3hPwAAAAAYAAAA/PwA/AACAAAAAAAA8L8CthX7y+7J/78CkzoBTYQN4T8AAAAAHAAAAPz8APwAAgAAAAAAAPC/ApXUCWgibOA/AuELk6mCUdW/AAAAABgAAAD8/AD8AAIAAAAAAADwvwJL6gQ0ETbwPwKTOgFNhA3hPwAAAAAYAAAA/PwA/AACAAAAAAAA8L8CJXUCmggbAEACkzoBTYQN4T8AAAAAGAAAAPz8APwAAgAAAAAAAPC/Amx4eqUswwVAAtejcD0K1/M/AAAAABgAAAD8/AD8AAIAAAAAAADwvwKze/KwUGsLQAKTOgFNhA3hPwAAAAAYAAAA/PwA/AACAAAAAAAA8L8CbHh6pSzDBUACJEp7gy9Mxr8AAAAAAREAAAD8/AD8AAIAAAAAAADwvwINcayL2+gQQAJuowG8BRJ0PwAAAAABEQAAAPz8APwAAgAAAAAAAPC/ApvmHafoCBVAAl1txf6ye6I/AAAAADgEAAFlBBAAAAAAAAAABAgBZQQAAAAAAAAAAAgMAWUEAAAAAAAAAAAMEAFlBAAAAAAAAAAAEBQBZQQAAAAAAAAAABQYAWUEAAAAAAAAAAAYBAFlBAAAAAAAAAAAEBwBZQQUAAAAAAAAABwgAWUEAAAAAAAAAAAgJAFlBAAAAAAAAAAAJCgBZQQAAAAAAAAAACgsAWUEAAAAAAAAAAAsMAFlBAAAAAAAAAAAMCQBZQQAAAAAAAAAAAAAAAA=</t>
        </r>
      </text>
    </comment>
    <comment ref="A338" authorId="0" shapeId="0" xr:uid="{5B2E1E78-D54D-451F-9065-AFCD34B35C41}">
      <text>
        <r>
          <rPr>
            <sz val="9"/>
            <color indexed="81"/>
            <rFont val="MS P ゴシック"/>
            <family val="3"/>
            <charset val="128"/>
          </rPr>
          <t>Insight iXlW00001C0000338R0585476093S00000674P01216LAocjBAQBF1NjaVRlZ2ljLmRhdGEuTW9sZWN1bGUBbwF/ARJTY2lUZWdpYy5Nb2xlY3VsZQAAAQFkAv5qAQAAAAIBAgEQHAAAAPz8APwAAgAAAAAAAPC/AuziNhrA2w3AAuGcEaW9wde/AAAAABgMAAD8/AD8AAIAAAAAAADwvwLr4jYawNsFwALhnBGlvcHXvwAAAAAYAAAA/PwA/AACAAAAAAAA8L8CJLn8h/TbAcACescpOpLL878AAAAAGAAAAPz8APwAAgAAAAAAAPC/Akhy+Q/pt/O/AnrHKTqSy/O/AAAAABgMAAD8/AD8AAIAAAAAAADwvwKP5PIf0m/nvwId6+I2GsDXvwAAAAAYAAAA/PwA/AACAAAAAAAA8L8CSHL5D+m3878C6pWyDHGs3z8AAAAAGAAAAPz8APwAAgAAAAAAAPC/AuviNhrA2wHAAuqVsgxxrN8/AAAAABwAAAD8/AD8AAIAAAAAAADwvwLjNhrAWyDRPwId6+I2GsDXvwAAAAAYAAAA/PwA/AACAAAAAAAA8L8CchsN4C2Q6D8C6pWyDHGs3z8AAAAAGAAAAPz8APwAAgAAAAAAAPC/ArmNBvAWSPw/AuqVsgxxrN8/AAAAABgAAAD8/AD8AAIAAAAAAADwvwK5/If029cCQAIIzhlR2hvUvwAAAAAYAAAA/PwA/AACAAAAAAAA8L8CiPTb14FzCkACiIVa07zjdL8AAAAAGAAAAPz8APwAAgAAAAAAAPC/AsHKoUW2cwpAAhPyQc9m1e8/AAAAABgAAAD8/AD8AAIAAAAAAADwvwK5/If029cCQAIGEhQ/xtz0PwAAAAABEQAAAPz8APwAAgAAAAAAAPC/ApQYBFYObRBAAnKKjuTyH5I/AAAAAAERAAAA/PwA/AACAAAAAAAA8L8CIo51cRuNFEACKH6MuWsJqT8AAAAAPAQAAWUEEAAAAAAAAAAECAFlBAAAAAAAAAAACAwBZQQAAAAAAAAAAAwQAWUEAAAAAAAAAAAQFAFlBAAAAAAAAAAAFBgBZQQAAAAAAAAAABgEAWUEAAAAAAAAAAAQHAFlBBQAAAAAAAAAHCABZQQAAAAAAAAAACAkAWUEAAAAAAAAAAAkKAFlBAAAAAAAAAAAKCwBZQQAAAAAAAAAACwwAWUEAAAAAAAAAAAwNAFlBAAAAAAAAAAANCQBZQQAAAAAAAAAAAAAAAA=</t>
        </r>
      </text>
    </comment>
    <comment ref="A339" authorId="0" shapeId="0" xr:uid="{0C27BC0B-27DF-4642-AB2C-26FB5F2643BA}">
      <text>
        <r>
          <rPr>
            <sz val="9"/>
            <color indexed="81"/>
            <rFont val="MS P ゴシック"/>
            <family val="3"/>
            <charset val="128"/>
          </rPr>
          <t>Insight iXlW00001C0000339R0585476093S00000676P01360LAocjBAQBF1NjaVRlZ2ljLmRhdGEuTW9sZWN1bGUBbwF/ARJTY2lUZWdpYy5Nb2xlY3VsZQAAAQFkAv5qAQAAAAIBAgESHAAAAPz8APwAAgAAAAAAAPC/AgAAAAAAQBDAAkVpb/CFydS/AAAAABgMAAD8/AD8AAIAAAAAAADwvwIAAAAAAIAIwAJFaW/whcnUvwAAAAAYAAAA/PwA/AACAAAAAAAA8L8CAAAAAACABMACkzoBTYQN878AAAAAGAAAAPz8APwAAgAAAAAAAPC/AgAAAAAAAPm/ApM6AU2EDfO/AAAAABgMAAD8/AD8AAIAAAAAAADwvwIAAAAAAADxvwKAt0CC4sfUvwAAAAAYAAAA/PwA/AACAAAAAAAA8L8CAAAAAAAA+b8Cw2SqYFRS4T8AAAAAGAAAAPz8APwAAgAAAAAAAPC/AgAAAAAAgATAAsNkqmBUUuE/AAAAABwAAAD8/AD8AAIAAAAAAADwvwIAAAAAAACwvwJFaW/whcnUvwAAAAAYAAAA/PwA/AACAAAAAAAA8L8CAAAAAAAA3D8Cw2SqYFRS4T8AAAAAGAAAAPz8APwAAgAAAAAAAPC/AgAAAAAAAPc/AsNkqmBUUuE/AAAAABgAAAD8/AD8AAIAAAAAAADwvwIAAAAAAAD/PwKjkjoBTYT2PwAAAAAYAAAA/PwA/AACAAAAAAAA8L8CAAAAAACAB0ACo5I6AU2E9j8AAAAAGAAAAPz8APwAAgAAAAAAAPC/AgAAAAAAgAtAAsNkqmBUUuE/AAAAABgAAAD8/AD8AAIAAAAAAADwvwIAAAAAAIAHQAKAt0CC4sfUvwAAAAAYAAAA/PwA/AACAAAAAAAA8L8CAAAAAAAA/z8CgLdAguLH1L8AAAAAJAAAAPz8APwAAgAAAAAAAPC/AgAAAAAAAPc/ApM6AU2EDfO/AAAAAAERAAAA/PwA/AACAAAAAAAA8L8CMzMzMzPzEEACvw6cM6K0tz8AAAAAAREAAAD8/AD8AAIAAAAAAADwvwLCqKROQBMVQAJIcvkP6be/PwAAAAABEQQAAWUEEAAAAAAAAAAECAFlBAAAAAAAAAAACAwBZQQAAAAAAAAAAAwQAWUEAAAAAAAAAAAQFAFlBAAAAAAAAAAAFBgBZQQAAAAAAAAAABgEAWUEAAAAAAAAAAAQHAFlBBQAAAAAAAAAHCABZQQAAAAAAAAAACAkAWUEAAAAAAAAAAAkKAFlCAwAAAAAAAAAKCwBZQQAAAAAAAAAACwwAWUICAAAAAAAAAAwNAFlBAAAAAAAAAAANDgBZQgIAAAAAAAAADgkAWUEAAAAAAAAAAA4PAFlBAAAAAAAAAAAAAAAAA==</t>
        </r>
      </text>
    </comment>
    <comment ref="A340" authorId="0" shapeId="0" xr:uid="{00456387-7E31-496F-8B8F-367A3B0E7C4B}">
      <text>
        <r>
          <rPr>
            <sz val="9"/>
            <color indexed="81"/>
            <rFont val="MS P ゴシック"/>
            <family val="3"/>
            <charset val="128"/>
          </rPr>
          <t>Insight iXlW00001C0000340R0585476093S00000678P01232LAocjBAQBF1NjaVRlZ2ljLmRhdGEuTW9sZWN1bGUBbwF/ARJTY2lUZWdpYy5Nb2xlY3VsZQAAAQFkAv5qAQAAAAIBAgEQGAAAAPz8APwAAgAAAAAAAPC/AlK4HoXrUfE/AgAAAAAAANi/AAAAABwAAAD8/AD8AAIAAAAAAADwvwKDwMqhRbbLPwIAAAAAAADsvwAAAAAgAAAA/PwA/AACAAAAAAAA8L8ClBgEVg4t/z8CAAAAAAAA7L8AAAAAIAAAAPz8APwAAgAAAAAAAPC/AlK4HoXrUfE/AgAAAAAAAOQ/AAAAABgAAAD8/AD8AAIAAAAAAADwvwKjkjoBTYQGQAIAAAAAAADYvwAAAAAYCAAA/PwA/AACAAAAAAAA8L8CYxBYObTI5L8CAAAAAAAA2L8AAAAAHAAAAPz8APwAAgAAAAAAAPC/ArTqc7UV+wnAAgAAAAAAAPI/AAAAABgMAAD8/AD8AAIAAAAAAADwvwKTOgFNhA0DwAIAAAAAAADkPwAAAAAYAAAA/PwA/AACAAAAAAAA8L8CYxBYObTI5L8CAAAAAAAA5D8AAAAAGAAAAPz8APwAAgAAAAAAAPC/AuQUHcnlP/i/AgAAAAAAAOy/AAAAABgAAAD8/AD8AAIAAAAAAADwvwKTOgFNhA0DwAIAAAAAAADYvwAAAAAYAAAA/PwA/AACAAAAAAAA8L8Cc2iR7Xw/+L8CAAAAAAAA8j8AAAAAGAAAAPz8APwAAgAAAAAAAPC/AqOSOgFNhAJAAgeBlUOLbN8/AAAAABgAAAD8/AD8AAIAAAAAAADwvwLEQq1p3nENQAIAAAAAAADAPwAAAAAYAAAA/PwA/AACAAAAAAAA8L8Co5I6AU2ECkACQmDl0CLb878AAAAAGAAAAPz8APwAAgAAAAAAAPC/AmpN845TdBDAAgAAAAAAAOQ/AAAAAAEQBAABZQQAAAAAAAAAAAgAAWUEAAAAAAAAAAAMAAFlCAAAAAAAAAAAEAgBZQQAAAAAAAAAABQEAWUEFAAAAAAAAAAcGAFlBBAAAAAAAAAAHCgBZQQAAAAAAAAAACAUAWUEAAAAAAAAAAAkFAFlBAAAAAAAAAAAKCQBZQQAAAAAAAAAACwgAWUEAAAAAAAAAAAwEAFlBAAAAAAAAAAANBABZQQAAAAAAAAAADgQAWUEAAAAAAAAAAA8GAFlBAAAAAAAAAAAHCwBZQQAAAAAAAAAAAAAAAA=</t>
        </r>
      </text>
    </comment>
    <comment ref="A341" authorId="0" shapeId="0" xr:uid="{ACA1E9DC-18FA-4A74-96C8-4DD1AFC4E60A}">
      <text>
        <r>
          <rPr>
            <sz val="9"/>
            <color indexed="81"/>
            <rFont val="MS P ゴシック"/>
            <family val="3"/>
            <charset val="128"/>
          </rPr>
          <t>Insight iXlW00001C0000341R0585476093S00000680P01540LAocjBAQBF1NjaVRlZ2ljLmRhdGEuTW9sZWN1bGUBbwF/ARJTY2lUZWdpYy5Nb2xlY3VsZQAAAQFkAv5qAQAAAAIBAgEUGAAAAPz8APwAAgAAAAAAAPC/ApchjnVxmwFAAqCrrdhfduW/AAAAABwAAAD8/AD8AAIAAAAAAADwvwLr4jYawFv1PwLQ1VbsL7vyvwAAAAAgAAAA/PwA/AACAAAAAAAA8L8Ct9EA3gKJCEAC0NVW7C+78r8AAAAAIAAAAPz8APwAAgAAAAAAAPC/ApchjnVxmwFAAsKopE5AE9U/AAAAABwAAAD8/AD8AAIAAAAAAADwvwJGJXUCmggBwAJhVFInoInqPwAAAAAYAAAA/PwA/AACAAAAAAAA8L8CEVg5tMh2D0ACoKut2F925b8AAAAAGAwAAPz8APwAAgAAAAAAAPC/AqcKRiV1At4/AqCrrdhfduW/AAAAABgIAAD8/AD8AAIAAAAAAADwvwJL6gQ0ETb0vwLCqKROQBPVPwAAAAAYAAAA/PwA/AACAAAAAAAA8L8CZ9Xnaiv2B8ACwqikTkAT1T8AAAAAGAAAAPz8APwAAgAAAAAAAPC/AqcKRiV1At4/AsKopE5AE9U/AAAAABgAAAD8/AD8AAIAAAAAAADwvwIkKH6MuWvZvwLQ1VbsL7vyvwAAAAAYAAAA/PwA/AACAAAAAAAA8L8CS+oENBE29L8CoKut2F925b8AAAAAGAAAAPz8APwAAgAAAAAAAPC/AmB2Tx4Watm/AmFUUiegieo/AAAAABgAAAD8/AD8AAIAAAAAAADwvwKIhVrTvOMOwAJhVFInoInqPwAAAAAYAAAA/PwA/AACAAAAAAAA8L8C8tJNYhBYFMACvjCZKhiV+D8AAAAAGAAAAPz8APwAAgAAAAAAAPC/AhFYObTIdgtAAo9TdCSX/8g/AAAAABgAAAD8/AD8AAIAAAAAAADwvwIZBFYOLTITQAJ+rrZif9nFvwAAAAAYAAAA/PwA/AACAAAAAAAA8L8CCKwcWmS7EUACEjY8vVKW+L8AAAAAGAAAAPz8APwAAgAAAAAAAPC/AjsBTYQNTxPAAqjGSzeJQeI/AAAAABgAAAD8/AD8AAIAAAAAAADwvwJ7FK5H4XoQwAKbd5yiI7n8PwAAAAABFQQAAWUEAAAAAAAAAAAIAAFlBAAAAAAAAAAADAABZQgAAAAAAAAAABwQAWUEFAAAAAAAAAAUCAFlBAAAAAAAAAAAGAQBZQQQAAAAAAAAABwsAWUEAAAAAAAAAAAgEAFlBAAAAAAAAAAAJBgBZQQAAAAAAAAAACgYAWUEAAAAAAAAAAAsKAFlBAAAAAAAAAAAMCQBZQQAAAAAAAAAADQgAWUEAAAAAAAAAAA4ARMBZQQAAAAAAAAAADwUAWUEAAAAAAAAAAABEBQBZQQAAAAAAAAAAAERFAFlBAAAAAAAAAAAARI0AWUEAAAAAAAAAAABEzQBZQQAAAAAAAAAABwwAWUEAAAAAAAAAAA4ARIBZQQAAAAAAAAAAAAAAAA=</t>
        </r>
      </text>
    </comment>
    <comment ref="A342" authorId="0" shapeId="0" xr:uid="{50BD435A-CA6C-4A18-93AC-E6CD9728DEFC}">
      <text>
        <r>
          <rPr>
            <sz val="9"/>
            <color indexed="81"/>
            <rFont val="MS P ゴシック"/>
            <family val="3"/>
            <charset val="128"/>
          </rPr>
          <t>Insight iXlW00001C0000342R0585476093S00000682P01760LAocjBAQBF1NjaVRlZ2ljLmRhdGEuTW9sZWN1bGUBbwF/ARJTY2lUZWdpYy5Nb2xlY3VsZQAAAQFkAv5qAQAAAAIBAgEXGAAAAPz8APwAAgAAAAAAAPC/AifChqdXSgZAAp7vp8ZLN+2/AAAAABwAAAD8/AD8AAIAAAAAAADwvwIMJCh+jLn+PwLP91PjpZv2vwAAAAAYAAAA/PwA/AACAAAAAAAA8L8C+ORhodY0CsACgLdAguLH4j8AAAAAIAAAAPz8APwAAgAAAAAAAPC/AoBIv30dOA1AAs/3U+Olm/a/AAAAACAAAAD8/AD8AAIAAAAAAADwvwInwoanV0oGQAITg8DKoUW2PwAAAAAYAAAA/PwA/AACAAAAAAAA8L8C1zTvOEVHA8ACArwFEhQ/tj8AAAAAHAAAAPz8APwAAgAAAAAAAPC/AmwJ+aBns/i/AoC3QILix+I/AAAAABgAAAD8/AD8AAIAAAAAAADwvwL45GGh1jQKwALAWyBB8WP5PwAAAAAYAAAA/PwA/AACAAAAAAAA8L8CUfwYc9cSEkACnu+nxks37b8AAAAAGAgAAPz8APwAAgAAAAAAAPC/AsrDQq1p3vA/Ap7vp8ZLN+2/AAAAABgMAAD8/AD8AAIAAAAAAADwvwJz+Q/pt6/lvwICvAUSFD+2PwAAAAAkAAAA/PwA/AACAAAAAAAA8L8C1zTvOEVHA8AC4C2QoPixAEAAAAAAGAAAAPz8APwAAgAAAAAAAPC/AsrDQq1p3vA/AhODwMqhRbY/AAAAABgAAAD8/AD8AAIAAAAAAADwvwJDHOviNhrIPwLP91PjpZv2vwAAAAAYAAAA/PwA/AACAAAAAAAA8L8CVVInoImw5b8Cnu+nxks37b8AAAAAGAAAAPz8APwAAgAAAAAAAPC/AkMc6+I2Gsg/AoC3QILix+I/AAAAABgAAAD8/AD8AAIAAAAAAADwvwKMSuoENJEQwAITg8DKoUW2PwAAAAAYAAAA/PwA/AACAAAAAAAA8L8CqTXNO06REMAC4C2QoPixAEAAAAAAGAAAAPz8APwAAgAAAAAAAPC/AlD8GHPXEhBAAqrx0k1iEKi/AAAAABgAAAD8/AD8AAIAAAAAAADwvwJhVFInoIkVQAI830+Nl27avwAAAAAYAAAA/PwA/AACAAAAAAAA8L8CUfwYc9cSFEACggTFjzF3/L8AAAAAGAAAAPz8APwAAgAAAAAAAPC/ArmNBvAWCBTAAmMQWDm0yOI/AAAAABgAAAD8/AD8AAIAAAAAAADwvwK5jQbwFggUwAIxCKwcWmT5PwAAAAABGAQAAWUEAAAAAAAAAAAIFAFlBAAAAAAAAAAADAABZQQAAAAAAAAAABAAAWUIAAAAAAAAAAAUGAFlBAAAAAAAAAAAKBgBZQQQAAAAAAAAABwIAWUEAAAAAAAAAAAgDAFlBAAAAAAAAAAAJAQBZQQUAAAAAAAAACg4AWUEAAAAAAAAAAAsHAFlBAAAAAAAAAAAMCQBZQQAAAAAAAAAADQkAWUEAAAAAAAAAAA4NAFlBAAAAAAAAAAAPDABZQQAAAAAAAAAAAEQCAFlCAwAAAAAAAAAAREcAWUICAAAAAAAAAABEiABZQQAAAAAAAAAAAETIAFlBAAAAAAAAAAAARQgAWUEAAAAAAAAAAABFQEQAWUEAAAAAAAAAAABFgEVAWUICAAAAAAAAAAoPAFlBAAAAAAAAAAAARYBEQFlBAAAAAAAAAAAAAAAAA==</t>
        </r>
      </text>
    </comment>
    <comment ref="A343" authorId="0" shapeId="0" xr:uid="{DC352154-B91E-4ABF-8EC6-E1E59312FA7B}">
      <text>
        <r>
          <rPr>
            <sz val="9"/>
            <color indexed="81"/>
            <rFont val="MS P ゴシック"/>
            <family val="3"/>
            <charset val="128"/>
          </rPr>
          <t>Insight iXlW00001C0000343R0585476093S00000684P00860LAocjBAQBF1NjaVRlZ2ljLmRhdGEuTW9sZWN1bGUBbwF/ARJTY2lUZWdpYy5Nb2xlY3VsZQAAAQFkAv5qAQAAAAIAAjAYAAAA/PwA/AACAAAAAAAA8L8CAAAAAAAABMACg8DKoUW2678AAAAAGAAAAPz8APwAAgAAAAAAAPC/AgAAAAAAAADAAAAAAAAcAAAA/PwA/AACAAAAAAAA8L8CAAAAAAAA8L8AAAAAABgAAAD8/AD8AAIAAAAAAADwvwIAAAAAAADgvwKDwMqhRbbrPwAAAAAYAAAA/PwA/AACAAAAAAAA8L8CAAAAAAAA4D8Cg8DKoUW26z8AAAAAGAAAAPz8APwAAgAAAAAAAPC/AQAAAAAAGAAAAPz8APwAAgAAAAAAAPC/AgAAAAAAAABAAAAAAAAcAAAA/PwA/AACAAAAAAAA8L8CAAAAAAAABEACg8DKoUW26z8AAAAAGAAAAPz8APwAAgAAAAAAAPC/AgAAAAAAAOA/AoPAyqFFtuu/AAAAABgAAAD8/AD8AAIAAAAAAADwvwIAAAAAAADgvwKDwMqhRbbrvwAAAAABEQAAAPz8APwAAgAAAAAAAPC/AmdmZmZmZgpAAt9xio7k8o+/AAAAAAERAAAA/PwA/AACAAAAAAAA8L8CwqikTkBTEUAC33GKjuTyjz8AAAAAKAAEAWUEAAAAAAAAAAAECAFlBAAAAAAAAAAACAwBZQQAAAAAAAAAAAwQAWUEAAAAAAAAAAAQFAFlBAAAAAAAAAAAFBgBZQQAAAAAAAAAABgcAWUEAAAAAAAAAAAUIAFlBAAAAAAAAAAAICQBZQQAAAAAAAAAACQIAWUEAAAAAAAAAAAAAAAA</t>
        </r>
      </text>
    </comment>
    <comment ref="A344" authorId="0" shapeId="0" xr:uid="{5B4873B6-9923-4678-9FB8-B035EC2B62E1}">
      <text>
        <r>
          <rPr>
            <sz val="9"/>
            <color indexed="81"/>
            <rFont val="MS P ゴシック"/>
            <family val="3"/>
            <charset val="128"/>
          </rPr>
          <t>Insight iXlW00001C0000344R0585476093S00000686P00984LAocjBAQBF1NjaVRlZ2ljLmRhdGEuTW9sZWN1bGUBbwF/ARJTY2lUZWdpYy5Nb2xlY3VsZQAAAQFkAv5qAQAAAAIAAjQYAAAA/PwA/AACAAAAAAAA8L8CH/RsVn0uAsACelioNc077r8AAAAAGAAAAPz8APwAAgAAAAAAAPC/Aj/o2az6XPy/AqH4MeauJbS/AAAAABgAAAD8/AD8AAIAAAAAAADwvwIf9GxWfS4CwAJvgQTFjzHpPwAAAAAcAAAA/PwA/AACAAAAAAAA8L8CfdCzWfW56L8Cofgx5q4ltL8AAAAAGAAAAPz8APwAAgAAAAAAAPC/AvmgZ7Pqc9G/Am+BBMWPMek/AAAAABgAAAD8/AD8AAIAAAAAAADwvwKEL0ymCkbnPwJvgQTFjzHpPwAAAAAYAAAA/PwA/AACAAAAAAAA8L8CwhcmUwWj8z8Cofgx5q4ltL8AAAAAGAAAAPz8APwAAgAAAAAAAPC/AuELk6mC0QFAAqH4MeauJbS/AAAAABwAAAD8/AD8AAIAAAAAAADwvwLhC5OpgtEFQAJvgQTFjzHpPwAAAAAYAAAA/PwA/AACAAAAAAAA8L8ChC9MpgpG5z8CmP+Qfvs67r8AAAAAGAAAAPz8APwAAgAAAAAAAPC/AvmgZ7Pqc9G/Apj/kH77Ou6/AAAAAAERAAAA/PwA/AACAAAAAAAA8L8CSHL5D+k3DEAC7Q2+MJkquL8AAAAAAREAAAD8/AD8AAIAAAAAAADwvwKyLm6jATwSQAJ2cRsN4C2wvwAAAAAsAAQBZQQAAAAAAAAAAAQIAWUEAAAAAAAAAAAEDAFlBAAAAAAAAAAADBABZQQAAAAAAAAAABAUAWUEAAAAAAAAAAAUGAFlBAAAAAAAAAAAGBwBZQQAAAAAAAAAABwgAWUEAAAAAAAAAAAYJAFlBAAAAAAAAAAAJCgBZQQAAAAAAAAAACgMAWUEAAAAAAAAAAAAAAAA</t>
        </r>
      </text>
    </comment>
    <comment ref="A345" authorId="0" shapeId="0" xr:uid="{DCD4CD4F-2CC8-45AF-BADA-F22800CA238F}">
      <text>
        <r>
          <rPr>
            <sz val="9"/>
            <color indexed="81"/>
            <rFont val="MS P ゴシック"/>
            <family val="3"/>
            <charset val="128"/>
          </rPr>
          <t>Insight iXlW00001C0000345R0585476093S00000688P01128LAocjBAQBF1NjaVRlZ2ljLmRhdGEuTW9sZWN1bGUBbwF/ARJTY2lUZWdpYy5Nb2xlY3VsZQAAAQFkAv5qAQAAAAIAAjwYAAAA/PwA/AACAAAAAAAA8L8CZapgVFInBsACuvyH9NvX7b8AAAAAGAAAAPz8APwAAgAAAAAAAPC/AspUwaikTvy/Arr8h/Tb1+2/AAAAABgAAAD8/AD8AAIAAAAAAADwvwLKVMGopE70vwKx4emVsgyxvwAAAAAYAAAA/PwA/AACAAAAAAAA8L8CylTBqKRO/L8CTYQNT6+U6T8AAAAAGAAAAPz8APwAAgAAAAAAAPC/AmWqYFRSJwbAAk2EDU+vlOk/AAAAABwAAAD8/AD8AAIAAAAAAADwvwImUwWjkjrRvwKx4emVsgyxvwAAAAAYAAAA/PwA/AACAAAAAAAA8L8CtFn1udqKzT8CTYQNT6+U6T8AAAAAGAAAAPz8APwAAgAAAAAAAPC/AjerPldbsfM/Ak2EDU+vlOk/AAAAABgAAAD8/AD8AAIAAAAAAADwvwI3qz5XW7H7PwKx4emVsgyxvwAAAAAYAAAA/PwA/AACAAAAAAAA8L8CnFWfq63YBUACseHplbIMsb8AAAAAHAAAAPz8APwAAgAAAAAAAPC/ApxVn6ut2AlAAk2EDU+vlOk/AAAAABgAAAD8/AD8AAIAAAAAAADwvwI3qz5XW7HzPwK6/If029ftvwAAAAAYAAAA/PwA/AACAAAAAAAA8L8CtFn1udqKzT8CuvyH9NvX7b8AAAAAAREAAAD8/AD8AAIAAAAAAADwvwIB3gIJih8QQALtL7snDwu1vwAAAAABEQAAAPz8APwAAgAAAAAAAPC/Ao9TdCSXPxRAAuomMQisHKq/AAAAADQABAFlBAAAAAAAAAAABAgBZQQAAAAAAAAAAAgMAWUEAAAAAAAAAAAMEAFlBAAAAAAAAAAACBQBZQQAAAAAAAAAABQYAWUEAAAAAAAAAAAYHAFlBAAAAAAAAAAAHCABZQQAAAAAAAAAACAkAWUEAAAAAAAAAAAkKAFlBAAAAAAAAAAAICwBZQQAAAAAAAAAACwwAWUEAAAAAAAAAAAwFAFlBAAAAAAAAAAAAAAAAA==</t>
        </r>
      </text>
    </comment>
    <comment ref="A346" authorId="0" shapeId="0" xr:uid="{24FAB987-B49D-45F3-9183-E8E745FE3800}">
      <text>
        <r>
          <rPr>
            <sz val="9"/>
            <color indexed="81"/>
            <rFont val="MS P ゴシック"/>
            <family val="3"/>
            <charset val="128"/>
          </rPr>
          <t>Insight iXlW00001C0000346R0585476093S00000690P01056LAocjBAQBF1NjaVRlZ2ljLmRhdGEuTW9sZWN1bGUBbwF/ARJTY2lUZWdpYy5Nb2xlY3VsZQAAAQFkAv5qAQAAAAIAAjgYAAAA/PwA/AACAAAAAAAA8L8CIGPuWkK+AMACTMgHPZtV4b8AAAAAGAAAAPz8APwAAgAAAAAAAPC/AiBj7lpCvgDAAmpv8IXJVN0/AAAAABgAAAD8/AD8AAIAAAAAAADwvwJBE2HD06sHwAK1N/jCZKruPwAAAAAYAAAA/PwA/AACAAAAAAAA8L8C/mX35GGh878CtTf4wmSq7j8AAAAAHAAAAPz8APwAAgAAAAAAAPC/AixlGeJYF9e/Ampv8IXJVN0/AAAAABgAAAD8/AD8AAIAAAAAAADwvwLtDb4wmSrgPwK1N/jCZKruPwAAAAAYAAAA/PwA/AACAAAAAAAA8L8COGdEaW/w9T8Cam/whclU3T8AAAAAGAAAAPz8APwAAgAAAAAAAPC/AjhnRGlv8PU/AkzIBz2bVeG/AAAAABgAAAD8/AD8AAIAAAAAAADwvwK94xQdyeUBQAIm5IOezarwvwAAAAAcAAAA/PwA/AACAAAAAAAA8L8CFmpN847TCEACTMgHPZtV4b8AAAAAGAAAAPz8APwAAgAAAAAAAPC/Au0NvjCZKuA/ArU3+MJkqvC/AAAAABgAAAD8/AD8AAIAAAAAAADwvwIsZRniWBfXvwJqb/CFyVThvwAAAAABEQAAAPz8APwAAgAAAAAAAPC/An3Qs1n1OQ9AAi4hH/RsVq2/AAAAAAERAAAA/PwA/AACAAAAAAAA8L8CzV1LyAe9E0ACfdCzWfW5mr8AAAAAMAAEAWUEAAAAAAAAAAAECAFlBAAAAAAAAAAABAwBZQQAAAAAAAAAAAwQAWUEAAAAAAAAAAAQFAFlBAAAAAAAAAAAFBgBZQQAAAAAAAAAABgcAWUEAAAAAAAAAAAcIAFlBAAAAAAAAAAAICQBZQQAAAAAAAAAABwoAWUEAAAAAAAAAAAoLAFlBAAAAAAAAAAALBABZQQAAAAAAAAAAAAAAAA=</t>
        </r>
      </text>
    </comment>
    <comment ref="A347" authorId="0" shapeId="0" xr:uid="{129C1FA0-C2BF-48F2-8C3C-E2545D4F3E6E}">
      <text>
        <r>
          <rPr>
            <sz val="9"/>
            <color indexed="81"/>
            <rFont val="MS P ゴシック"/>
            <family val="3"/>
            <charset val="128"/>
          </rPr>
          <t>Insight iXlW00001C0000347R0585476093S00000692P01128LAocjBAQBF1NjaVRlZ2ljLmRhdGEuTW9sZWN1bGUBbwF/ARJTY2lUZWdpYy5Nb2xlY3VsZQAAAQFkAv5qAQAAAAIAAjwYAAAA/PwA/AACAAAAAAAA8L8CRkdy+Q/p9r8CY3/ZPXlY3L8AAAAAGAAAAPz8APwAAgAAAAAAAPC/AkZHcvkP6f6/AqQBvAUSFNs/AAAAABgAAAD8/AD8AAIAAAAAAADwvwLE0ytlGWIGwAJz+Q/pt6+zvwAAAAAYAAAA/PwA/AACAAAAAAAA8L8CoyO5/Id0A8ACq2BUUieg9D8AAAAAGAAAAPz8APwAAgAAAAAAAPC/AgTnjCjtDfG/AtIA3gIJiu0/AAAAABwAAAD8/AD8AAIAAAAAAADwvwISNjy9UpbJvwKkAbwFEhTbPwAAAAAYAAAA/PwA/AACAAAAAAAA8L8C4QuTqYJR5T8C0gDeAgmK7T8AAAAAGAAAAPz8APwAAgAAAAAAAPC/AjLmriXkg/g/AqQBvAUSFNs/AAAAABgAAAD8/AD8AAIAAAAAAADwvwIy5q4l5IP4PwIv/yH99nXivwAAAAAYAAAA/PwA/AACAAAAAAAA8L8COiNKe4MvA0ACl/+Qfvs68b8AAAAAHAAAAPz8APwAAgAAAAAAAPC/AlvTvOMUHQpAAi//If32deK/AAAAABgAAAD8/AD8AAIAAAAAAADwvwLhC5OpglHlPwKX/5B++zrxvwAAAAAYAAAA/PwA/AACAAAAAAAA8L8CidLe4AuTyb8CL/8h/fZ14r8AAAAAAREAAAD8/AD8AAIAAAAAAADwvwLhnBGlvUEQQAJfukkMAiu3PwAAAAABEQAAAPz8APwAAgAAAAAAAPC/Am8Sg8DKYRRAAtZW7C+7J78/AAAAADQABAFlBAAAAAAAAAAABAgBZQQAAAAAAAAAAAQMAWUEAAAAAAAAAAAEEAFlBAAAAAAAAAAAEBQBZQQAAAAAAAAAABQYAWUEAAAAAAAAAAAYHAFlBAAAAAAAAAAAHCABZQQAAAAAAAAAACAkAWUEAAAAAAAAAAAkKAFlBAAAAAAAAAAAICwBZQQAAAAAAAAAACwwAWUEAAAAAAAAAAAwFAFlBAAAAAAAAAAAAAAAAA==</t>
        </r>
      </text>
    </comment>
    <comment ref="A348" authorId="0" shapeId="0" xr:uid="{BAC0D287-8F6A-4B7E-90EF-68D58A200C0A}">
      <text>
        <r>
          <rPr>
            <sz val="9"/>
            <color indexed="81"/>
            <rFont val="MS P ゴシック"/>
            <family val="3"/>
            <charset val="128"/>
          </rPr>
          <t>Insight iXlW00001C0000348R0585476093S00000694P01144LAocjBAQBF1NjaVRlZ2ljLmRhdGEuTW9sZWN1bGUBbwF/ARJTY2lUZWdpYy5Nb2xlY3VsZQAAAQFkAv5qAQAAAAIAAjwcAAAA/PwA/AACAAAAAAAA8L8Cg+LHmLsWC0ACS+oENBE24L8AAAAAGAAAAPz8APwAAgAAAAAAAPC/Ailcj8L1KARAAiV1ApoIG/C/AAAAABgAAAD8/AD8AAIAAAAAAADwvwIRWDm0yHb6PwJL6gQ0ETbgvwAAAAAYAAAA/PwA/AACAAAAAAAA8L8CEVg5tMh2+j8Cayv2l92T3z8AAAAAGAAAAPz8APwAAgAAAAAAAPC/Ap7vp8ZLN+k/ArYV+8vuye8/AAAAABwAAAD8/AD8AAIAAAAAAADwvwIrhxbZzvezvwJrK/aX3ZPfPwAAAAAYAAAA/PwA/AACAAAAAAAA8L8CS+oENBE27r8CthX7y+7J7z8AAAAAGAAAAPz8APwAAgAAAAAAAPC/AmfV52or9vy/Amsr9pfdk98/AAAAABgAAAD8/AD8AAIAAAAAAADwvwIijnVxG40AwAI+CtejcD3evwAAAAAYAAAA/PwA/AACAAAAAAAA8L8C1zTvOEVHCMACmN2Th4Vay78AAAAAGAAAAPz8APwAAgAAAAAAAPC/AmmR7Xw/NQbAAm+jAbwFEug/AAAAABgAAAD8/AD8AAIAAAAAAADwvwIrhxbZzvezvwJL6gQ0ETbgvwAAAAAYAAAA/PwA/AACAAAAAAAA8L8Cnu+nxks36T8CJXUCmggb8L8AAAAAAREAAAD8/AD8AAIAAAAAAADwvwJ1JJf/kL4QQAJBguLHmLuWvwAAAAABEQAAAPz8APwAAgAAAAAAAPC/AgOaCBue3hRAAjzfT42XboI/AAAAADgABAFlBAAAAAAAAAAABAgBZQQAAAAAAAAAAAgMAWUEAAAAAAAAAAAMEAFlBAAAAAAAAAAAEBQBZQQAAAAAAAAAABQYAWUEAAAAAAAAAAAYHAFlBAAAAAAAAAAAHCABZQQAAAAAAAAAACAkAWUEAAAAAAAAAAAkKAFlBAAAAAAAAAAAKBwBZQQAAAAAAAAAABQsAWUEAAAAAAAAAAAsMAFlBAAAAAAAAAAAMAgBZQQAAAAAAAAAAAAAAAA=</t>
        </r>
      </text>
    </comment>
    <comment ref="A349" authorId="0" shapeId="0" xr:uid="{B049DE68-F505-47FC-948D-8CBC8BF66EF2}">
      <text>
        <r>
          <rPr>
            <sz val="9"/>
            <color indexed="81"/>
            <rFont val="MS P ゴシック"/>
            <family val="3"/>
            <charset val="128"/>
          </rPr>
          <t>Insight iXlW00001C0000349R0585476093S00000696P01216LAocjBAQBF1NjaVRlZ2ljLmRhdGEuTW9sZWN1bGUBbwF/ARJTY2lUZWdpYy5Nb2xlY3VsZQAAAQFkAv5qAQAAAAIAAgEQHAAAAPz8APwAAgAAAAAAAPC/AogW2c730wxAAgeBlUOLbN+/AAAAABgAAAD8/AD8AAIAAAAAAADwvwJnZmZmZuYFQAKDwMqhRbbvvwAAAAAYAAAA/PwA/AACAAAAAAAA8L8CG8BbIEHx/T8CB4GVQ4ts378AAAAAGAAAAPz8APwAAgAAAAAAAPC/AhvAWyBB8f0/An0/NV66SeA/AAAAABgAAAD8/AD8AAIAAAAAAADwvwLZX3ZPHhbwPwK/nxov3STwPwAAAAAcAAAA/PwA/AACAAAAAAAA8L8CufyH9NvXwT8CfT81XrpJ4D8AAAAAGAAAAPz8APwAAgAAAAAAAPC/AlXBqKROQOe/Ar+fGi/dJPA/AAAAABgAAAD8/AD8AAIAAAAAAADwvwJdbcX+snv5vwJ9PzVeukngPwAAAAAYAAAA/PwA/AACAAAAAAAA8L8CseHplbIMBMACWag1zTtO7T8AAAAAGAAAAPz8APwAAgAAAAAAAPC/AhDpt68DZwnAAp0Rpb3BF8Y/AAAAABgAAAD8/AD8AAIAAAAAAADwvwJJv30dOGcFwAIcfGEyVTDmvwAAAAAYAAAA/PwA/AACAAAAAAAA8L8C1lbsL7sn+78C4E+Nl24S378AAAAAGAAAAPz8APwAAgAAAAAAAPC/Arn8h/Tb18E/AkLPZtXnat+/AAAAABgAAAD8/AD8AAIAAAAAAADwvwLZX3ZPHhbwPwKhZ7Pqc7XvvwAAAAABEQAAAPz8APwAAgAAAAAAAPC/Ane+nxovnRFAAkYldQKaCHu/AAAAAAERAAAA/PwA/AACAAAAAAAA8L8CBTQRNjy9FUACjSjtDb4wmT8AAAAAPAAEAWUEAAAAAAAAAAAECAFlBAAAAAAAAAAACAwBZQQAAAAAAAAAAAwQAWUEAAAAAAAAAAAQFAFlBAAAAAAAAAAAFBgBZQQAAAAAAAAAABgcAWUEAAAAAAAAAAAcIAFlBAAAAAAAAAAAICQBZQQAAAAAAAAAACQoAWUEAAAAAAAAAAAoLAFlBAAAAAAAAAAALBwBZQQAAAAAAAAAABQwAWUEAAAAAAAAAAAwNAFlBAAAAAAAAAAANAgBZQQAAAAAAAAAAAAAAAA=</t>
        </r>
      </text>
    </comment>
    <comment ref="A350" authorId="0" shapeId="0" xr:uid="{7F60AA3D-1085-4E88-872E-8F5803616244}">
      <text>
        <r>
          <rPr>
            <sz val="9"/>
            <color indexed="81"/>
            <rFont val="MS P ゴシック"/>
            <family val="3"/>
            <charset val="128"/>
          </rPr>
          <t>Insight iXlW00001C0000350R0585476093S00000698P01288LAocjBAQBF1NjaVRlZ2ljLmRhdGEuTW9sZWN1bGUBbwF/ARJTY2lUZWdpYy5Nb2xlY3VsZQAAAQFkAv5qAQAAAAIAAgERHAAAAPz8APwAAgAAAAAAAPC/ApZDi2znew5AAsrDQq1p3t0/AAAAABgAAAD8/AD8AAIAAAAAAADwvwJ1kxgEVo4HQALlYaHWNO/uPwAAAAAYAAAA/PwA/AACAAAAAAAA8L8CVOOlm8SgAEACysNCrWne3T8AAAAAGAAAAPz8APwAAgAAAAAAAPC/Ava52or9ZfM/AgMJih9j7u4/AAAAABgAAAD8/AD8AAIAAAAAAADwvwLQZtXnaivWPwIGEhQ/xtzdPwAAAAAcAAAA/PwA/AACAAAAAAAA8L8C0GbV52or1j8CG55eKcsQ4b8AAAAAGAAAAPz8APwAAgAAAAAAAPC/AhwN4C2QoOC/Ag5Pr5RliPC/AAAAABgAAAD8/AD8AAIAAAAAAADwvwLQZtXnaiv2vwIbnl4pyxDhvwAAAAAYAAAA/PwA/AACAAAAAAAA8L8CwTkjSnsDAsACDk+vlGWI8L8AAAAAGAAAAPz8APwAAgAAAAAAAPC/AuLplbIM8QjAAhueXinLEOG/AAAAABgAAAD8/AD8AAIAAAAAAADwvwLi6ZWyDPEIwALKw0Ktad7dPwAAAAAYAAAA/PwA/AACAAAAAAAA8L8CwTkjSnsDAsACAwmKH2Pu7j8AAAAAGAAAAPz8APwAAgAAAAAAAPC/AkETYcPTK/a/AgYSFD/G3N0/AAAAABgAAAD8/AD8AAIAAAAAAADwvwL2udqK/WXzPwIOT6+UZYjwvwAAAAAYAAAA/PwA/AACAAAAAAAA8L8CHA3gLZCgAEACG55eKcsQ4b8AAAAAAREAAAD8/AD8AAIAAAAAAADwvwL+1HjpJnESQAIofoy5awmpvwAAAAABEQAAAPz8APwAAgAAAAAAAPC/AoxK6gQ0kRZAAnKKjuTyH5K/AAAAAAEQAAQBZQQAAAAAAAAAAAQIAWUEAAAAAAAAAAAIDAFlBAAAAAAAAAAADBABZQQAAAAAAAAAABAUAWUEAAAAAAAAAAAUGAFlBAAAAAAAAAAAGBwBZQQAAAAAAAAAABwgAWUEAAAAAAAAAAAgJAFlBAAAAAAAAAAAJCgBZQQAAAAAAAAAACgsAWUEAAAAAAAAAAAsMAFlBAAAAAAAAAAAMBwBZQQAAAAAAAAAABQ0AWUEAAAAAAAAAAA0OAFlBAAAAAAAAAAAOAgBZQQAAAAAAAAAAAAAAAA=</t>
        </r>
      </text>
    </comment>
    <comment ref="A351" authorId="0" shapeId="0" xr:uid="{71B2CED3-A0D3-4372-8AF7-06AD958BC7D8}">
      <text>
        <r>
          <rPr>
            <sz val="9"/>
            <color indexed="81"/>
            <rFont val="MS P ゴシック"/>
            <family val="3"/>
            <charset val="128"/>
          </rPr>
          <t>Insight iXlW00001C0000351R0585476093S00000700P01288LAocjBAQBF1NjaVRlZ2ljLmRhdGEuTW9sZWN1bGUBbwF/ARJTY2lUZWdpYy5Nb2xlY3VsZQAAAQFkAv5qAQAAAAIAAgERHAAAAPz8APwAAgAAAAAAAPC/ApZDi2znew5AAsrDQq1p3t0/AAAAABgAAAD8/AD8AAIAAAAAAADwvwJ1kxgEVo4HQALlYaHWNO/uPwAAAAAYAAAA/PwA/AACAAAAAAAA8L8CVOOlm8SgAEACysNCrWne3T8AAAAAGAAAAPz8APwAAgAAAAAAAPC/Ava52or9ZfM/AgMJih9j7u4/AAAAABgAAAD8/AD8AAIAAAAAAADwvwLQZtXnaivWPwIGEhQ/xtzdPwAAAAAcAAAA/PwA/AACAAAAAAAA8L8C0GbV52or1j8CG55eKcsQ4b8AAAAAGAAAAPz8APwAAgAAAAAAAPC/AhwN4C2QoOC/Ag5Pr5RliPC/AAAAABgAAAD8/AD8AAIAAAAAAADwvwLQZtXnaiv2vwIbnl4pyxDhvwAAAAAYAAAA/PwA/AACAAAAAAAA8L8CwTkjSnsDAsACDk+vlGWI8L8AAAAAGAAAAPz8APwAAgAAAAAAAPC/AuLplbIM8QjAAhueXinLEOG/AAAAACAAAAD8/AD8AAIAAAAAAADwvwLi6ZWyDPEIwALKw0Ktad7dPwAAAAAYAAAA/PwA/AACAAAAAAAA8L8CwTkjSnsDAsACAwmKH2Pu7j8AAAAAGAAAAPz8APwAAgAAAAAAAPC/AkETYcPTK/a/AgYSFD/G3N0/AAAAABgAAAD8/AD8AAIAAAAAAADwvwL2udqK/WXzPwIOT6+UZYjwvwAAAAAYAAAA/PwA/AACAAAAAAAA8L8CHA3gLZCgAEACG55eKcsQ4b8AAAAAAREAAAD8/AD8AAIAAAAAAADwvwL+1HjpJnESQAIofoy5awmpvwAAAAABEQAAAPz8APwAAgAAAAAAAPC/AoxK6gQ0kRZAAnKKjuTyH5K/AAAAAAEQAAQBZQQAAAAAAAAAAAQIAWUEAAAAAAAAAAAIDAFlBAAAAAAAAAAADBABZQQAAAAAAAAAABAUAWUEAAAAAAAAAAAUGAFlBAAAAAAAAAAAGBwBZQQAAAAAAAAAABwgAWUEAAAAAAAAAAAgJAFlBAAAAAAAAAAAJCgBZQQAAAAAAAAAACgsAWUEAAAAAAAAAAAsMAFlBAAAAAAAAAAAMBwBZQQAAAAAAAAAABQ0AWUEAAAAAAAAAAA0OAFlBAAAAAAAAAAAOAgBZQQAAAAAAAAAAAAAAAA=</t>
        </r>
      </text>
    </comment>
    <comment ref="A352" authorId="0" shapeId="0" xr:uid="{0C947694-5ABF-4B37-B77C-DE7B879AF30C}">
      <text>
        <r>
          <rPr>
            <sz val="9"/>
            <color indexed="81"/>
            <rFont val="MS P ゴシック"/>
            <family val="3"/>
            <charset val="128"/>
          </rPr>
          <t>Insight iXlW00001C0000352R0585476093S00000702P01072LAocjBAQBF1NjaVRlZ2ljLmRhdGEuTW9sZWN1bGUBbwF/ARJTY2lUZWdpYy5Nb2xlY3VsZQAAAQFkAv5qAQAAAAIAAjgcAAAA/PwA/AACAAAAAAAA8L8CgEi/fR04CEACumsJ+aBn6T8AAAAAGAAAAPz8APwAAgAAAAAAAPC/AoBIv30dOARAAl1txf6ye7K/AAAAABgAAAD8/AD8AAIAAAAAAADwvwIAkX77OnD4PwJdbcX+snuyvwAAAAAYAAAA/PwA/AACAAAAAAAA8L8CAJF++zpw8D8C2BLyQc9m6T8AAAAAGAAAAPz8APwAAgAAAAAAAPC/AuY/pN++Dpw/AtgS8kHPZuk/AAAAABwAAAD8/AD8AAIAAAAAAADwvwICvAUSFD/evwJdbcX+snuyvwAAAAAYAAAA/PwA/AACAAAAAAAA8L8C5j+k374OnD8CL26jAbwF7r8AAAAAGAAAAPz8APwAAgAAAAAAAPC/AgCRfvs6cPA/Ai9uowG8Be6/AAAAABgAAAD8/AD8AAIAAAAAAADwvwIBb4EExY/3vwJdbcX+snuyvwAAAAAYAAAA/PwA/AACAAAAAAAA8L8Cx7q4jQZwAcACx7q4jQbw6L8AAAAAGAAAAPz8APwAAgAAAAAAAPC/Ag6+MJkqGAfAAl1txf6ye7K/AAAAABgAAAD8/AD8AAIAAAAAAADwvwLHuriNBnABwAJwXwfOGVHkPwAAAAABEQAAAPz8APwAAgAAAAAAAPC/AueuJeSDng5AAoj029eBc7a/AAAAAAERAAAA/PwA/AACAAAAAAAA8L8CAU2EDU9vE0ACIbByaJHtrL8AAAAANAAEAWUEAAAAAAAAAAAECAFlBAAAAAAAAAAACAwBZQQAAAAAAAAAAAwQAWUEAAAAAAAAAAAQFAFlBAAAAAAAAAAAFBgBZQQAAAAAAAAAABgcAWUEAAAAAAAAAAAcCAFlBAAAAAAAAAAAFCABZQQAAAAAAAAAACAkAWUEAAAAAAAAAAAkKAFlBAAAAAAAAAAAKCwBZQQAAAAAAAAAACwgAWUEAAAAAAAAAAAAAAAA</t>
        </r>
      </text>
    </comment>
    <comment ref="A353" authorId="0" shapeId="0" xr:uid="{FA184803-8E03-45C0-94DE-B17E25B2F0D0}">
      <text>
        <r>
          <rPr>
            <sz val="9"/>
            <color indexed="81"/>
            <rFont val="MS P ゴシック"/>
            <family val="3"/>
            <charset val="128"/>
          </rPr>
          <t>Insight iXlW00001C0000353R0585476093S00000704P01216LAocjBAQBF1NjaVRlZ2ljLmRhdGEuTW9sZWN1bGUBbwF/ARJTY2lUZWdpYy5Nb2xlY3VsZQAAAQFkAv5qAQAAAAIAAgEQHAAAAPz8APwAAgAAAAAAAPC/Ai1DHOvitgtAArIubqMBvOm/AAAAABgAAAD8/AD8AAIAAAAAAADwvwItQxzr4rYHQAI3qz5XW7GvPwAAAAAYAAAA/PwA/AACAAAAAAAA8L8CWoY41sVt/z8CN6s+V1uxrz8AAAAAGAAAAPz8APwAAgAAAAAAAPC/AlqGONbFbfc/AjerPldbse0/AAAAABgAAAD8/AD8AAIAAAAAAADwvwJmGeJYF7fdPwI3qz5XW7HtPwAAAAAcAAAA/PwA/AACAAAAAAAA8L8C1zTvOEVHor8CN6s+V1uxrz8AAAAAGAAAAPz8APwAAgAAAAAAAPC/AmYZ4lgXt90/AtDVVuwvu+m/AAAAABgAAAD8/AD8AAIAAAAAAADwvwJahjjWxW33PwLQ1VbsL7vpvwAAAAAYAAAA/PwA/AACAAAAAAAA8L8Cp3nHKTqS8L8CN6s+V1uxrz8AAAAAGAAAAPz8APwAAgAAAAAAAPC/Aqd5xyk6kvi/AtDVVuwvu+m/AAAAABgAAAD8/AD8AAIAAAAAAADwvwLUvOMUHUkEwALQ1VbsL7vpvwAAAAAgAAAA/PwA/AACAAAAAAAA8L8C1LzjFB1JCMACN6s+V1uxrz8AAAAAGAAAAPz8APwAAgAAAAAAAPC/AtS84xQdSQTAAjerPldbse0/AAAAABgAAAD8/AD8AAIAAAAAAADwvwKneccpOpL4vwI3qz5XW7HtPwAAAAABEQAAAPz8APwAAgAAAAAAAPC/AspUwaikDhFAAp6AJsKGp6c/AAAAAAERAAAA/PwA/AACAAAAAAAA8L8CWMoyxLEuFUACx9y1hHzQsz8AAAAAPAAEAWUEAAAAAAAAAAAECAFlBAAAAAAAAAAACAwBZQQAAAAAAAAAAAwQAWUEAAAAAAAAAAAQFAFlBAAAAAAAAAAAFBgBZQQAAAAAAAAAABgcAWUEAAAAAAAAAAAcCAFlBAAAAAAAAAAAFCABZQQAAAAAAAAAACAkAWUEAAAAAAAAAAAkKAFlBAAAAAAAAAAAKCwBZQQAAAAAAAAAACwwAWUEAAAAAAAAAAAwNAFlBAAAAAAAAAAANCABZQQAAAAAAAAAAAAAAAA=</t>
        </r>
      </text>
    </comment>
    <comment ref="A354" authorId="0" shapeId="0" xr:uid="{E5669E9C-F2F0-4622-A0BE-FDA82FAF4868}">
      <text>
        <r>
          <rPr>
            <sz val="9"/>
            <color indexed="81"/>
            <rFont val="MS P ゴシック"/>
            <family val="3"/>
            <charset val="128"/>
          </rPr>
          <t>Insight iXlW00001C0000354R0585476093S00000706P01344LAocjBAQBF1NjaVRlZ2ljLmRhdGEuTW9sZWN1bGUBbwF/ARJTY2lUZWdpYy5Nb2xlY3VsZQAAAQFkAv5qAQAAAAIAAgESHAAAAPz8APwAAgAAAAAAAPC/ApZDi2znew5AAsrDQq1p3t2/AAAAABgAAAD8/AD8AAIAAAAAAADwvwJ1kxgEVo4HQALlYaHWNO/uvwAAAAAYAAAA/PwA/AACAAAAAAAA8L8CHA3gLZCgAEACysNCrWne3b8AAAAAGAAAAPz8APwAAgAAAAAAAPC/AhwN4C2QoABAAhueXinLEOE/AAAAABgAAAD8/AD8AAIAAAAAAADwvwL2udqK/WXzPwIOT6+UZYjwPwAAAAAcAAAA/PwA/AACAAAAAAAA8L8C0GbV52or1j8CG55eKcsQ4T8AAAAAGAAAAPz8APwAAgAAAAAAAPC/AhwN4C2QoOC/Ag5Pr5RliPA/AAAAABgAAAD8/AD8AAIAAAAAAADwvwJBE2HD0yv2vwIbnl4pyxDhPwAAAAAYAAAA/PwA/AACAAAAAAAA8L8C0GbV52or9r8CysNCrWne3b8AAAAAGAAAAPz8APwAAgAAAAAAAPC/AoljXdxGAwLAAuVhodY07+6/AAAAABgAAAD8/AD8AAIAAAAAAADwvwKqE9BE2PAIwALKw0Ktad7dvwAAAAAYAAAA/PwA/AACAAAAAAAA8L8C4umVsgzxCMACG55eKcsQ4T8AAAAAHAAAAPz8APwAAgAAAAAAAPC/AsE5I0p7AwLAAg5Pr5RliPA/AAAAABgAAAD8/AD8AAIAAAAAAADwvwLQZtXnaivWPwIGEhQ/xtzdvwAAAAAYAAAA/PwA/AACAAAAAAAA8L8C9rnaiv1l8z8CAwmKH2Pu7r8AAAAAAREAAAD8/AD8AAIAAAAAAADwvwL+1HjpJnESQAKsrdhfdk+OvwAAAAABEQAAAPz8APwAAgAAAAAAAPC/AoxK6gQ0kRZAAgkbnl4py5A/AAAAAAERAAAA/PwA/AACAAAAAAAA8L8CNs07TtHRGkACZvfkYaHWtD8AAAAAARAABAFlBAAAAAAAAAAABAgBZQQAAAAAAAAAAAgMAWUEAAAAAAAAAAAMEAFlBAAAAAAAAAAAEBQBZQQAAAAAAAAAABQYAWUEAAAAAAAAAAAYHAFlBAAAAAAAAAAAHCABZQgMAAAAAAAAACAkAWUEAAAAAAAAAAAkKAFlCAgAAAAAAAAAKCwBZQQAAAAAAAAAACwwAWUICAAAAAAAAAAwHAFlBAAAAAAAAAAAFDQBZQQAAAAAAAAAADQ4AWUEAAAAAAAAAAA4CAFlBAAAAAAAAAAAAAAAAA==</t>
        </r>
      </text>
    </comment>
    <comment ref="A355" authorId="0" shapeId="0" xr:uid="{4D6F4292-3984-4F8E-B12B-EFFADB1EB679}">
      <text>
        <r>
          <rPr>
            <sz val="9"/>
            <color indexed="81"/>
            <rFont val="MS P ゴシック"/>
            <family val="3"/>
            <charset val="128"/>
          </rPr>
          <t>Insight iXlW00001C0000355R0585476093S00000708P01344LAocjBAQBF1NjaVRlZ2ljLmRhdGEuTW9sZWN1bGUBbwF/ARJTY2lUZWdpYy5Nb2xlY3VsZQAAAQFkAv5qAQAAAAIAAgESHAAAAPz8APwAAgAAAAAAAPC/ApZDi2znew5AAsrDQq1p3t2/AAAAABgAAAD8/AD8AAIAAAAAAADwvwJ1kxgEVo4HQALlYaHWNO/uvwAAAAAYAAAA/PwA/AACAAAAAAAA8L8CHA3gLZCgAEACysNCrWne3b8AAAAAGAAAAPz8APwAAgAAAAAAAPC/AhwN4C2QoABAAhueXinLEOE/AAAAABgAAAD8/AD8AAIAAAAAAADwvwL2udqK/WXzPwIOT6+UZYjwPwAAAAAcAAAA/PwA/AACAAAAAAAA8L8C0GbV52or1j8CG55eKcsQ4T8AAAAAGAAAAPz8APwAAgAAAAAAAPC/AhwN4C2QoOC/Ag5Pr5RliPA/AAAAABgAAAD8/AD8AAIAAAAAAADwvwJBE2HD0yv2vwIbnl4pyxDhPwAAAAAYAAAA/PwA/AACAAAAAAAA8L8CwTkjSnsDAsACDk+vlGWI8D8AAAAAGAAAAPz8APwAAgAAAAAAAPC/AuLplbIM8QjAAhueXinLEOE/AAAAABgAAAD8/AD8AAIAAAAAAADwvwKqE9BE2PAIwALKw0Ktad7dvwAAAAAcAAAA/PwA/AACAAAAAAAA8L8CiWNd3EYDAsAC5WGh1jTv7r8AAAAAGAAAAPz8APwAAgAAAAAAAPC/AtBm1edqK/a/AsrDQq1p3t2/AAAAABgAAAD8/AD8AAIAAAAAAADwvwLQZtXnaivWPwIGEhQ/xtzdvwAAAAAYAAAA/PwA/AACAAAAAAAA8L8C9rnaiv1l8z8CAwmKH2Pu7r8AAAAAAREAAAD8/AD8AAIAAAAAAADwvwL+1HjpJnESQAKsrdhfdk+OvwAAAAABEQAAAPz8APwAAgAAAAAAAPC/AoxK6gQ0kRZAAgkbnl4py5A/AAAAAAERAAAA/PwA/AACAAAAAAAA8L8CNs07TtHRGkACZvfkYaHWtD8AAAAAARAABAFlBAAAAAAAAAAABAgBZQQAAAAAAAAAAAgMAWUEAAAAAAAAAAAMEAFlBAAAAAAAAAAAEBQBZQQAAAAAAAAAABQYAWUEAAAAAAAAAAAYHAFlBAAAAAAAAAAAHCABZQgMAAAAAAAAACAkAWUEAAAAAAAAAAAkKAFlCAgAAAAAAAAAKCwBZQQAAAAAAAAAACwwAWUICAAAAAAAAAAwHAFlBAAAAAAAAAAAFDQBZQQAAAAAAAAAADQ4AWUEAAAAAAAAAAA4CAFlBAAAAAAAAAAAAAAAAA==</t>
        </r>
      </text>
    </comment>
    <comment ref="A356" authorId="0" shapeId="0" xr:uid="{50AC40A7-44CD-41FE-B79E-5E0C6C139907}">
      <text>
        <r>
          <rPr>
            <sz val="9"/>
            <color indexed="81"/>
            <rFont val="MS P ゴシック"/>
            <family val="3"/>
            <charset val="128"/>
          </rPr>
          <t>Insight iXlW00001C0000356R0585476093S00000710P01344LAocjBAQBF1NjaVRlZ2ljLmRhdGEuTW9sZWN1bGUBbwF/ARJTY2lUZWdpYy5Nb2xlY3VsZQAAAQFkAv5qAQAAAAIAAgESHAAAAPz8APwAAgAAAAAAAPC/ApZDi2znew5AAsrDQq1p3t2/AAAAABgAAAD8/AD8AAIAAAAAAADwvwJ1kxgEVo4HQALlYaHWNO/uvwAAAAAYAAAA/PwA/AACAAAAAAAA8L8CVOOlm8SgAEACysNCrWne3b8AAAAAGAAAAPz8APwAAgAAAAAAAPC/AhwN4C2QoABAAhueXinLEOE/AAAAABgAAAD8/AD8AAIAAAAAAADwvwL2udqK/WXzPwIOT6+UZYjwPwAAAAAcAAAA/PwA/AACAAAAAAAA8L8C0GbV52or1j8CG55eKcsQ4T8AAAAAGAAAAPz8APwAAgAAAAAAAPC/AhwN4C2QoOC/Ag5Pr5RliPA/AAAAABgAAAD8/AD8AAIAAAAAAADwvwLQZtXnaiv2vwIbnl4pyxDhPwAAAAAYAAAA/PwA/AACAAAAAAAA8L8CQRNhw9Mr9r8CBhIUP8bc3b8AAAAAGAAAAPz8APwAAgAAAAAAAPC/AsE5I0p7AwLAAgMJih9j7u6/AAAAABwAAAD8/AD8AAIAAAAAAADwvwLi6ZWyDPEIwALKw0Ktad7dvwAAAAAYAAAA/PwA/AACAAAAAAAA8L8C4umVsgzxCMACG55eKcsQ4T8AAAAAGAAAAPz8APwAAgAAAAAAAPC/AsE5I0p7AwLAAg5Pr5RliPA/AAAAABgAAAD8/AD8AAIAAAAAAADwvwLQZtXnaivWPwIGEhQ/xtzdvwAAAAAYAAAA/PwA/AACAAAAAAAA8L8C9rnaiv1l8z8CAwmKH2Pu7r8AAAAAAREAAAD8/AD8AAIAAAAAAADwvwL+1HjpJnESQAKsrdhfdk+OvwAAAAABEQAAAPz8APwAAgAAAAAAAPC/AoxK6gQ0kRZAAgkbnl4py5A/AAAAAAERAAAA/PwA/AACAAAAAAAA8L8CNs07TtHRGkACZvfkYaHWtD8AAAAAARAABAFlBAAAAAAAAAAABAgBZQQAAAAAAAAAAAgMAWUEAAAAAAAAAAAMEAFlBAAAAAAAAAAAEBQBZQQAAAAAAAAAABQYAWUEAAAAAAAAAAAYHAFlBAAAAAAAAAAAHCABZQgMAAAAAAAAACAkAWUEAAAAAAAAAAAkKAFlCAgAAAAAAAAAKCwBZQQAAAAAAAAAACwwAWUICAAAAAAAAAAwHAFlBAAAAAAAAAAAFDQBZQQAAAAAAAAAADQ4AWUEAAAAAAAAAAA4CAFlBAAAAAAAAAAAAAAAAA==</t>
        </r>
      </text>
    </comment>
    <comment ref="A357" authorId="0" shapeId="0" xr:uid="{84DF6052-4A21-4916-934C-E1CE28AFE74B}">
      <text>
        <r>
          <rPr>
            <sz val="9"/>
            <color indexed="81"/>
            <rFont val="MS P ゴシック"/>
            <family val="3"/>
            <charset val="128"/>
          </rPr>
          <t>Insight iXlW00001C0000357R0585476093S00000712P01360LAocjBAQBF1NjaVRlZ2ljLmRhdGEuTW9sZWN1bGUBbwF/ARJTY2lUZWdpYy5Nb2xlY3VsZQAAAQFkAv5qAQAAAAIAAgESHAAAAPz8APwAAgAAAAAAAPC/AkCk374OnA9AAo9TdCSX/+K/AAAAABgAAAD8/AD8AAIAAAAAAADwvwIf9GxWfa4IQALIKTqSy3/xvwAAAAAYAAAA/PwA/AACAAAAAAAA8L8C/0P67evAAUACj1N0JJf/4r8AAAAAGAAAAPz8APwAAgAAAAAAAPC/Av9D+u3rwAFAAh6n6Egu/9k/AAAAABgAAAD8/AD8AAIAAAAAAADwvwK7Jw8Ltab1PwKPU3Qkl//sPwAAAAAcAAAA/PwA/AACAAAAAAAA8L8CI2x4eqUs3z8C4lgXt9EA2j8AAAAAGAAAAPz8APwAAgAAAAAAAPC/AuQUHcnlP9i/AnGsi9toAO0/AAAAABgAAAD8/AD8AAIAAAAAAADwvwJ7pSxDHOvzvwLiWBe30QDaPwAAAAAYAAAA/PwA/AACAAAAAAAA8L8Ce6UsQxzr878Cj1N0JJf/4r8AAAAAGAAAAPz8APwAAgAAAAAAAPC/At4CCYof4wDAAsgpOpLLf/G/AAAAABgAAAD8/AD8AAIAAAAAAADwvwI4iUFg5dAHwAJxrIvbaADjvwAAAAAYAAAA/PwA/AACAAAAAAAA8L8COIlBYOXQB8ACHqfoSC7/2T8AAAAAGAAAAPz8APwAAgAAAAAAAPC/At4CCYof4wDAAo9TdCSX/+w/AAAAAAERAAAA/PwA/AACAAAAAAAA8L8C3gIJih/jAMACyCk6kst//j8AAAAAGAAAAPz8APwAAgAAAAAAAPC/Aucdp+hILt8/Ao9TdCSX/+K/AAAAABgAAAD8/AD8AAIAAAAAAADwvwK7Jw8Ltab1PwLIKTqSy3/xvwAAAAABEQAAAPz8APwAAgAAAAAAAPC/AlMFo5I6ARNAAo9TdCSX/9g/AAAAAAERAAAA/PwA/AACAAAAAAAA8L8C4noUrkchF0ACcayL22gA2z8AAAAAAREABAFlBAAAAAAAAAAABAgBZQQAAAAAAAAAAAgMAWUEAAAAAAAAAAAMEAFlBAAAAAAAAAAAEBQBZQQAAAAAAAAAABQYAWUEAAAAAAAAAAAYHAFlBAAAAAAAAAAAHCABZQgMAAAAAAAAACAkAWUEAAAAAAAAAAAkKAFlCAgAAAAAAAAAKCwBZQQAAAAAAAAAACwwAWUICAAAAAAAAAAwHAFlBAAAAAAAAAAAMDQBZQQAAAAAAAAAABQ4AWUEAAAAAAAAAAA4PAFlBAAAAAAAAAAAPAgBZQQAAAAAAAAAAAAAAAA=</t>
        </r>
      </text>
    </comment>
    <comment ref="A358" authorId="0" shapeId="0" xr:uid="{8B811F93-5300-40DA-9088-463DE145FF1B}">
      <text>
        <r>
          <rPr>
            <sz val="9"/>
            <color indexed="81"/>
            <rFont val="MS P ゴシック"/>
            <family val="3"/>
            <charset val="128"/>
          </rPr>
          <t>Insight iXlW00001C0000358R0585476093S00000714P01360LAocjBAQBF1NjaVRlZ2ljLmRhdGEuTW9sZWN1bGUBbwF/ARJTY2lUZWdpYy5Nb2xlY3VsZQAAAQFkAv5qAQAAAAIAAgESHAAAAPz8APwAAgAAAAAAAPC/ArByaJHtPBBAAh6n6Egu/9m/AAAAABgAAAD8/AD8AAIAAAAAAADwvwJANV66SYwJQAKPU3Qkl//svwAAAAAYAAAA/PwA/AACAAAAAAAA8L8C5q4l5IOeAkACHqfoSC7/2b8AAAAAGAAAAPz8APwAAgAAAAAAAPC/AuauJeSDngJAAo9TdCSX/+I/AAAAABgAAAD8/AD8AAIAAAAAAADwvwKL/WX35GH3PwLIKTqSy3/xPwAAAAAcAAAA/PwA/AACAAAAAAAA8L8CkzoBTYQN4z8CcayL22gA4z8AAAAAGAAAAPz8APwAAgAAAAAAAPC/AuELk6mCUdG/AjnWxW00gPE/AAAAABgAAAD8/AD8AAIAAAAAAADwvwKrz9VW7C/yvwJxrIvbaADjPwAAAAAYAAAA/PwA/AACAAAAAAAA8L8Cq8/VVuwv8r8CHqfoSC7/2b8AAAAAGAAAAPz8APwAAgAAAAAAAPC/AvaX3ZOHBQDAAnGsi9toAO2/AAAAABgAAAD8/AD8AAIAAAAAAADwvwIXSFD8GPMGwALiWBe30QDavwAAAAABEQAAAPz8APwAAgAAAAAAAPC/Ajj4wmSq4A3AAnGsi9toAO2/AAAAABgAAAD8/AD8AAIAAAAAAADwvwIXSFD8GPMGwAKPU3Qkl//iPwAAAAAYAAAA/PwA/AACAAAAAAAA8L8C9pfdk4cFAMACyCk6kst/8T8AAAAAGAAAAPz8APwAAgAAAAAAAPC/ApM6AU2EDeM/Ah6n6Egu/9m/AAAAABgAAAD8/AD8AAIAAAAAAADwvwKL/WX35GH3PwKPU3Qkl//svwAAAAABEQAAAPz8APwAAgAAAAAAAPC/AuSlm8QgcBNAAjxO0ZFc/rM/AAAAAAERAAAA/PwA/AACAAAAAAAA8L8CchsN4C2QF0ACxbEubqMBvD8AAAAAAREABAFlBAAAAAAAAAAABAgBZQQAAAAAAAAAAAgMAWUEAAAAAAAAAAAMEAFlBAAAAAAAAAAAEBQBZQQAAAAAAAAAABQYAWUEAAAAAAAAAAAYHAFlBAAAAAAAAAAAHCABZQgMAAAAAAAAACAkAWUEAAAAAAAAAAAkKAFlCAwAAAAAAAAAKCwBZQQAAAAAAAAAACgwAWUEAAAAAAAAAAAwNAFlCAgAAAAAAAAANBwBZQQAAAAAAAAAABQ4AWUEAAAAAAAAAAA4PAFlBAAAAAAAAAAAPAgBZQQAAAAAAAAAAAAAAAA=</t>
        </r>
      </text>
    </comment>
    <comment ref="A359" authorId="0" shapeId="0" xr:uid="{E8F251CE-954E-47FF-9254-518D24250B7E}">
      <text>
        <r>
          <rPr>
            <sz val="9"/>
            <color indexed="81"/>
            <rFont val="MS P ゴシック"/>
            <family val="3"/>
            <charset val="128"/>
          </rPr>
          <t>Insight iXlW00001C0000359R0585476093S00000716P01360LAocjBAQBF1NjaVRlZ2ljLmRhdGEuTW9sZWN1bGUBbwF/ARJTY2lUZWdpYy5Nb2xlY3VsZQAAAQFkAv5qAQAAAAIAAgESHAAAAPz8APwAAgAAAAAAAPC/AkCk374OnA9AAo9TdCSX/+K/AAAAABgAAAD8/AD8AAIAAAAAAADwvwIf9GxWfa4IQALIKTqSy3/xvwAAAAAYAAAA/PwA/AACAAAAAAAA8L8C/0P67evAAUACj1N0JJf/4r8AAAAAGAAAAPz8APwAAgAAAAAAAPC/Av9D+u3rwAFAAh6n6Egu/9k/AAAAABgAAAD8/AD8AAIAAAAAAADwvwK7Jw8Ltab1PwKPU3Qkl//sPwAAAAAcAAAA/PwA/AACAAAAAAAA8L8CI2x4eqUs3z8C4lgXt9EA2j8AAAAAGAAAAPz8APwAAgAAAAAAAPC/AuQUHcnlP9i/AnGsi9toAO0/AAAAABgAAAD8/AD8AAIAAAAAAADwvwJ7pSxDHOvzvwLiWBe30QDaPwAAAAAYAAAA/PwA/AACAAAAAAAA8L8Ce6UsQxzr878Cj1N0JJf/4r8AAAAAGAAAAPz8APwAAgAAAAAAAPC/At4CCYof4wDAAsgpOpLLf/G/AAAAABgAAAD8/AD8AAIAAAAAAADwvwI4iUFg5dAHwAJxrIvbaADjvwAAAAAYAAAA/PwA/AACAAAAAAAA8L8COIlBYOXQB8ACHqfoSC7/2T8AAAAAGAAAAPz8APwAAgAAAAAAAPC/At4CCYof4wDAAo9TdCSX/+w/AAAAAAEjAAAA/PwA/AACAAAAAAAA8L8C3gIJih/jAMACyCk6kst//j8AAAAAGAAAAPz8APwAAgAAAAAAAPC/Aucdp+hILt8/Ao9TdCSX/+K/AAAAABgAAAD8/AD8AAIAAAAAAADwvwK7Jw8Ltab1PwLIKTqSy3/xvwAAAAABEQAAAPz8APwAAgAAAAAAAPC/AlMFo5I6ARNAAo9TdCSX/9g/AAAAAAERAAAA/PwA/AACAAAAAAAA8L8C4noUrkchF0ACcayL22gA2z8AAAAAAREABAFlBAAAAAAAAAAABAgBZQQAAAAAAAAAAAgMAWUEAAAAAAAAAAAMEAFlBAAAAAAAAAAAEBQBZQQAAAAAAAAAABQYAWUEAAAAAAAAAAAYHAFlBAAAAAAAAAAAHCABZQgMAAAAAAAAACAkAWUEAAAAAAAAAAAkKAFlCAgAAAAAAAAAKCwBZQQAAAAAAAAAACwwAWUICAAAAAAAAAAwHAFlBAAAAAAAAAAAMDQBZQQAAAAAAAAAABQ4AWUEAAAAAAAAAAA4PAFlBAAAAAAAAAAAPAgBZQQAAAAAAAAAAAAAAAA=</t>
        </r>
      </text>
    </comment>
    <comment ref="A360" authorId="0" shapeId="0" xr:uid="{D46D9273-8C36-4F6B-A124-59263FF0EF20}">
      <text>
        <r>
          <rPr>
            <sz val="9"/>
            <color indexed="81"/>
            <rFont val="MS P ゴシック"/>
            <family val="3"/>
            <charset val="128"/>
          </rPr>
          <t>Insight iXlW00001C0000360R0585476093S00000718P01360LAocjBAQBF1NjaVRlZ2ljLmRhdGEuTW9sZWN1bGUBbwF/ARJTY2lUZWdpYy5Nb2xlY3VsZQAAAQFkAv5qAQAAAAIAAgESHAAAAPz8APwAAgAAAAAAAPC/Alg5tMh2vg5AAo9TdCSX/+K/AAAAABgAAAD8/AD8AAIAAAAAAADwvwI4iUFg5dAHQALIKTqSy3/xvwAAAAAYAAAA/PwA/AACAAAAAAAA8L8C3gIJih/jAEACj1N0JJf/4r8AAAAAGAAAAPz8APwAAgAAAAAAAPC/At4CCYof4wBAAh6n6Egu/9k/AAAAABgAAAD8/AD8AAIAAAAAAADwvwJ7pSxDHOvzPwKPU3Qkl//sPwAAAAAcAAAA/PwA/AACAAAAAAAA8L8C5BQdyeU/2D8C4lgXt9EA2j8AAAAAGAAAAPz8APwAAgAAAAAAAPC/AuQUHcnlP9g/Ao9TdCSX/+K/AAAAABgAAAD8/AD8AAIAAAAAAADwvwJ7pSxDHOvzPwLIKTqSy3/xvwAAAAAYAAAA/PwA/AACAAAAAAAA8L8C5x2n6Egu378CcayL22gA7T8AAAAAIAAAAPz8APwAAgAAAAAAAPC/Aucdp+hILt+/AjnWxW00gP4/AAAAABgAAAD8/AD8AAIAAAAAAADwvwK7Jw8Ltab1vwLiWBe30QDaPwAAAAAYAAAA/PwA/AACAAAAAAAA8L8C/0P67evAAcACj1N0JJf/7D8AAAAAGAAAAPz8APwAAgAAAAAAAPC/Ah/0bFZ9rgjAAh6n6Egu/9k/AAAAABgAAAD8/AD8AAIAAAAAAADwvwIf9GxWfa4IwAJxrIvbaADjvwAAAAAcAAAA/PwA/AACAAAAAAAA8L8C/0P67evAAcACOdbFbTSA8b8AAAAAGAAAAPz8APwAAgAAAAAAAPC/ArsnDwu1pvW/Ao9TdCSX/+K/AAAAAAERAAAA/PwA/AACAAAAAAAA8L8C30+Nl26SEkACj1N0JJf/2D8AAAAAAREAAAD8/AD8AAIAAAAAAADwvwJuxf6ye7IWQAJxrIvbaADbPwAAAAABEQAEAWUEAAAAAAAAAAAECAFlBAAAAAAAAAAACAwBZQQAAAAAAAAAAAwQAWUEAAAAAAAAAAAQFAFlBAAAAAAAAAAAFBgBZQQAAAAAAAAAABgcAWUEAAAAAAAAAAAcCAFlBAAAAAAAAAAAFCABZQQAAAAAAAAAACAkAWUIAAAAAAAAAAAgKAFlBAAAAAAAAAAAKCwBZQgMAAAAAAAAACwwAWUEAAAAAAAAAAAwNAFlCAgAAAAAAAAANDgBZQQAAAAAAAAAADg8AWUICAAAAAAAAAA8KAFlBAAAAAAAAAAAAAAAAA==</t>
        </r>
      </text>
    </comment>
    <comment ref="A361" authorId="0" shapeId="0" xr:uid="{328DD0ED-A12D-4AC6-9AE5-CD9DFD02993B}">
      <text>
        <r>
          <rPr>
            <sz val="9"/>
            <color indexed="81"/>
            <rFont val="MS P ゴシック"/>
            <family val="3"/>
            <charset val="128"/>
          </rPr>
          <t>Insight iXlW00001C0000361R0585476093S00000720P01376LAocjBAQBF1NjaVRlZ2ljLmRhdGEuTW9sZWN1bGUBbwF/ARJTY2lUZWdpYy5Nb2xlY3VsZQAAAQFkAv5qAQAAAAIAAgESHAAAAPz8APwAAgAAAAAAAPC/An0/NV66yQ9AAoPix5i7lua/AAAAABgAAAD8/AD8AAIAAAAAAADwvwJcj8L1KNwIQAJB8WPMXUvzvwAAAAAYAAAA/PwA/AACAAAAAAAA8L8CPN9PjZfuAUACg+LHmLuW5r8AAAAAGAAAAPz8APwAAgAAAAAAAPC/AjzfT42X7gFAAvw6cM6I0tI/AAAAABgAAAD8/AD8AAIAAAAAAADwvwLEsS5uowH2PwJ+HThnRGnpPwAAAAAcAAAA/PwA/AACAAAAAAAA8L8CBqOSOgFN4D8C/DpwzojS0j8AAAAAGAAAAPz8APwAAgAAAAAAAPC/AgajkjoBTeA/AoPix5i7lua/AAAAABgAAAD8/AD8AAIAAAAAAADwvwI2XrpJDAL2PwJB8WPMXUvzvwAAAAAYAAAA/PwA/AACAAAAAAAA8L8C/DpwzojS1r8Cfh04Z0Rp6T8AAAAAIAAAAPz8APwAAgAAAAAAAPC/Avw6cM6I0ta/Ar8OnDOitPw/AAAAABgAAAD8/AD8AAIAAAAAAADwvwIBb4EExY/zvwL8OnDOiNLSPwAAAAAYAAAA/PwA/AACAAAAAAAA8L8CAW+BBMWP878Cg+LHmLuW5r8AAAAAGAAAAPz8APwAAgAAAAAAAPC/Ato9eViotQDAAkHxY8xdS/O/AAAAABgAAAD8/AD8AAIAAAAAAADwvwL77evAOaMHwAKD4seYu5bmvwAAAAAYAAAA/PwA/AACAAAAAAAA8L8C++3rwDmjB8AC/DpwzojS0j8AAAAAGAAAAPz8APwAAgAAAAAAAPC/AqFns+pztQDAAn4dOGdEaek/AAAAACQAAAD8/AD8AAIAAAAAAADwvwKhZ7Pqc7UAwAK/DpwzorT8PwAAAAABEQAAAPz8APwAAgAAAAAAAPC/AvLSTWIQGBNAAvw6cM6I0tI/AAAAAAESAAQBZQQAAAAAAAAAAAQIAWUEAAAAAAAAAAAIDAFlBAAAAAAAAAAADBABZQQAAAAAAAAAABAUAWUEAAAAAAAAAAAUGAFlBAAAAAAAAAAAGBwBZQQAAAAAAAAAABwIAWUEAAAAAAAAAAAUIAFlBAAAAAAAAAAAICQBZQgAAAAAAAAAACAoAWUEAAAAAAAAAAAoLAFlCAwAAAAAAAAALDABZQQAAAAAAAAAADA0AWUICAAAAAAAAAA0OAFlBAAAAAAAAAAAODwBZQgIAAAAAAAAADwoAWUEAAAAAAAAAAA8ARABZQQAAAAAAAAAAAAAAAA=</t>
        </r>
      </text>
    </comment>
    <comment ref="A362" authorId="0" shapeId="0" xr:uid="{5D968E13-D9B0-4F13-B60F-FDB8697A3125}">
      <text>
        <r>
          <rPr>
            <sz val="9"/>
            <color indexed="81"/>
            <rFont val="MS P ゴシック"/>
            <family val="3"/>
            <charset val="128"/>
          </rPr>
          <t>Insight iXlW00001C0000362R0585476093S00000722P01000LAocjBAQBF1NjaVRlZ2ljLmRhdGEuTW9sZWN1bGUBbwF/ARJTY2lUZWdpYy5Nb2xlY3VsZQAAAQFkAv5qAQAAAAIAAjgYAAAA/PwA/AACAAAAAAAA8L8CM1UwKqkTB8ACg8DKoUW2678AAAAAGAAAAPz8APwAAgAAAAAAAPC/AjNVMCqpEwPAAAAAAAABEAAAAPz8APwAAgAAAAAAAPC/AmWqYFRSJ/a/AAAAAAAgAAAA/PwA/AACAAAAAAAA8L8CZapgVFIn9r8CAAAAAAAA8L8AAAAAIAAAAPz8APwAAgAAAAAAAPC/AmWqYFRSJ/a/AQAAAAAcAAAA/PwA/AACAAAAAAAA8L8Ck6mCUUmd2L8AAAAAABgAAAD8/AD8AAIAAAAAAADwvwK0WfW52oq9PwKDwMqhRbbrPwAAAAAYAAAA/PwA/AACAAAAAAAA8L8Cm1Wfq63Y8T8Cg8DKoUW26z8AAAAAGAAAAPz8APwAAgAAAAAAAPC/ApxVn6ut2Pk/AAAAAAAYAAAA/PwA/AACAAAAAAAA8L8CzqrP1VbsBEAAAAAAABwAAAD8/AD8AAIAAAAAAADwvwLOqs/VVuwIQAKDwMqhRbbrPwAAAAAYAAAA/PwA/AACAAAAAAAA8L8Cm1Wfq63Y8T8Cg8DKoUW2678AAAAAGAAAAPz8APwAAgAAAAAAAPC/ArRZ9bnair0/AoPAyqFFtuu/AAAAAAERAAAA/PwA/AACAAAAAAAA8L8CNBE2PL1SD0AAAAAAADQABAFlBAAAAAAAAAAABAgBZQQAAAAAAAAAAAgMAWUIAAAAAAAAAAAIEAFlCAAAAAAAAAAACBQBZQQAAAAAAAAAABQYAWUEAAAAAAAAAAAYHAFlBAAAAAAAAAAAHCABZQQAAAAAAAAAACAkAWUEAAAAAAAAAAAkKAFlBAAAAAAAAAAAICwBZQQAAAAAAAAAACwwAWUEAAAAAAAAAAAwFAFlBAAAAAAAAAAAAAAAAA==</t>
        </r>
      </text>
    </comment>
    <comment ref="A363" authorId="0" shapeId="0" xr:uid="{3C38135C-43FC-4096-8057-946826644AE9}">
      <text>
        <r>
          <rPr>
            <sz val="9"/>
            <color indexed="81"/>
            <rFont val="MS P ゴシック"/>
            <family val="3"/>
            <charset val="128"/>
          </rPr>
          <t>Insight iXlW00001C0000363R0585476093S00000724P01144LAocjBAQBF1NjaVRlZ2ljLmRhdGEuTW9sZWN1bGUBbwF/ARJTY2lUZWdpYy5Nb2xlY3VsZQAAAQFkAv5qAQAAAAIAAjwYAAAA/PwA/AACAAAAAAAA8L8CWoY41sVtBcACN6s+V1ux7b8AAAAAGAAAAPz8APwAAgAAAAAAAPC/AlqGONbFbQHAAjerPldbsa+/AAAAABgAAAD8/AD8AAIAAAAAAADwvwJahjjWxW0FwAKyLm6jAbzpPwAAAAABEAAAAPz8APwAAgAAAAAAAPC/ArMMcayL2/K/AjerPldbsa+/AAAAACAAAAD8/AD8AAIAAAAAAADwvwKzDHGsi9vyvwJa9bnaiv3wvwAAAAAgAAAA/PwA/AACAAAAAAAA8L8CswxxrIvb8r8CTRWMSuoE7j8AAAAAHAAAAPz8APwAAgAAAAAAAPC/ApVliGNd3Ma/AjerPldbsa+/AAAAABgAAAD8/AD8AAIAAAAAAADwvwI2zTtO0ZHUPwLQ1VbsL7vpPwAAAAAYAAAA/PwA/AACAAAAAAAA8L8CTvOOU3Qk9T8C0NVW7C+76T8AAAAAGAAAAPz8APwAAgAAAAAAAPC/Ak7zjlN0JP0/AjerPldbsa+/AAAAABgAAAD8/AD8AAIAAAAAAADwvwKneccpOpIGQAI3qz5XW7GvvwAAAAAcAAAA/PwA/AACAAAAAAAA8L8Cp3nHKTqSCkACsi5uowG86T8AAAAAGAAAAPz8APwAAgAAAAAAAPC/Ak7zjlN0JPU/AjerPldbse2/AAAAABgAAAD8/AD8AAIAAAAAAADwvwI2zTtO0ZHUPwI3qz5XW7HtvwAAAAABEQAAAPz8APwAAgAAAAAAAPC/AgfwFkhQfBBAAjerPldbsa+/AAAAADgABAFlBAAAAAAAAAAABAgBZQQAAAAAAAAAAAQMAWUEAAAAAAAAAAAMEAFlCAAAAAAAAAAADBQBZQgAAAAAAAAAAAwYAWUEAAAAAAAAAAAYHAFlBAAAAAAAAAAAHCABZQQAAAAAAAAAACAkAWUEAAAAAAAAAAAkKAFlBAAAAAAAAAAAKCwBZQQAAAAAAAAAACQwAWUEAAAAAAAAAAAwNAFlBAAAAAAAAAAANBgBZQQAAAAAAAAAAAAAAAA=</t>
        </r>
      </text>
    </comment>
    <comment ref="A364" authorId="0" shapeId="0" xr:uid="{A01A66B7-8E60-43ED-98C0-A15B2215E596}">
      <text>
        <r>
          <rPr>
            <sz val="9"/>
            <color indexed="81"/>
            <rFont val="MS P ゴシック"/>
            <family val="3"/>
            <charset val="128"/>
          </rPr>
          <t>Insight iXlW00001C0000364R0585476093S00000726P01304LAocjBAQBF1NjaVRlZ2ljLmRhdGEuTW9sZWN1bGUBbwF/ARJTY2lUZWdpYy5Nb2xlY3VsZQAAAQFkAv5qAQAAAAIAAgERGAAAAPz8APwAAgAAAAAAAPC/AvmgZ7Pqc/g/AqkT0ETY8OC/AAAAABwAAAD8/AD8AAIAAAAAAADwvwJgdk8eFmoGwAJX7C+7Jw/vPwAAAAAcAAAA/PwA/AACAAAAAAAA8L8Cb4EExY8x5T8CJnUCmggbnr8AAAAAIAAAAPz8APwAAgAAAAAAAPC/Ap6AJsKGJwNAAiZ1ApoIG56/AAAAACAAAAD8/AD8AAIAAAAAAADwvwL5oGez6nP4PwLVCWgibHj4vwAAAAAYAAAA/PwA/AACAAAAAAAA8L8CvjCZKhgVCkACqRPQRNjw4L8AAAAAGAAAAPz8APwAAgAAAAAAAPC/An+MuWsJ+f6/Aiz2l92Th/c/AAAAABgAAAD8/AD8AAIAAAAAAADwvwJgdk8eFmoGwAImdQKaCBuevwAAAAAYAAAA/PwA/AACAAAAAAAA8L8C2V92Tx4Wyr8CqRPQRNjw4L8AAAAAGAAAAPz8APwAAgAAAAAAAPC/Aj0s1JrmHfG/AiZ1ApoIG56/AAAAABgAAAD8/AD8AAIAAAAAAADwvwI9LNSa5h3xvwJX7C+7Jw/vPwAAAAAYAAAA/PwA/AACAAAAAAAA8L8Cf4y5awn5/r8CqRPQRNjw4L8AAAAAGAAAAPz8APwAAgAAAAAAAPC/Arr8h/TbVw3AAiz2l92Th/c/AAAAABgAAAD8/AD8AAIAAAAAAADwvwK+MJkqGBUOQAK0WfW52orVPwAAAAAYAAAA/PwA/AACAAAAAAAA8L8CjNtoAG+BEEAC1QloImx48L8AAAAAGAAAAPz8APwAAgAAAAAAAPC/Ar4wmSoYFQZAAhZqTfOOU/a/AAAAABgAAAD8/AD8AAIAAAAAAADwvwJtVn2utiISwAJX7C+7Jw/vPwAAAAABEQQcAWUEAAAAAAAAAAAIAAFlBAAAAAAAAAAADAABZQQAAAAAAAAAABAAAWUIAAAAAAAAAAAUDAFlBAAAAAAAAAAAGCgBZQQAAAAAAAAAABwsAWUEAAAAAAAAAAAgCAFlBAAAAAAAAAAAJCABZQQAAAAAAAAAACgkAWUEAAAAAAAAAAAsJAFlBAAAAAAAAAAAMAQBZQQAAAAAAAAAADQUAWUEAAAAAAAAAAA4FAFlBAAAAAAAAAAAPBQBZQQAAAAAAAAAAAEQMAFlBAAAAAAAAAAABBgBZQQAAAAAAAAAAAAAAAA=</t>
        </r>
      </text>
    </comment>
    <comment ref="A365" authorId="0" shapeId="0" xr:uid="{698A8DD3-8CCE-4FC3-A162-1A0A62915BAD}">
      <text>
        <r>
          <rPr>
            <sz val="9"/>
            <color indexed="81"/>
            <rFont val="MS P ゴシック"/>
            <family val="3"/>
            <charset val="128"/>
          </rPr>
          <t>Insight iXlW00001C0000365R0585476093S00000728P01376LAocjBAQBF1NjaVRlZ2ljLmRhdGEuTW9sZWN1bGUBbwF/ARJTY2lUZWdpYy5Nb2xlY3VsZQAAAQFkAv5qAQAAAAIAAgESHAAAAPz8APwAAgAAAAAAAPC/AhPyQc9mVQXAApm7lpAPeuK/AAAAABgAAAD8/AD8AAIAAAAAAADwvwLbG3xhMlX9PwKZu5aQD3rSPwAAAAAcAAAA/PwA/AACAAAAAAAA8L8CtTf4wmSq6j8CmbuWkA960j8AAAAAIAAAAPz8APwAAgAAAAAAAPC/Au0NvjCZqgJAAigPC7WmefI/AAAAACAAAAD8/AD8AAIAAAAAAADwvwLtDb4wmaoCQAK3Yn/ZPXnivwAAAAAYAAAA/PwA/AACAAAAAAAA8L8CE/JBz2ZVAcAC1QloImx40j8AAAAAGAAAAPz8APwAAgAAAAAAAPC/AhPyQc9mVQHAAg6+MJkqGPe/AAAAABgAAAD8/AD8AAIAAAAAAADwvwLuDb4wmaoKQAIoDwu1pnnyPwAAAAAYAAAA/PwA/AACAAAAAAAA8L8CE/JBz2ZVDcACmbuWkA964r8AAAAAGAAAAPz8APwAAgAAAAAAAPC/Ampv8IXJVNU/Apm7lpAPeuK/AAAAABgAAAD8/AD8AAIAAAAAAADwvwIm5IOezaryvwLVCWgibHjSPwAAAAAYAAAA/PwA/AACAAAAAAAA8L8CJuSDns2q8r8CDr4wmSoY978AAAAAGAAAAPz8APwAAgAAAAAAAPC/AkzIBz2bVeW/Apm7lpAPeuK/AAAAABgAAAD8/AD8AAIAAAAAAADwvwLuDb4wmaoKQAKUh4Va0zwBQAAAAAAYAAAA/PwA/AACAAAAAAAA8L8C9wZfmExVEUACKA8LtaZ58j8AAAAAGAAAAPz8APwAAgAAAAAAAPC/Au4NvjCZqgpAAj55WKg1zcM/AAAAABgAAAD8/AD8AAIAAAAAAADwvwIK+aBns6oQwAIOvjCZKhj3vwAAAAAYAAAA/PwA/AACAAAAAAAA8L8CCvmgZ7OqEMACmbuWkA960j8AAAAAARIECAFlBAAAAAAAAAAACCQBZQQAAAAAAAAAAAwEAWUEAAAAAAAAAAAQBAFlCAAAAAAAAAAAFAABZQQAAAAAAAAAABgAAWUEAAAAAAAAAAAcDAFlBAAAAAAAAAAAIAABZQQAAAAAAAAAACQwAWUEAAAAAAAAAAAoFAFlBAAAAAAAAAAALBgBZQQAAAAAAAAAADAsAWUEAAAAAAAAAAA0HAFlBAAAAAAAAAAAOBwBZQQAAAAAAAAAADwcAWUEAAAAAAAAAAABECABZQQAAAAAAAAAAAERIAFlBAAAAAAAAAAAKDABZQQAAAAAAAAAAAAAAAA=</t>
        </r>
      </text>
    </comment>
    <comment ref="A366" authorId="0" shapeId="0" xr:uid="{05488FB3-AD9A-439C-929F-5A53940EBB24}">
      <text>
        <r>
          <rPr>
            <sz val="9"/>
            <color indexed="81"/>
            <rFont val="MS P ゴシック"/>
            <family val="3"/>
            <charset val="128"/>
          </rPr>
          <t>Insight iXlW00001C0000366R0585476093S00000730P01524LAocjBAQBF1NjaVRlZ2ljLmRhdGEuTW9sZWN1bGUBbwF/ARJTY2lUZWdpYy5Nb2xlY3VsZQAAAQFkAv5qAQAAAAIAAgEUHAAAAPz8APwAAgAAAAAAAPC/AjMzMzMzMwHAAhwN4C2QoOC/AAAAABgAAAD8/AD8AAIAAAAAAADwvwLNzMzMzMwCQALQZtXnaivWPwAAAAAcAAAA/PwA/AACAAAAAAAA8L8CmpmZmZmZ9T8C0GbV52or1j8AAAAAIAAAAPz8APwAAgAAAAAAAPC/As3MzMzMzAZAAva52or9ZfM/AAAAACAAAAD8/AD8AAIAAAAAAADwvwLNzMzMzMwGQAIcDeAtkKDgvwAAAAAYAAAA/PwA/AACAAAAAAAA8L8CZ2ZmZmZm+r8C0GbV52or1j8AAAAAGAAAAPz8APwAAgAAAAAAAPC/AmdmZmZmZvq/AtBm1edqK/a/AAAAABgAAAD8/AD8AAIAAAAAAADwvwLNzMzMzMwOQAL2udqK/WXzPwAAAAAYAAAA/PwA/AACAAAAAAAA8L8CNDMzMzMzCcACHA3gLZCg4L8AAAAAGAAAAPz8APwAAgAAAAAAAPC/AjQzMzMzM+s/AhwN4C2QoOC/AAAAABgAAAD8/AD8AAIAAAAAAADwvwLNzMzMzMzkvwLQZtXnaivWPwAAAAAYAAAA/PwA/AACAAAAAAAA8L8CzczMzMzM5L8C0GbV52or9r8AAAAAGAAAAPz8APwAAgAAAAAAAPC/AjMzMzMzM8O/AhwN4C2QoOC/AAAAABgAAAD8/AD8AAIAAAAAAADwvwLNzMzMzMwOQAL7XG3F/rIBQAAAAAAYAAAA/PwA/AACAAAAAAAA8L8CZ2ZmZmZmE0AC9rnaiv1l8z8AAAAAGAAAAPz8APwAAgAAAAAAAPC/As3MzMzMzA5AAqvP1VbsL8s/AAAAABgAAAD8/AD8AAIAAAAAAADwvwI0MzMzMzMNwALQZtXnaivWPwAAAAAYAAAA/PwA/AACAAAAAAAA8L8CNDMzMzMzDcAC0GbV52or9r8AAAAAGAAAAPz8APwAAgAAAAAAAPC/ApqZmZmZmRLAAtBm1edqK/a/AAAAABgAAAD8/AD8AAIAAAAAAADwvwKamZmZmZkSwALQZtXnaivWPwAAAAABFAQIAWUEAAAAAAAAAAAIJAFlBAAAAAAAAAAADAQBZQQAAAAAAAAAABAEAWUIAAAAAAAAAAAUAAFlBAAAAAAAAAAAGAABZQQAAAAAAAAAABwMAWUEAAAAAAAAAAAgAAFlBAAAAAAAAAAAJDABZQQAAAAAAAAAACgUAWUEAAAAAAAAAAAsGAFlBAAAAAAAAAAAMCwBZQQAAAAAAAAAADQcAWUEAAAAAAAAAAA4HAFlBAAAAAAAAAAAPBwBZQQAAAAAAAAAAAEQIAFlBAAAAAAAAAAAAREgAWUEAAAAAAAAAAABEgERAWUEAAAAAAAAAAABEwEQAWUEAAAAAAAAAAAoMAFlBAAAAAAAAAAAAAAAAA==</t>
        </r>
      </text>
    </comment>
    <comment ref="A367" authorId="0" shapeId="0" xr:uid="{1D37FA5F-BE4B-48D1-9EB2-901A2D5F7116}">
      <text>
        <r>
          <rPr>
            <sz val="9"/>
            <color indexed="81"/>
            <rFont val="MS P ゴシック"/>
            <family val="3"/>
            <charset val="128"/>
          </rPr>
          <t>Insight iXlW00001C0000367R0585476093S00000732P01448LAocjBAQBF1NjaVRlZ2ljLmRhdGEuTW9sZWN1bGUBbwF/ARJTY2lUZWdpYy5Nb2xlY3VsZQAAAQFkAv5qAQAAAAIAAgETGAAAAPz8APwAAgAAAAAAAPC/AtSa5h2naABAAgOaCBueXuO/AAAAABwAAAD8/AD8AAIAAAAAAADwvwIIrBxaZDsCwAL+ZffkYaHsPwAAAAAcAAAA/PwA/AACAAAAAAAA8L8CZ9Xnaiv28j8CFNBE2PD0ur8AAAAAIAAAAPz8APwAAgAAAAAAAPC/AvVKWYY4VgdAAhTQRNjw9Lq/AAAAACAAAAD8/AD8AAIAAAAAAADwvwLUmuYdp2gAQAICTYQNT6/5vwAAAAAYAAAA/PwA/AACAAAAAAAA8L8CT9GRXP5DDkACA5oIG55e478AAAAAGAAAAPz8APwAAgAAAAAAAPC/Ailcj8L1KAnAAv+ye/KwUPY/AAAAABgAAAD8/AD8AAIAAAAAAADwvwLP91PjpZv2vwL/snvysFD2PwAAAAAYAAAA/PwA/AACAAAAAAAA8L8CCKwcWmQ7AsACAwmKH2Puur8AAAAAGAAAAPz8APwAAgAAAAAAAPC/ApXUCWgibNQ/AgOaCBueXuO/AAAAABgAAAD8/AD8AAIAAAAAAADwvwIbL90kBoHhvwIU0ETY8PS6vwAAAAAYAAAA/PwA/AACAAAAAAAA8L8CGy/dJAaB4b8C/mX35GGh7D8AAAAAGAAAAPz8APwAAgAAAAAAAPC/As/3U+Olm/a/AiFB8WPMXeO/AAAAABgAAAD8/AD8AAIAAAAAAADwvwJB8WPMXQsQwAL+ZffkYaHsPwAAAAAYAAAA/PwA/AACAAAAAAAA8L8Cp+hILv8hEUACxv6ye/Kw0D8AAAAAGAAAAPz8APwAAgAAAAAAAPC/ArhAguLHmBJAAgFNhA1Pr/G/AAAAABgAAAD8/AD8AAIAAAAAAADwvwJP0ZFc/kMKQAJDrWnecYr3vwAAAAAYAAAA/PwA/AACAAAAAAAA8L8CQfFjzF0LEMACFNBE2PD0ur8AAAAAGAAAAPz8APwAAgAAAAAAAPC/AlJJnYAmghPAAv+ye/KwUPY/AAAAAAETBCABZQQAAAAAAAAAAAgAAWUEAAAAAAAAAAAMAAFlBAAAAAAAAAAAEAABZQgAAAAAAAAAABQMAWUEAAAAAAAAAAAYBAFlBAAAAAAAAAAAHCwBZQQAAAAAAAAAACAwAWUEAAAAAAAAAAAkCAFlBAAAAAAAAAAAKCQBZQQAAAAAAAAAACwoAWUEAAAAAAAAAAAwKAFlBAAAAAAAAAAANBgBZQQAAAAAAAAAADgUAWUEAAAAAAAAAAA8FAFlBAAAAAAAAAAAARAUAWUEAAAAAAAAAAABETQBZQQAAAAAAAAAAAESNAFlBAAAAAAAAAAABBwBZQQAAAAAAAAAAAAAAAA=</t>
        </r>
      </text>
    </comment>
    <comment ref="A368" authorId="0" shapeId="0" xr:uid="{35857F14-1E24-4E9B-8631-53CC97850A56}">
      <text>
        <r>
          <rPr>
            <sz val="9"/>
            <color indexed="81"/>
            <rFont val="MS P ゴシック"/>
            <family val="3"/>
            <charset val="128"/>
          </rPr>
          <t>Insight iXlW00001C0000368R0585476093S00000734P01540LAocjBAQBF1NjaVRlZ2ljLmRhdGEuTW9sZWN1bGUBbwF/ARJTY2lUZWdpYy5Nb2xlY3VsZQAAAQFkAv5qAQAAAAIAAgEUGAAAAPz8APwAAgAAAAAAAPC/AmgibHh6pQJAAi4hH/RsVuO/AAAAABwAAAD8/AD8AAIAAAAAAADwvwLpSC7/If3/vwLT3uALk6nsPwAAAAAcAAAA/PwA/AACAAAAAAAA8L8Cj+TyH9Jv9z8CbAn5oGezur8AAAAAIAAAAPz8APwAAgAAAAAAAPC/AsKopE5AkwlAAmwJ+aBns7q/AAAAACAAAAD8/AD8AAIAAAAAAADwvwJoImx4eqUCQAKXkA96Nqv5vwAAAAAYAAAA/PwA/AACAAAAAAAA8L8CcayL22hAEEACLiEf9GxW478AAAAAGAAAAPz8APwAAgAAAAAAAPC/ApXUCWgi7AbAAmpv8IXJVPY/AAAAABgAAAD8/AD8AAIAAAAAAADwvwKn6Egu/yHyvwJqb/CFyVT2PwAAAAAYAAAA/PwA/AACAAAAAAAA8L8C6Ugu/yH9/78CbAn5oGezur8AAAAAGAAAAPz8APwAAgAAAAAAAPC/ApoIG55eKeM/Ai4hH/RsVuO/AAAAABgAAAD8/AD8AAIAAAAAAADwvwLSb18HzhnRvwJsCfmgZ7O6vwAAAAAYAAAA/PwA/AACAAAAAAAA8L8ClyGOdXEb0b8C097gC5Op7D8AAAAAGAAAAPz8APwAAgAAAAAAAPC/AjY8vVKWIfK/Ai4hH/RsVuO/AAAAABgAAAD8/AD8AAIAAAAAAADwvwK2hHzQs9kNwALT3uALk6nsPwAAAAAYAAAA/PwA/AACAAAAAAAA8L8CidLe4AvTE8AC3UYDeAskyD8AAAAAGAAAAPz8APwAAgAAAAAAAPC/AnGsi9toQBJAAqs+V1uxv9A/AAAAABgAAAD8/AD8AAIAAAAAAADwvwKCBMWPMbcTQAKXkA96NqvxvwAAAAAYAAAA/PwA/AACAAAAAAAA8L8C4lgXt9GADEAC2fD0SlmG978AAAAAGAAAAPz8APwAAgAAAAAAAPC/Al3+Q/rt6w/AAg3gLZCg+LG/AAAAABgAAAD8/AD8AAIAAAAAAADwvwLSAN4CCcoSwAJGtvP91HjyPwAAAAABFQQgAWUEAAAAAAAAAAAIAAFlBAAAAAAAAAAADAABZQQAAAAAAAAAABAAAWUIAAAAAAAAAAAUDAFlBAAAAAAAAAAAGAQBZQQAAAAAAAAAABwsAWUEAAAAAAAAAAAgMAFlBAAAAAAAAAAAJAgBZQQAAAAAAAAAACgkAWUEAAAAAAAAAAAsKAFlBAAAAAAAAAAAMCgBZQQAAAAAAAAAADQYAWUEAAAAAAAAAAA4ARMBZQQAAAAAAAAAADwUAWUEAAAAAAAAAAABEBQBZQQAAAAAAAAAAAERFAFlBAAAAAAAAAAAARI0AWUEAAAAAAAAAAABEzQBZQQAAAAAAAAAAAQcAWUEAAAAAAAAAAA4ARIBZQQAAAAAAAAAAAAAAAA=</t>
        </r>
      </text>
    </comment>
    <comment ref="A369" authorId="0" shapeId="0" xr:uid="{FE7D0B8C-6AB5-46B2-8C54-6126C2A9D3C0}">
      <text>
        <r>
          <rPr>
            <sz val="9"/>
            <color indexed="81"/>
            <rFont val="MS P ゴシック"/>
            <family val="3"/>
            <charset val="128"/>
          </rPr>
          <t>Insight iXlW00001C0000369R0585476093S00000736P01616LAocjBAQBF1NjaVRlZ2ljLmRhdGEuTW9sZWN1bGUBbwF/ARJTY2lUZWdpYy5Nb2xlY3VsZQAAAQFkAv5qAQAAAAIAAgEVGAAAAPz8APwAAgAAAAAAAPC/ApkqGJXUiQRAAgRWDi2yneO/AAAAABwAAAD8/AD8AAIAAAAAAADwvwKHONbFbTT8vwL8qfHSTWLsPwAAAAAcAAAA/PwA/AACAAAAAAAA8L8C8fRKWYY4+z8CIbByaJHtvL8AAAAAIAAAAPz8APwAAgAAAAAAAPC/Arraiv1ldwtAAiGwcmiR7by/AAAAACAAAAD8/AD8AAIAAAAAAADwvwKZKhiV1IkEQAICK4cW2c75vwAAAAAYAAAA/PwA/AACAAAAAAAA8L8CbsX+snsyEUACBFYOLbKd478AAAAAGAAAAPz8APwAAgAAAAAAAPC/Ap2iI7n8BwXAAv7UeOkmMfY/AAAAABgAAAD8/AD8AAIAAAAAAADwvwKKsOHplbLsvwL+1HjpJjH2PwAAAAAYAAAA/PwA/AACAAAAAAAA8L8ChzjWxW00/L8CIbByaJHtvL8AAAAAGAAAAPz8APwAAgAAAAAAAPC/An3Qs1n1ueo/AgRWDi2yneO/AAAAABgAAAD8/AD8AAIAAAAAAADwvwLSAN4CCYqfvwIhsHJoke28vwAAAAAYAAAA/PwA/AACAAAAAAAA8L8C0gDeAgmKn78C/Knx0k1i7D8AAAAAGAAAAPz8APwAAgAAAAAAAPC/Aoqw4emVsuy/AgRWDi2yneO/AAAAABgAAAD8/AD8AAIAAAAAAADwvwK+UpYhjvULwAL8qfHSTWLsPwAAAAAYAAAA/PwA/AACAAAAAAAA8L8CbsX+snsyE0AC/tR46SYx0D8AAAAAGAAAAPz8APwAAgAAAAAAAPC/ApoIG55eqRRAAgIrhxbZzvG/AAAAABgAAAD8/AD8AAIAAAAAAADwvwLbiv1l92QOQAJEi2zn+6n3vwAAAAAYAAAA/PwA/AACAAAAAAAA8L8CescpOpLLDMAChetRuB6Fu78AAAAAGAAAAPz8APwAAgAAAAAAAPC/Avyp8dJNohHAAvtcbcX+svQ/AAAAABgAAAD8/AD8AAIAAAAAAADwvwKQwvUoXE8UwALmriXkg57hPwAAAAAYAAAA/PwA/AACAAAAAAAA8L8CrK3YX3ZPEsACOiNKe4Mv1L8AAAAAARYEIAFlBAAAAAAAAAAACAABZQQAAAAAAAAAAAwAAWUEAAAAAAAAAAAQAAFlCAAAAAAAAAAAFAwBZQQAAAAAAAAAABgEAWUEAAAAAAAAAAAcLAFlBAAAAAAAAAAAIDABZQQAAAAAAAAAACQIAWUEAAAAAAAAAAAoJAFlBAAAAAAAAAAALCgBZQQAAAAAAAAAADAoAWUEAAAAAAAAAAA0GAFlBAAAAAAAAAAAOBQBZQQAAAAAAAAAADwUAWUEAAAAAAAAAAABEBQBZQQAAAAAAAAAAAERNAFlBAAAAAAAAAAAARI0AWUEAAAAAAAAAAABEwESAWUEAAAAAAAAAAABFAERAWUEAAAAAAAAAAAEHAFlBAAAAAAAAAAAARQBEwFlBAAAAAAAAAAAAAAAAA==</t>
        </r>
      </text>
    </comment>
    <comment ref="A370" authorId="0" shapeId="0" xr:uid="{3975C193-D578-4E26-915D-5E5F66FB0368}">
      <text>
        <r>
          <rPr>
            <sz val="9"/>
            <color indexed="81"/>
            <rFont val="MS P ゴシック"/>
            <family val="3"/>
            <charset val="128"/>
          </rPr>
          <t>Insight iXlW00001C0000370R0585476093S00000738P01684LAocjBAQBF1NjaVRlZ2ljLmRhdGEuTW9sZWN1bGUBbwF/ARJTY2lUZWdpYy5Nb2xlY3VsZQAAAQFkAv5qAQAAAAIAAgEWGAAAAPz8APwAAgAAAAAAAPC/AiS5/If0WwZAAlFrmnecouM/AAAAABwAAAD8/AD8AAIAAAAAAADwvwJyGw3gLZD4vwKwlGWIY13svwAAAAAcAAAA/PwA/AACAAAAAAAA8L8CBhIUP8bc/j8ChlrTvOMUvT8AAAAAIAAAAPz8APwAAgAAAAAAAPC/AkVpb/CFSQ1AAoZa07zjFL0/AAAAACAAAAD8/AD8AAIAAAAAAADwvwIkufyH9FsGQAKpNc07TtH5PwAAAAAYAAAA/PwA/AACAAAAAAAA8L8Cz/dT46UbEkACUWuad5yi4z8AAAAAIAAAAPz8APwAAgAAAAAAAPC/AjqSy39I/xPAAoZa07zjFL0/AAAAABgAAAD8/AD8AAIAAAAAAADwvwISFD/G3DUDwAJYyjLEsS72vwAAAAAYAAAA/PwA/AACAAAAAAAA8L8CchsN4C2Q+L8ChlrTvOMUvT8AAAAAGAAAAPz8APwAAgAAAAAAAPC/AmB2Tx4WauW/Aucdp+hILva/AAAAABgAAAD8/AD8AAIAAAAAAADwvwJTBaOSOgHxPwJRa5p3nKLjPwAAAAAYAAAA/PwA/AACAAAAAAAA8L8CjSjtDb4wyT8ChlrTvOMUvT8AAAAAGAAAAPz8APwAAgAAAAAAAPC/AmB2Tx4WauW/AlFrmnecouM/AAAAABgAAAD8/AD8AAIAAAAAAADwvwKNKO0NvjDJPwLOO07RkVzsvwAAAAAYAAAA/PwA/AACAAAAAAAA8L8CM8SxLm4jCsACsJRliGNd7L8AAAAAGAAAAPz8APwAAgAAAAAAAPC/AjqSy39I/xPAAs47TtGRXOy/AAAAABgAAAD8/AD8AAIAAAAAAADwvwIqOpLLf4gQwAJRa5p3nKLjPwAAAAAYAAAA/PwA/AACAAAAAAAA8L8CswxxrIsbEEACW0I+6Nms9z8AAAAAGAAAAPz8APwAAgAAAAAAAPC/AuBPjZdukhVAAqk1zTtO0fE/AAAAABgAAAD8/AD8AAIAAAAAAADwvwLP91PjpRsUQAJlqmBUUifQvwAAAAAYAAAA/PwA/AACAAAAAAAA8L8CM8SxLm4jCsAChlrTvOMUvT8AAAAAGAAAAPz8APwAAgAAAAAAAPC/Aio6kst/iBDAAucdp+hILva/AAAAAAEXBCQBZQQAAAAAAAAAAAgAAWUEAAAAAAAAAAAMAAFlBAAAAAAAAAAAEAABZQgAAAAAAAAAABQMAWUEAAAAAAAAAAAYPAFlBAAAAAAAAAAAHAQBZQQAAAAAAAAAACAwAWUEAAAAAAAAAAAkNAFlBAAAAAAAAAAAKAgBZQQAAAAAAAAAACwoAWUEAAAAAAAAAAAwLAFlBAAAAAAAAAAANCwBZQQAAAAAAAAAADgcAWUEAAAAAAAAAAA8ARUBZQQAAAAAAAAAAAEQARQBZQQAAAAAAAAAAAERFAFlBAAAAAAAAAAAARIUAWUEAAAAAAAAAAABExQBZQQAAAAAAAAAAAEUOAFlBAAAAAAAAAAAARU4AWUEAAAAAAAAAAAEIAFlBAAAAAAAAAAAGAEQAWUEAAAAAAAAAAAAAAAA</t>
        </r>
      </text>
    </comment>
    <comment ref="A371" authorId="0" shapeId="0" xr:uid="{D6B58E79-5C48-49FF-9A1E-06B6379A5F7D}">
      <text>
        <r>
          <rPr>
            <sz val="9"/>
            <color indexed="81"/>
            <rFont val="MS P ゴシック"/>
            <family val="3"/>
            <charset val="128"/>
          </rPr>
          <t>Insight iXlW00001C0000371R0585476093S00000740P01612LAocjBAQBF1NjaVRlZ2ljLmRhdGEuTW9sZWN1bGUBbwF/ARJTY2lUZWdpYy5Nb2xlY3VsZQAAAQFkAv5qAQAAAAIAAgEVHAAAAPz8APwAAgAAAAAAAPC/Apm7lpAPev6/AuqVsgxxrN8/AAAAABgAAAD8/AD8AAIAAAAAAADwvwI0orQ3+MIEQALhnBGlvcHXvwAAAAAcAAAA/PwA/AACAAAAAAAA8L8CaERpb/CF+T8C4ZwRpb3B178AAAAAIAAAAPz8APwAAgAAAAAAAPC/AjSitDf4wghAAnrHKTqSy/O/AAAAABgAAAD8/AD8AAIAAAAAAADwvwLNXUvIBz0HwALqlbIMcazfPwAAAAAgAAAA/PwA/AACAAAAAAAA8L8CNKK0N/jCCEAC6pWyDHGs3z8AAAAAGAAAAPz8APwAAgAAAAAAAPC/Apm7lpAPeva/ArwFEhQ/xvU/AAAAABgAAAD8/AD8AAIAAAAAAADwvwKZu5aQD3r2vwId6+I2GsDXvwAAAAAYAAAA/PwA/AACAAAAAAAA8L8CGlHaG3xhEEACescpOpLL878AAAAAIAAAAPz8APwAAgAAAAAAAPC/AuauJeSDnhPAAuqVsgxxrN8/AAAAABgAAAD8/AD8AAIAAAAAAADwvwJnRGlv8IXxPwLqlbIMcazfPwAAAAAYAAAA/PwA/AACAAAAAAAA8L8CzV1LyAc9C8ACvAUSFD/G9T8AAAAAGAAAAPz8APwAAgAAAAAAAPC/As1dS8gHPQvAAh3r4jYawNe/AAAAABgAAAD8/AD8AAIAAAAAAADwvwJj7lpCPujZvwK8BRIUP8b1PwAAAAAYAAAA/PwA/AACAAAAAAAA8L8CY+5aQj7o2b8CHeviNhrA178AAAAAGAAAAPz8APwAAgAAAAAAAPC/AnRGlPYGX7g/AuqVsgxxrN8/AAAAABgAAAD8/AD8AAIAAAAAAADwvwLmriXkg54RwAId6+I2GsDXvwAAAAAYAAAA/PwA/AACAAAAAAAA8L8C5q4l5IOeEcACvAUSFD/G9T8AAAAAGAAAAPz8APwAAgAAAAAAAPC/AhpR2ht8YRBAAs47TtGRXM6/AAAAABgAAAD8/AD8AAIAAAAAAADwvwIaUdobfGEUQAJ6xyk6ksvzvwAAAAAYAAAA/PwA/AACAAAAAAAA8L8CGlHaG3xhEEACveMUHcnlAcAAAAAAARYECAFlBAAAAAAAAAAACCgBZQQAAAAAAAAAAAwEAWUEAAAAAAAAAAAQAAFlBAAAAAAAAAAAFAQBZQgAAAAAAAAAABgAAWUEAAAAAAAAAAAcAAFlBAAAAAAAAAAAIAwBZQQAAAAAAAAAACQBEAFlBAAAAAAAAAAAKDwBZQQAAAAAAAAAACwQAWUEAAAAAAAAAAAwEAFlBAAAAAAAAAAANBgBZQQAAAAAAAAAADgcAWUEAAAAAAAAAAA8OAFlBAAAAAAAAAAAARAwAWUEAAAAAAAAAAABESwBZQQAAAAAAAAAAAESIAFlBAAAAAAAAAAAARMgAWUEAAAAAAAAAAABFCABZQQAAAAAAAAAADw0AWUEAAAAAAAAAAAkAREBZQQAAAAAAAAAAAAAAAA=</t>
        </r>
      </text>
    </comment>
    <comment ref="A372" authorId="0" shapeId="0" xr:uid="{634FE827-193F-47FC-BC5B-7BDC835BCA12}">
      <text>
        <r>
          <rPr>
            <sz val="9"/>
            <color indexed="81"/>
            <rFont val="MS P ゴシック"/>
            <family val="3"/>
            <charset val="128"/>
          </rPr>
          <t>Insight iXlW00001C0000372R0585476093S00000742P01760LAocjBAQBF1NjaVRlZ2ljLmRhdGEuTW9sZWN1bGUBbwF/ARJTY2lUZWdpYy5Nb2xlY3VsZQAAAQFkAv5qAQAAAAIAAgEXGAAAAPz8APwAAgAAAAAAAPC/AutztRX7ywdAAhTQRNjw9Oa/AAAAABwAAAD8/AD8AAIAAAAAAADwvwLkpZvEILD1vwLtL7snDwvpPwAAAAAYAAAA/PwA/AACAAAAAAAA8L8CbAn5oGezCMAC7S+7Jw8L6T8AAAAAGAAAAPz8APwAAgAAAAAAAPC/AhODwMqhxQHAAvaX3ZOHhfQ/AAAAABwAAAD8/AD8AAIAAAAAAADwvwLKw0Ktad4AQAJPQBNhw9PLvwAAAAAgAAAA/PwA/AACAAAAAAAA8L8CDCQofoy5DkACT0ATYcPTy78AAAAAGAAAAPz8APwAAgAAAAAAAPC/Ao25awn5oA/AAvaX3ZOHhfQ/AAAAACAAAAD8/AD8AAIAAAAAAADwvwLrc7UV+8sHQAIKaCJseHr7vwAAAAAYAAAA/PwA/AACAAAAAAAA8L8CM1UwKqnTEkACFNBE2PD05r8AAAAAGAAAAPz8APwAAgAAAAAAAPC/AuSlm8QgsPW/Ak9AE2HD08u/AAAAABgAAAD8/AD8AAIAAAAAAADwvwKIFtnO91PfvwL2l92Th4X0PwAAAAABIwAAAPz8APwAAgAAAAAAAPC/Ao25awn5oA/AAvvL7snDQgJAAAAAABgAAAD8/AD8AAIAAAAAAADwvwJTJ6CJsOHzPwIU0ETY8PTmvwAAAAAYAAAA/PwA/AACAAAAAAAA8L8Cf2q8dJMY2D8CT0ATYcPTy78AAAAAGAAAAPz8APwAAgAAAAAAAPC/An9qvHSTGNg/Au0vuycPC+k/AAAAABgAAAD8/AD8AAIAAAAAAADwvwKIFtnO91PfvwIU0ETY8PTmvwAAAAAYAAAA/PwA/AACAAAAAAAA8L8CbAn5oGezCMACT0ATYcPTy78AAAAAGAAAAPz8APwAAgAAAAAAAPC/Atc07zhFRxPAAu0vuycPC+k/AAAAABgAAAD8/AD8AAIAAAAAAADwvwIzVTAqqdMUQAK+wRcmUwXDPwAAAAAYAAAA/PwA/AACAAAAAAAA8L8CQ61p3nFKFkACCmgibHh6878AAAAAGAAAAPz8APwAAgAAAAAAAPC/AjNVMCqp0xBAAkzIBz2bVfm/AAAAABgAAAD8/AD8AAIAAAAAAADwvwKNuWsJ+aAPwAIU0ETY8PTmvwAAAAAYAAAA/PwA/AACAAAAAAAA8L8C1zTvOEVHE8ACT0ATYcPTy78AAAAAARgEJAFlBAAAAAAAAAAACAwBZQQAAAAAAAAAAAwEAWUEAAAAAAAAAAAQAAFlBAAAAAAAAAAAFAABZQQAAAAAAAAAABgIAWUEAAAAAAAAAAAcAAFlCAAAAAAAAAAAIBQBZQQAAAAAAAAAACQ8AWUEAAAAAAAAAAAoOAFlBAAAAAAAAAAALBgBZQQAAAAAAAAAADAQAWUEAAAAAAAAAAA0MAFlBAAAAAAAAAAAODQBZQQAAAAAAAAAADw0AWUEAAAAAAAAAAABEAgBZQgMAAAAAAAAAAERGAFlCAgAAAAAAAAAARIgAWUEAAAAAAAAAAABEyABZQQAAAAAAAAAAAEUIAFlBAAAAAAAAAAAARUBEAFlBAAAAAAAAAAAARYBFQFlCAgAAAAAAAAABCgBZQQAAAAAAAAAAAEWAREBZQQAAAAAAAAAAAAAAAA=</t>
        </r>
      </text>
    </comment>
    <comment ref="A373" authorId="0" shapeId="0" xr:uid="{A0951EDF-1AA6-4598-8C96-FE07ADBA4E8C}">
      <text>
        <r>
          <rPr>
            <sz val="9"/>
            <color indexed="81"/>
            <rFont val="MS P ゴシック"/>
            <family val="3"/>
            <charset val="128"/>
          </rPr>
          <t>Insight iXlW00001C0000373R0585476093S00000744P01832LAocjBAQBF1NjaVRlZ2ljLmRhdGEuTW9sZWN1bGUBbwF/ARJTY2lUZWdpYy5Nb2xlY3VsZQAAAQFkAv5qAQAAAAIAAgEYGAAAAPz8APwAAgAAAAAAAPC/AtV46SYxCAHAAgAAAAAAAPM/AAAAABgAAAD8/AD8AAIAAAAAAADwvwL2KFyPwvUHwAIAAAAAAADmPwAAAAAcAAAA/PwA/AACAAAAAAAA8L8CaZHtfD819L8CAAAAAAAA5j8AAAAAGAAAAPz8APwAAgAAAAAAAPC/AmFUUiegiQhAAgAAAAAAAOq/AAAAABgAAAD8/AD8AAIAAAAAAADwvwIX2c73U+MOwAIAAAAAAADzPwAAAAAgAAAA/PwA/AACAAAAAAAA8L8C1XjpJjEIAcACAAAAAACAAUAAAAAAHAAAAPz8APwAAgAAAAAAAPC/AgjOGVHamwFAAgAAAAAAANS/AAAAACAAAAD8/AD8AAIAAAAAAADwvwKCBMWPMXcPQAIAAAAAAADUvwAAAAAYAAAA/PwA/AACAAAAAAAA8L8C2BLyQc9m2b8CAAAAAAAA8z8AAAAAGAAAAPz8APwAAgAAAAAAAPC/AvjkYaHWNPS/AgAAAAAAANS/AAAAACAAAAD8/AD8AAIAAAAAAADwvwJhVFInoIkIQAIAAAAAAAD9vwAAAAAYAAAA/PwA/AACAAAAAAAA8L8CUdobfGEyE0ACAAAAAAAA6r8AAAAAJAAAAPz8APwAAgAAAAAAAPC/AhfZzvdT4w7AAgAAAAAAgAFAAAAAABgAAAD8/AD8AAIAAAAAAADwvwLNO07RkVz1PwIAAAAAAADqvwAAAAAYAAAA/PwA/AACAAAAAAAA8L8C9ihcj8L1B8ACAAAAAAAA1L8AAAAAGAAAAPz8APwAAgAAAAAAAPC/Ai9uowG8Bd4/AgAAAAAAAOY/AAAAABgAAAD8/AD8AAIAAAAAAADwvwLYEvJBz2bZvwIAAAAAAADqvwAAAAAYAAAA/PwA/AACAAAAAAAA8L8CL26jAbwF3j8CAAAAAAAA1L8AAAAAGAAAAPz8APwAAgAAAAAAAPC/ApzEILBy6BLAAgAAAAAAAOY/AAAAABgAAAD8/AD8AAIAAAAAAADwvwJR2ht8YTIVQAIyCKwcWmSrPwAAAAAYAAAA/PwA/AACAAAAAAAA8L8Cfh04Z0SpFkACAAAAAAAA9b8AAAAAGAAAAPz8APwAAgAAAAAAAPC/AlHaG3xhMhFAAkJg5dAi2/q/AAAAABgAAAD8/AD8AAIAAAAAAADwvwIX2c73U+MOwAIAAAAAAADqvwAAAAAYAAAA/PwA/AACAAAAAAAA8L8CuK8D54zoEsACAAAAAAAA1L8AAAAAARkEAAFlBAAAAAAAAAAACAABZQQAAAAAAAAAAAwYAWUEAAAAAAAAAAAQBAFlBAAAAAAAAAAAFAABZQgAAAAAAAAAABg0AWUEAAAAAAAAAAAcDAFlBAAAAAAAAAAAIAgBZQQAAAAAAAAAACQIAWUEAAAAAAAAAAAoDAFlCAAAAAAAAAAALBwBZQQAAAAAAAAAADAQAWUEAAAAAAAAAAA0AREBZQQAAAAAAAAAADgEAWUIDAAAAAAAAAA8IAFlBAAAAAAAAAAAARAkAWUEAAAAAAAAAAABEQEQAWUEAAAAAAAAAAABEhABZQgIAAAAAAAAAAETLAFlBAAAAAAAAAAAARQsAWUEAAAAAAAAAAABFSwBZQQAAAAAAAAAAAEWOAFlBAAAAAAAAAAAARcBFgFlCAgAAAAAAAAAPAERAWUEAAAAAAAAAAABFwESAWUEAAAAAAAAAAAAAAAA</t>
        </r>
      </text>
    </comment>
    <comment ref="A374" authorId="0" shapeId="0" xr:uid="{0CBDD74D-7406-4691-A793-7742B2898F70}">
      <text>
        <r>
          <rPr>
            <sz val="9"/>
            <color indexed="81"/>
            <rFont val="MS P ゴシック"/>
            <family val="3"/>
            <charset val="128"/>
          </rPr>
          <t>Insight iXlW00001C0000374R0585476093S00000746P01520LAocjBAQBF1NjaVRlZ2ljLmRhdGEuTW9sZWN1bGUBbwF/ARJTY2lUZWdpYy5Nb2xlY3VsZQAAAQFkAv5qAQAAAAIAAgEUARAAAAD8/AD8AAIAAAAAAADwvwLNzMzMzMwJwAJdbcX+snvevwAAAAAcAAAA/PwA/AACAAAAAAAA8L8CzczMzMzMAcACXW3F/rJ73r8AAAAAGAAAAPz8APwAAgAAAAAAAPC/AjMzMzMzMwJAAqoT0ETY8Ng/AAAAACAAAAD8/AD8AAIAAAAAAADwvwLNzMzMzMwJwAJYW7G/7J73vwAAAAAgAAAA/PwA/AACAAAAAAAA8L8CzczMzMzMCcACUkmdgCbC4D8AAAAAHAAAAPz8APwAAgAAAAAAAPC/AmdmZmZmZvQ/AqoT0ETY8Ng/AAAAACAAAAD8/AD8AAIAAAAAAADwvwIzMzMzMzMGQAIsZRniWBf0PwAAAAAYAAAA/PwA/AACAAAAAAAA8L8CmpmZmZmZ+78CmbuWkA969b8AAAAAGAAAAPz8APwAAgAAAAAAAPC/ApqZmZmZmfu/AqoT0ETY8Ng/AAAAACAAAAD8/AD8AAIAAAAAAADwvwIzMzMzMzMGQAJdbcX+snvevwAAAAAYAAAA/PwA/AACAAAAAAAA8L8CNDMzMzMzDkACLGUZ4lgX9D8AAAAAGAAAAPz8APwAAgAAAAAAAPC/AmdmZmZm5hDAAl1txf6ye96/AAAAABgAAAD8/AD8AAIAAAAAAADwvwLNzMzMzMzoPwJdbcX+snvevwAAAAAYAAAA/PwA/AACAAAAAAAA8L8CNDMzMzMz578CqhPQRNjw2D8AAAAAGAAAAPz8APwAAgAAAAAAAPC/AjQzMzMzM+e/Apm7lpAPevW/AAAAABgAAAD8/AD8AAIAAAAAAADwvwLNzMzMzMzMvwJdbcX+snvevwAAAAAYAAAA/PwA/AACAAAAAAAA8L8CNDMzMzMzDkAClrIMcawLAkAAAAAAGAAAAPz8APwAAgAAAAAAAPC/ApqZmZmZGRNAAixlGeJYF/Q/AAAAABgAAAD8/AD8AAIAAAAAAADwvwI0MzMzMzMOQAKwlGWIY13QPwAAAAAYAAAA/PwA/AACAAAAAAAA8L8CZ2ZmZmbmEsACmbuWkA969b8AAAAAARQEAAFlBAAAAAAAAAAACBQBZQQAAAAAAAAAAAwAAWUIAAAAAAAAAAAQAAFlCAAAAAAAAAAAFDABZQQAAAAAAAAAABgIAWUEAAAAAAAAAAAcBAFlBAAAAAAAAAAAIAQBZQQAAAAAAAAAACQIAWUIAAAAAAAAAAAoGAFlBAAAAAAAAAAALAABZQQAAAAAAAAAADA8AWUEAAAAAAAAAAA0IAFlBAAAAAAAAAAAOBwBZQQAAAAAAAAAADw0AWUEAAAAAAAAAAABECgBZQQAAAAAAAAAAAERKAFlBAAAAAAAAAAAARIoAWUEAAAAAAAAAAABEywBZQQAAAAAAAAAADg8AWUEAAAAAAAAAAAAAAAA</t>
        </r>
      </text>
    </comment>
    <comment ref="A375" authorId="0" shapeId="0" xr:uid="{86CD1AE6-41B4-4B7B-9C16-32047AAF24FE}">
      <text>
        <r>
          <rPr>
            <sz val="9"/>
            <color indexed="81"/>
            <rFont val="MS P ゴシック"/>
            <family val="3"/>
            <charset val="128"/>
          </rPr>
          <t>Insight iXlW00001C0000375R0585476093S00000748P01572LAocjBAQBF1NjaVRlZ2ljLmRhdGEuTW9sZWN1bGUBbwF/ARJTY2lUZWdpYy5Nb2xlY3VsZQAAAQFkAv5qAQAAAAIAAgEVARAAAAD8/AD8AAIAAAAAAADwvwIAAAAAAAAIwALqlbIMcazfvwAAAAAcAAAA/PwA/AACAAAAAAAA8L8CAAAAAAAAAMAC6pWyDHGs378AAAAAGAAAAPz8APwAAgAAAAAAAPC/AgAAAAAAAARAAuGcEaW9wdc/AAAAACAAAAD8/AD8AAIAAAAAAADwvwIAAAAAAAAIwAJ7pSxDHOv3vwAAAAAgAAAA/PwA/AACAAAAAAAA8L8CAAAAAAAACMACC7Wmeccp4D8AAAAAGAAAAPz8APwAAgAAAAAAAPC/AgAAAAAAABDAAuqVsgxxrN+/AAAAABwAAAD8/AD8AAIAAAAAAADwvwIAAAAAAAD4PwLhnBGlvcHXPwAAAAAgAAAA/PwA/AACAAAAAAAA8L8CAAAAAAAACEACescpOpLL8z8AAAAAGAAAAPz8APwAAgAAAAAAAPC/AgAAAAAAAPi/Ah3r4jYawNc/AAAAABgAAAD8/AD8AAIAAAAAAADwvwIAAAAAAAD4vwK8BRIUP8b1vwAAAAAgAAAA/PwA/AACAAAAAAAA8L8CAAAAAAAACEAC6pWyDHGs378AAAAAGAAAAPz8APwAAgAAAAAAAPC/AgAAAAAAABBAAnrHKTqSy/M/AAAAABgAAAD8/AD8AAIAAAAAAADwvwEC6pWyDHGs378AAAAAGAAAAPz8APwAAgAAAAAAAPC/AgAAAAAAAOC/Ah3r4jYawNc/AAAAABgAAAD8/AD8AAIAAAAAAADwvwIAAAAAAADgvwK8BRIUP8b1vwAAAAAYAAAA/PwA/AACAAAAAAAA8L8AAuqVsgxxrN+/AAAAABgAAAD8/AD8AAIAAAAAAADwvwIAAAAAAAAQQAK94xQdyeUBQAAAAAAYAAAA/PwA/AACAAAAAAAA8L8CAAAAAAAAFEACescpOpLL8z8AAAAAGAAAAPz8APwAAgAAAAAAAPC/AgAAAAAAABBAAs47TtGRXM4/AAAAABgAAAD8/AD8AAIAAAAAAADwvwIAAAAAAAASwAK8BRIUP8b1vwAAAAAYAAAA/PwA/AACAAAAAAAA8L8CAAAAAAAAEsAC4ZwRpb3B1z8AAAAAARUEAAFlBAAAAAAAAAAACBgBZQQAAAAAAAAAAAwAAWUIAAAAAAAAAAAQAAFlCAAAAAAAAAAAFAABZQQAAAAAAAAAABgwAWUEAAAAAAAAAAAcCAFlBAAAAAAAAAAAIAQBZQQAAAAAAAAAACQEAWUEAAAAAAAAAAAoCAFlCAAAAAAAAAAALBwBZQQAAAAAAAAAADA8AWUEAAAAAAAAAAA0IAFlBAAAAAAAAAAAOCQBZQQAAAAAAAAAADw4AWUEAAAAAAAAAAABECwBZQQAAAAAAAAAAAERLAFlBAAAAAAAAAAAARIsAWUEAAAAAAAAAAABExQBZQQAAAAAAAAAAAEUFAFlBAAAAAAAAAAAPDQBZQQAAAAAAAAAAAAAAAA=</t>
        </r>
      </text>
    </comment>
    <comment ref="A376" authorId="0" shapeId="0" xr:uid="{757838F1-D6A5-4F4A-AFEB-69A0ECA3459E}">
      <text>
        <r>
          <rPr>
            <sz val="9"/>
            <color indexed="81"/>
            <rFont val="MS P ゴシック"/>
            <family val="3"/>
            <charset val="128"/>
          </rPr>
          <t>Insight iXlW00001C0000376R0585476093S00000750P01072LAocjBAQBF1NjaVRlZ2ljLmRhdGEuTW9sZWN1bGUBbwF/ARJTY2lUZWdpYy5Nb2xlY3VsZQAAAQFkAv5qAQAAAAIBAjgcAAAA/PwA/AACAAAAAAAA8L8CUyegibBhBkACZO5aQj7o778AAAAAGAgAAPz8APwAAgAAAAAAAPC/AhriWBe30f8/AuAtkKD4Mdq/AAAAABgAAAD8/AD8AAIAAAAAAADwvwIa4lgXt9H/PwIQ6bevA+fiPwAAAAAYAAAA/PwA/AACAAAAAAAA8L8CC0YldQKa8D8CJ8KGp1fK7D8AAAAAHAAAAPz8APwAAgAAAAAAAPC/Agkbnl4py9w/AoBIv30dOLc/AAAAABgAAAD8/AD8AAIAAAAAAADwvwILRiV1AprwPwIH8BZIUPzmvwAAAAAYAAAA/PwA/AACAAAAAAAA8L8CfPKwUGua4b8Cb4EExY8xtz8AAAAAGAAAAPz8APwAAgAAAAAAAPC/Aj55WKg1zfC/AlYwKqkT0Oi/AAAAABgAAAD8/AD8AAIAAAAAAADwvwKfPCzUmmYAwAJWMCqpE9DovwAAAAAYAAAA/PwA/AACAAAAAAAA8L8Cnzws1JpmBMACb4EExY8xtz8AAAAAGAAAAPz8APwAAgAAAAAAAPC/Ap88LNSaZgDAArFQa5p3nO4/AAAAABgAAAD8/AD8AAIAAAAAAADwvwI+eVioNc3wvwKxUGuad5zuPwAAAAABEQAAAPz8APwAAgAAAAAAAPC/ArmNBvAWyAxAAvjCZKpgVKK/AAAAAAERAAAA/PwA/AACAAAAAAAA8L8Ca7x0kxiEEkACSFD8GHPXcr8AAAAANAQAAWUEFAAAAAAAAAAECAFlBAAAAAAAAAAACAwBZQQAAAAAAAAAAAwQAWUEAAAAAAAAAAAQFAFlBAAAAAAAAAAAFAQBZQQAAAAAAAAAABAYAWUEAAAAAAAAAAAYHAFlBAAAAAAAAAAAHCABZQQAAAAAAAAAACAkAWUEAAAAAAAAAAAkKAFlBAAAAAAAAAAAKCwBZQQAAAAAAAAAACwYAWUEAAAAAAAAAAAAAAAA</t>
        </r>
      </text>
    </comment>
    <comment ref="A377" authorId="0" shapeId="0" xr:uid="{1B854007-DDC4-406F-88B4-5516D584B30E}">
      <text>
        <r>
          <rPr>
            <sz val="9"/>
            <color indexed="81"/>
            <rFont val="MS P ゴシック"/>
            <family val="3"/>
            <charset val="128"/>
          </rPr>
          <t>Insight iXlW00001C0000377R0585476093S00000752P01216LAocjBAQBF1NjaVRlZ2ljLmRhdGEuTW9sZWN1bGUBbwF/ARJTY2lUZWdpYy5Nb2xlY3VsZQAAAQFkAv5qAQAAAAIBAgEQHAAAAPz8APwAAgAAAAAAAPC/Agr5oGez6gxAAhZqTfOOU7S/AAAAABgMAAD8/AD8AAIAAAAAAADwvwIv/yH99vUEQALdtYR80LOZPwAAAAAYAAAA/PwA/AACAAAAAAAA8L8CL/8h/fb1AEACMuauJeSD7D8AAAAAGAAAAPz8APwAAgAAAAAAAPC/AqLWNO84RfI/AgYSFD/G3OU/AAAAABwAAAD8/AD8AAIAAAAAAADwvwIp7Q2+MJnwPwLOqs/VVuzTvwAAAAAYAAAA/PwA/AACAAAAAAAA8L8COGdEaW/wxT8CZ9Xnaiv26b8AAAAAGAAAAPz8APwAAgAAAAAAAPC/ArWmeccpOua/As6qz9VW7NO/AAAAABgAAAD8/AD8AAIAAAAAAADwvwK1pnnHKTrmvwKZKhiV1AnmPwAAAAAYAAAA/PwA/AACAAAAAAAA8L8CnDOitDf4+L8CTRWMSuoE8z8AAAAAGAAAAPz8APwAAgAAAAAAAPC/Au/Jw0KtaQPAApkqGJXUCeY/AAAAABgAAAD8/AD8AAIAAAAAAADwvwLvycNCrWkDwALOqs/VVuzTvwAAAAABIwAAAPz8APwAAgAAAAAAAPC/AhB6Nqs+VwrAAmfV52or9um/AAAAABgAAAD8/AD8AAIAAAAAAADwvwKcM6K0N/j4vwJn1edqK/bpvwAAAAAYAAAA/PwA/AACAAAAAAAA8L8CLUMc6+I2/z8CQz7o2az65r8AAAAAAREAAAD8/AD8AAIAAAAAAADwvwK4rwPnjKgRQAJHA3gLJCjGPwAAAAABEQAAAPz8APwAAgAAAAAAAPC/AkYldQKayBVAAoNRSZ2AJso/AAAAADwEAAFlBBAAAAAAAAAABAgBZQQAAAAAAAAAAAgMAWUEAAAAAAAAAAAMEAFlBAAAAAAAAAAAEBQBZQQAAAAAAAAAABQYAWUEAAAAAAAAAAAYHAFlCAwAAAAAAAAAHCABZQQAAAAAAAAAACAkAWUICAAAAAAAAAAkKAFlBAAAAAAAAAAAKCwBZQQAAAAAAAAAACgwAWUICAAAAAAAAAAwGAFlBAAAAAAAAAAAEDQBZQQAAAAAAAAAADQEAWUEAAAAAAAAAAAAAAAA</t>
        </r>
      </text>
    </comment>
    <comment ref="A378" authorId="0" shapeId="0" xr:uid="{390E31F3-EF4B-4BF6-BB37-B6F35265CD19}">
      <text>
        <r>
          <rPr>
            <sz val="9"/>
            <color indexed="81"/>
            <rFont val="MS P ゴシック"/>
            <family val="3"/>
            <charset val="128"/>
          </rPr>
          <t>Insight iXlW00001C0000378R0585476093S00000754P01288LAocjBAQBF1NjaVRlZ2ljLmRhdGEuTW9sZWN1bGUBbwF/ARJTY2lUZWdpYy5Nb2xlY3VsZQAAAQFkAv5qAQAAAAIBAgERGAAAAPz8APwAAgAAAAAAAPC/AiZTBaOSugnAAiigibDh6ek/AAAAACAAAAD8/AD8AAIAAAAAAADwvwImUwWjkroBwAIooImw4enpPwAAAAAYAAAA/PwA/AACAAAAAAAA8L8CTaYKRiV1+78CvAUSFD/GrL8AAAAAGAAAAPz8APwAAgAAAAAAAPC/AiZTBaOSugHAAt/gC5Opgu2/AAAAABgAAAD8/AD8AAIAAAAAAADwvwK+UpYhjnX7vwKxUGuad5z8vwAAAAAYAAAA/PwA/AACAAAAAAAA8L8Ce6UsQxzr5r8CsVBrmnec/L8AAAAAGAAAAPz8APwAAgAAAAAAAPC/AuqVsgxxrMu/At/gC5Opgu2/AAAAABgAAAD8/AD8AAIAAAAAAADwvwKGWtO84xTpPwLf4AuTqYLtvwAAAAAcAAAA/PwA/AACAAAAAAAA8L8CQ61p3nGK9D8CvAUSFD/GrL8AAAAAGAAAAPz8APwAAgAAAAAAAPC/AoxK6gQ0Eew/Aq2L22gAb+s/AAAAABgAAAD8/AD8AAIAAAAAAADwvwLOqs/VVuz5PwIGgZVDi2z4PwAAAAAYCAAA/PwA/AACAAAAAAAA8L8CiIVa07zjA0ACBoGVQ4ts8D8AAAAAHAAAAPz8APwAAgAAAAAAAPC/AsOGp1fKMgtAAgMJih9j7vY/AAAAABgAAAD8/AD8AAIAAAAAAADwvwJ90LNZ9TkCQAJfKcsQx7qoPwAAAAAYAAAA/PwA/AACAAAAAAAA8L8Ce6UsQxzr5r8CvAUSFD/GrL8AAAAAAREAAAD8/AD8AAIAAAAAAADwvwKV9gZfmMwQQAIFNBE2PL3CvwAAAAABEQAAAPz8APwAAgAAAAAAAPC/AiNseHql7BRAApPLf0i/fb2/AAAAAAEQAAQBZQQAAAAAAAAAAAQIAWUEAAAAAAAAAAAIDAFlCAwAAAAAAAAADBABZQQAAAAAAAAAABAUAWUICAAAAAAAAAAUGAFlBAAAAAAAAAAAGBwBZQQAAAAAAAAAABwgAWUEAAAAAAAAAAAgJAFlBAAAAAAAAAAAJCgBZQQAAAAAAAAAACgsAWUEAAAAAAAAAAAsMAFlBBAAAAAAAAAALDQBZQQAAAAAAAAAADQgAWUEAAAAAAAAAAAYOAFlCAgAAAAAAAAAOAgBZQQAAAAAAAAAAAAAAAA=</t>
        </r>
      </text>
    </comment>
    <comment ref="A379" authorId="0" shapeId="0" xr:uid="{31367B5F-8C35-41F7-B1EA-1E2B353BC630}">
      <text>
        <r>
          <rPr>
            <sz val="9"/>
            <color indexed="81"/>
            <rFont val="MS P ゴシック"/>
            <family val="3"/>
            <charset val="128"/>
          </rPr>
          <t>Insight iXlW00001C0000379R0585476093S00000756P00932LAocjBAQBF1NjaVRlZ2ljLmRhdGEuTW9sZWN1bGUBbwF/ARJTY2lUZWdpYy5Nb2xlY3VsZQAAAQFkAv5qAQAAAAIBAjAYAAAA/PwA/AACAAAAAAAA8L8CrYvbaADvB0AC+aBns+pz0b8AAAAAGAAAAPz8APwAAgAAAAAAAPC/AozbaABvAQFAAn3Qs1n1uei/AAAAABgAAAD8/AD8AAIAAAAAAADwvwLWVuwvuyf0PwL5oGez6nPRvwAAAAAgAAAA/PwA/AACAAAAAAAA8L8C1lbsL7sn9D8ChC9MpgpG5z8AAAAAHAAAAPz8APwAAgAAAAAAAPC/Ao0o7Q2+MNk/An3Qs1n1uei/AAAAABgMAAD8/AD8AAIAAAAAAADwvwJ6WKg1zTvevwL5oGez6nPRvwAAAAAYAAAA/PwA/AACAAAAAAAA8L8CelioNc073r8ChC9MpgpG5z8AAAAAGAAAAPz8APwAAgAAAAAAAPC/AmB2Tx4WavW/AlFrmnecovM/AAAAABgAAAD8/AD8AAIAAAAAAADwvwJRa5p3nKIBwAKi1jTvOEXnPwAAAAAcAAAA/PwA/AACAAAAAAAA8L8CUWuad5yiAcAC+aBns+pz0b8AAAAAGAAAAPz8APwAAgAAAAAAAPC/AmB2Tx4WavW/An3Qs1n1uei/AAAAAAERAAAA/PwA/AACAAAAAAAA8L8CE/JBz2ZVDkAChlrTvOMUzT8AAAAALAAEAWUEAAAAAAAAAAAECAFlBAAAAAAAAAAACAwBZQgAAAAAAAAAAAgQAWUEAAAAAAAAAAAUEAFlBBAAAAAAAAAAFBgBZQQAAAAAAAAAABgcAWUEAAAAAAAAAAAcIAFlBAAAAAAAAAAAICQBZQQAAAAAAAAAACQoAWUEAAAAAAAAAAAoFAFlBAAAAAAAAAAAAAAAAA==</t>
        </r>
      </text>
    </comment>
    <comment ref="A380" authorId="0" shapeId="0" xr:uid="{C940E774-A5C0-40BD-8B32-1D06429DFA97}">
      <text>
        <r>
          <rPr>
            <sz val="9"/>
            <color indexed="81"/>
            <rFont val="MS P ゴシック"/>
            <family val="3"/>
            <charset val="128"/>
          </rPr>
          <t>Insight iXlW00001C0000380R0585476093S00000758P00980LAocjBAQBF1NjaVRlZ2ljLmRhdGEuTW9sZWN1bGUBbwF/ARJTY2lUZWdpYy5Nb2xlY3VsZQAAAQFkAv5qAQAAAAIBAjQYAAAA/PwA/AACAAAAAAAA8L8CAAAAAAAABEACYxBYObTI9D8AAAAAGAAAAPz8APwAAgAAAAAAAPC/AgAAAAAAAABAAoPAyqFFtts/AAAAABgAAAD8/AD8AAIAAAAAAADwvwIAAAAAAAAEQAKDwMqhRbbbvwAAAAAYAAAA/PwA/AACAAAAAAAA8L8BAoPAyqFFtts/AAAAACAAAAD8/AD8AAIAAAAAAADwvwIAAAAAAADgPwJjEFg5tMj0PwAAAAAcAAAA/PwA/AACAAAAAAAA8L8CAAAAAAAA4D8Cg8DKoUW2278AAAAAGAwAAPz8APwAAgAAAAAAAPC/AgAAAAAAAOC/AoPAyqFFttu/AAAAABgAAAD8/AD8AAIAAAAAAADwvwIAAAAAAADwvwKDwMqhRbbbPwAAAAAYAAAA/PwA/AACAAAAAAAA8L8CAAAAAAAAAMACg8DKoUW22z8AAAAAGAAAAPz8APwAAgAAAAAAAPC/AgAAAAAAAATAAoPAyqFFttu/AAAAABwAAAD8/AD8AAIAAAAAAADwvwIAAAAAAAAAwAJjEFg5tMj0vwAAAAAYAAAA/PwA/AACAAAAAAAA8L8CAAAAAAAA8L8CYxBYObTI9L8AAAAAAREAAAD8/AD8AAIAAAAAAADwvwJnZmZmZmYKQAAAAAAAMAAEAWUEAAAAAAAAAAAECAFlBAAAAAAAAAAABAwBZQQAAAAAAAAAAAwQAWUIAAAAAAAAAAAMFAFlBAAAAAAAAAAAGBQBZQQQAAAAAAAAABgcAWUEAAAAAAAAAAAcIAFlBAAAAAAAAAAAICQBZQQAAAAAAAAAACQoAWUEAAAAAAAAAAAoLAFlBAAAAAAAAAAALBgBZQQAAAAAAAAAAAAAAAA=</t>
        </r>
      </text>
    </comment>
    <comment ref="A381" authorId="0" shapeId="0" xr:uid="{C543AED6-BE9A-44A6-B202-D545C168FDA1}">
      <text>
        <r>
          <rPr>
            <sz val="9"/>
            <color indexed="81"/>
            <rFont val="MS P ゴシック"/>
            <family val="3"/>
            <charset val="128"/>
          </rPr>
          <t>Insight iXlW00001C0000381R0585476093S00000760P01000LAocjBAQBF1NjaVRlZ2ljLmRhdGEuTW9sZWN1bGUBbwF/ARJTY2lUZWdpYy5Nb2xlY3VsZQAAAQFkAv5qAQAAAAIBAjQYAAAA/PwA/AACAAAAAAAA8L8CJ8KGp1dKDEACtTf4wmSq5r8AAAAAIAAAAPz8APwAAgAAAAAAAPC/As07TtGRXAVAAtPe4AuTqcq/AAAAABgAAAD8/AD8AAIAAAAAAADwvwJZF7fRAN78PwK1N/jCZKrmvwAAAAAYAAAA/PwA/AACAAAAAAAA8L8CL26jAbwF7j8C097gC5Opyr8AAAAAIAAAAPz8APwAAgAAAAAAAPC/Ai9uowG8Be4/AkzIBz2bVek/AAAAABwAAAD8/AD8AAIAAAAAAADwvwJdbcX+snuyPwK1N/jCZKrmvwAAAAAYDAAA/PwA/AACAAAAAAAA8L8CumsJ+aBn6b8C097gC5Opyr8AAAAAGAAAAPz8APwAAgAAAAAAAPC/ArprCfmgZ+m/AkzIBz2bVek/AAAAABgAAAD8/AD8AAIAAAAAAADwvwIfFmpN8476vwK1N/jCZKr0PwAAAAAYAAAA/PwA/AACAAAAAAAA8L8CMLsnDws1BMACam/whclU6T8AAAAAHAAAAPz8APwAAgAAAAAAAPC/AjC7Jw8LNQTAAtPe4AuTqcq/AAAAABgAAAD8/AD8AAIAAAAAAADwvwIfFmpN8476vwK1N/jCZKrmvwAAAAABEQAAAPz8APwAAgAAAAAAAPC/AkeU9gZfWBFAAtPe4AuTqdI/AAAAADAABAFlBAAAAAAAAAAABAgBZQQAAAAAAAAAAAgMAWUEAAAAAAAAAAAMEAFlCAAAAAAAAAAADBQBZQQAAAAAAAAAABgUAWUEEAAAAAAAAAAYHAFlBAAAAAAAAAAAHCABZQQAAAAAAAAAACAkAWUEAAAAAAAAAAAkKAFlBAAAAAAAAAAAKCwBZQQAAAAAAAAAACwYAWUEAAAAAAAAAAAAAAAA</t>
        </r>
      </text>
    </comment>
    <comment ref="A382" authorId="0" shapeId="0" xr:uid="{F2DF0800-31C4-4F01-89AD-0BFDA8628499}">
      <text>
        <r>
          <rPr>
            <sz val="9"/>
            <color indexed="81"/>
            <rFont val="MS P ゴシック"/>
            <family val="3"/>
            <charset val="128"/>
          </rPr>
          <t>Insight iXlW00001C0000382R0585476093S00000762P01232LAocjBAQBF1NjaVRlZ2ljLmRhdGEuTW9sZWN1bGUBbwF/ARJTY2lUZWdpYy5Nb2xlY3VsZQAAAQFkAv5qAQAAAAIBAgEQIAAAAPz8APwAAgAAAAAAAPC/AgYSFD/G3M2/Ava52or9ZfM/AAAAABgAAAD8/AD8AAIAAAAAAADwvwL99nXgnBHRPwLQZtXnaivWPwAAAAAcAAAA/PwA/AACAAAAAAAA8L8CBhIUP8bczb8CHA3gLZCg4L8AAAAAGAwAAPz8APwAAgAAAAAAAPC/AkGC4seYu/O/AhwN4C2QoOC/AAAAABgAAAD8/AD8AAIAAAAAAADwvwJBguLHmLv7vwLQZtXnaivWPwAAAAAYAAAA/PwA/AACAAAAAAAA8L8CIUHxY8zdBcAC0GbV52or1j8AAAAAGAAAAPz8APwAAgAAAAAAAPC/AiFB8WPM3QnAAhwN4C2QoOC/AAAAABwAAAD8/AD8AAIAAAAAAADwvwIhQfFjzN0FwALQZtXnaiv2vwAAAAAYAAAA/PwA/AACAAAAAAAA8L8CQYLix5i7+78C0GbV52or9r8AAAAAGAAAAPz8APwAAgAAAAAAAPC/AsB9HThnRPQ/AtBm1edqK9Y/AAAAABgAAAD8/AD8AAIAAAAAAADwvwLAfR04Z0T8PwL2udqK/WXzPwAAAAAYAAAA/PwA/AACAAAAAAAA8L8C4L4OnDMiBkAC9rnaiv1l8z8AAAAAIAAAAPz8APwAAgAAAAAAAPC/AuC+DpwzIgpAAtBm1edqK9Y/AAAAABgAAAD8/AD8AAIAAAAAAADwvwLgvg6cMyIGQAIcDeAtkKDgvwAAAAAYAAAA/PwA/AACAAAAAAAA8L8CwH0dOGdE/D8CHA3gLZCg4L8AAAAAAREAAAD8/AD8AAIAAAAAAADwvwKjkjoBTUQQQALQZtXnaiu2vwAAAAABEAAEAWUIAAAAAAAAAAAECAFlBAAAAAAAAAAADAgBZQQQAAAAAAAAAAwQAWUEAAAAAAAAAAAQFAFlBAAAAAAAAAAAFBgBZQQAAAAAAAAAABgcAWUEAAAAAAAAAAAcIAFlBAAAAAAAAAAAIAwBZQQAAAAAAAAAAAQkAWUEAAAAAAAAAAAkKAFlBAAAAAAAAAAAKCwBZQQAAAAAAAAAACwwAWUEAAAAAAAAAAAwNAFlBAAAAAAAAAAANDgBZQQAAAAAAAAAADgkAWUEAAAAAAAAAAAAAAAA</t>
        </r>
      </text>
    </comment>
    <comment ref="A383" authorId="0" shapeId="0" xr:uid="{B7444EA4-86B7-4216-8665-F431BF0A7910}">
      <text>
        <r>
          <rPr>
            <sz val="9"/>
            <color indexed="81"/>
            <rFont val="MS P ゴシック"/>
            <family val="3"/>
            <charset val="128"/>
          </rPr>
          <t>Insight iXlW00001C0000383R0585476093S00000764P01288LAocjBAQBF1NjaVRlZ2ljLmRhdGEuTW9sZWN1bGUBbwF/ARJTY2lUZWdpYy5Nb2xlY3VsZQAAAQFkAv5qAQAAAAIBAgERIAAAAPz8APwAAgAAAAAAAPC/AgYSFD/G3M2/Ava52or9ZfM/AAAAABgAAAD8/AD8AAIAAAAAAADwvwL99nXgnBHRPwLQZtXnaivWPwAAAAAcAAAA/PwA/AACAAAAAAAA8L8CBhIUP8bczb8CHA3gLZCg4L8AAAAAGAwAAPz8APwAAgAAAAAAAPC/AkGC4seYu/O/AhwN4C2QoOC/AAAAABgAAAD8/AD8AAIAAAAAAADwvwJBguLHmLv7vwLQZtXnaivWPwAAAAAYAAAA/PwA/AACAAAAAAAA8L8CIUHxY8zdBcAC0GbV52or1j8AAAAAGAAAAPz8APwAAgAAAAAAAPC/AiFB8WPM3QnAAhwN4C2QoOC/AAAAABwAAAD8/AD8AAIAAAAAAADwvwIhQfFjzN0FwALQZtXnaiv2vwAAAAAYAAAA/PwA/AACAAAAAAAA8L8CQYLix5i7+78C0GbV52or9r8AAAAAGAAAAPz8APwAAgAAAAAAAPC/AsB9HThnRPQ/AtBm1edqK9Y/AAAAABgAAAD8/AD8AAIAAAAAAADwvwJP0ZFc/kP8PwIcDeAtkKDgvwAAAAAYAAAA/PwA/AACAAAAAAAA8L8Cp+hILv8hBkACHA3gLZCg4L8AAAAAGAAAAPz8APwAAgAAAAAAAPC/AqfoSC7/IQpAAtBm1edqK9Y/AAAAABwAAAD8/AD8AAIAAAAAAADwvwKn6Egu/yEGQAL2udqK/WXzPwAAAAAYAAAA/PwA/AACAAAAAAAA8L8CwH0dOGdE/D8C9rnaiv1l8z8AAAAAAREAAAD8/AD8AAIAAAAAAADwvwKHp1fKMkQQQAILtaZ5xym6vwAAAAABEQAAAPz8APwAAgAAAAAAAPC/AhUdyeU/ZBRAApQYBFYOLbK/AAAAAAEQAAQBZQgAAAAAAAAAAAQIAWUEAAAAAAAAAAAMCAFlBBAAAAAAAAAADBABZQQAAAAAAAAAABAUAWUEAAAAAAAAAAAUGAFlBAAAAAAAAAAAGBwBZQQAAAAAAAAAABwgAWUEAAAAAAAAAAAgDAFlBAAAAAAAAAAABCQBZQQAAAAAAAAAACQoAWUIDAAAAAAAAAAoLAFlBAAAAAAAAAAALDABZQgIAAAAAAAAADA0AWUEAAAAAAAAAAA0OAFlCAgAAAAAAAAAOCQBZQQAAAAAAAAAAAAAAAA=</t>
        </r>
      </text>
    </comment>
    <comment ref="A384" authorId="0" shapeId="0" xr:uid="{1B02CA35-1669-4FAB-84F1-8A93CD03F615}">
      <text>
        <r>
          <rPr>
            <sz val="9"/>
            <color indexed="81"/>
            <rFont val="MS P ゴシック"/>
            <family val="3"/>
            <charset val="128"/>
          </rPr>
          <t>Insight iXlW00001C0000384R0585476093S00000766P01728LAocjBAQBF1NjaVRlZ2ljLmRhdGEuTW9sZWN1bGUBbwF/ARJTY2lUZWdpYy5Nb2xlY3VsZQAAAQFkAv5qAQAAAAIBAgEXGAAAAPz8APwAAgAAAAAAAPC/AgAAAAAAAADAAlVSJ6CJsOU/AAAAABgAAAD8/AD8AAIAAAAAAADwvwIAAAAAAAD4PwJDHOviNhrIvwAAAAAcAAAA/PwA/AACAAAAAAAA8L8CAAAAAAAA+L8CQxzr4jYayL8AAAAAGAAAAPz8APwAAgAAAAAAAPC/AgAAAAAAAARAAkMc6+I2Gsi/AAAAABwAAAD8/AD8AAIAAAAAAADwvwECysNCrWne8L8AAAAAIAAAAPz8APwAAgAAAAAAAPC/AgAAAAAAAAjAAlVSJ6CJsOU/AAAAABgAAAD8/AD8AAIAAAAAAADwvwIAAAAAAADgvwJDHOviNhrIvwAAAAAgAAAA/PwA/AACAAAAAAAA8L8CAAAAAAAA+L8CbAn5oGez+D8AAAAAGAAAAPz8APwAAgAAAAAAAPC/AgAAAAAAAAhAAsrDQq1p3vC/AAAAACAAAAD8/AD8AAIAAAAAAADwvwECc/kP6bev5T8AAAAAGAgAAPz8APwAAgAAAAAAAPC/AALKw0Ktad7wvwAAAAAYAAAA/PwA/AACAAAAAAAA8L8CAAAAAAAADMACbAn5oGez+D8AAAAAJAAAAPz8APwAAgAAAAAAAPC/AgAAAAAAAARAAgwkKH6Muf6/AAAAABgAAAD8/AD8AAIAAAAAAADwvwIAAAAAAAAAwALKw0Ktad7wvwAAAAAYAAAA/PwA/AACAAAAAAAA8L8CAAAAAAAACEACc/kP6bev5T8AAAAAGAAAAPz8APwAAgAAAAAAAPC/AgAAAAAAAPi/AgwkKH6Muf6/AAAAABgAAAD8/AD8AAIAAAAAAADwvwIAAAAAAADgvwIMJCh+jLn+vwAAAAAYAAAA/PwA/AACAAAAAAAA8L8CAAAAAAAAEEACysNCrWne8L8AAAAAGAAAAPz8APwAAgAAAAAAAPC/AhFYObTIdhHAAmwJ+aBns/A/AAAAABgAAAD8/AD8AAIAAAAAAADwvwIAAAAAAAAQwALXNO84RUcDQAAAAAAYAAAA/PwA/AACAAAAAAAA8L8C4E+Nl24SBcACtoR80LNZAEAAAAAAGAAAAPz8APwAAgAAAAAAAPC/AgAAAAAAABBAAnP5D+m3r+U/AAAAABgAAAD8/AD8AAIAAAAAAADwvwIAAAAAAAASQAJDHOviNhrIvwAAAAABGAQQAWUEAAAAAAAAAAAIAAFlBAAAAAAAAAAADAQBZQQAAAAAAAAAACgQAWUEFAAAAAAAAAAUAAFlBAAAAAAAAAAAGAgBZQQAAAAAAAAAABwAAWUIAAAAAAAAAAAgDAFlBAAAAAAAAAAAJAQBZQgAAAAAAAAAACgYAWUEAAAAAAAAAAAsFAFlBAAAAAAAAAAAMCABZQQAAAAAAAAAADQIAWUEAAAAAAAAAAA4DAFlCAwAAAAAAAAAPDQBZQQAAAAAAAAAAAEQPAFlBAAAAAAAAAAAAREgAWUICAAAAAAAAAABEiwBZQQAAAAAAAAAAAETLAFlBAAAAAAAAAAAARQsAWUEAAAAAAAAAAABFTgBZQQAAAAAAAAAAAEWARUBZQgIAAAAAAAAAAEQKAFlBAAAAAAAAAAAARYBEQFlBAAAAAAAAAAAAAAAAA==</t>
        </r>
      </text>
    </comment>
    <comment ref="A385" authorId="0" shapeId="0" xr:uid="{08ADBF93-1B8F-4728-B95C-4877950B9DF0}">
      <text>
        <r>
          <rPr>
            <sz val="9"/>
            <color indexed="81"/>
            <rFont val="MS P ゴシック"/>
            <family val="3"/>
            <charset val="128"/>
          </rPr>
          <t>Insight iXlW00001C0000385R0585476093S00000768P01760LAocjBAQBF1NjaVRlZ2ljLmRhdGEuTW9sZWN1bGUBbwF/ARJTY2lUZWdpYy5Nb2xlY3VsZQAAAQFkAv5qAQAAAAIBAgEXGAAAAPz8APwAAgAAAAAAAPC/AuAtkKD4sQDAAlkXt9EA3uA/AAAAABwAAAD8/AD8AAIAAAAAAADwvwLAWyBB8WP5vwJVUiegibDVvwAAAAAYAAAA/PwA/AACAAAAAAAA8L8Cz/dT46Wb9j8CVVInoImw1b8AAAAAHAAAAPz8APwAAgAAAAAAAPC/Ap7vp8ZLN+0/Atc07zhFR/O/AAAAACAAAAD8/AD8AAIAAAAAAADwvwLgLZCg+LEIwAJZF7fRAN7gPwAAAAAYAAAA/PwA/AACAAAAAAAA8L8C6Pup8dJNA0ACVVInoImw1b8AAAAAGAAAAPz8APwAAgAAAAAAAPC/AmMQWDm0yOK/AlVSJ6CJsNW/AAAAACAAAAD8/AD8AAIAAAAAAADwvwLAWyBB8WP5vwJfmEwVjEr2PwAAAAAgAAAA/PwA/AACAAAAAAAA8L8Cnu+nxks37T8CWRe30QDe4D8AAAAAGAAAAPz8APwAAgAAAAAAAPC/Auj7qfHSTQdAAlkXt9EA3uA/AAAAABgIAAD8/AD8AAIAAAAAAADwvwITg8DKoUW2vwLXNO84RUfzvwAAAAAYAAAA/PwA/AACAAAAAAAA8L8C4C2QoPixDMACX5hMFYxK9j8AAAAAGAAAAPz8APwAAgAAAAAAAPC/Auj7qfHSTQ9AAlkXt9EA3uA/AAAAABgAAAD8/AD8AAIAAAAAAADwvwLgLZCg+LEAwALXNO84RUfzvwAAAAAkAAAA/PwA/AACAAAAAAAA8L8C9P3UeOmmEUACX5hMFYxK9j8AAAAAGAAAAPz8APwAAgAAAAAAAPC/Auj7qfHSTQdAAtc07zhFR/O/AAAAABgAAAD8/AD8AAIAAAAAAADwvwLAWyBB8WP5vwKMSuoENJEAwAAAAAAYAAAA/PwA/AACAAAAAAAA8L8C6Pup8dJND0AC1zTvOEVH878AAAAAGAAAAPz8APwAAgAAAAAAAPC/AoC3QILix+K/AoxK6gQ0kQDAAAAAABgAAAD8/AD8AAIAAAAAAADwvwIdWmQ7388RwAK+MJkqGJXsPwAAAAAYAAAA/PwA/AACAAAAAAAA8L8C8BZIUPxYEMACUfwYc9cSAkAAAAAAGAAAAPz8APwAAgAAAAAAAPC/AsB9HThnxAXAAl+YTBWMSv4/AAAAABgAAAD8/AD8AAIAAAAAAADwvwL0/dR46aYRQAJVUiegibDVvwAAAAABGAQAAWUEAAAAAAAAAAAIDAFlBAAAAAAAAAAAKAwBZQQUAAAAAAAAABAAAWUEAAAAAAAAAAAUCAFlBAAAAAAAAAAAGAQBZQQAAAAAAAAAABwAAWUIAAAAAAAAAAAgCAFlCAAAAAAAAAAAJBQBZQQAAAAAAAAAACgYAWUEAAAAAAAAAAAsEAFlBAAAAAAAAAAAMCQBZQgMAAAAAAAAADQEAWUEAAAAAAAAAAA4MAFlBAAAAAAAAAAAPBQBZQgMAAAAAAAAAAEQNAFlBAAAAAAAAAAAARE8AWUEAAAAAAAAAAABEgEQAWUEAAAAAAAAAAABEywBZQQAAAAAAAAAAAEULAFlBAAAAAAAAAAAARUsAWUEAAAAAAAAAAABFgERAWUICAAAAAAAAAABEigBZQQAAAAAAAAAAAEWMAFlBAAAAAAAAAAAAAAAAA==</t>
        </r>
      </text>
    </comment>
    <comment ref="A386" authorId="0" shapeId="0" xr:uid="{C41D35C0-7FA9-407B-A1EB-71E259AB5A1D}">
      <text>
        <r>
          <rPr>
            <sz val="9"/>
            <color indexed="81"/>
            <rFont val="MS P ゴシック"/>
            <family val="3"/>
            <charset val="128"/>
          </rPr>
          <t>Insight iXlW00001C0000386R0585476093S00000770P01756LAocjBAQBF1NjaVRlZ2ljLmRhdGEuTW9sZWN1bGUBbwF/ARJTY2lUZWdpYy5Nb2xlY3VsZQAAAQFkAv5qAQAAAAIBAgEXGAAAAPz8APwAAgAAAAAAAPC/Au0vuycPCwHAAmaIY13cRuM/AAAAABwAAAD8/AD8AAIAAAAAAADwvwLZX3ZPHhb6vwI7cM6I0t7QvwAAAAAYAAAA/PwA/AACAAAAAAAA8L8CKKCJsOHp9T8CO3DOiNLe0L8AAAAAHAAAAPz8APwAAgAAAAAAAPC/Ak9AE2HD0+s/AlH8GHPXEvK/AAAAACAAAAD8/AD8AAIAAAAAAADwvwLtL7snDwsJwAJmiGNd3EbjPwAAAAAYAAAA/PwA/AACAAAAAAAA8L8CFNBE2PD0AkACO3DOiNLe0L8AAAAAGAAAAPz8APwAAgAAAAAAAPC/ArK/7J48LOS/AjtwzojS3tC/AAAAACAAAAD8/AD8AAIAAAAAAADwvwLZX3ZPHhb6vwLm0CLb+X73PwAAAAAgAAAA/PwA/AACAAAAAAAA8L8CT0ATYcPT6z8CZohjXdxG4z8AAAAAGAgAAPz8APwAAgAAAAAAAPC/Asb+snvysMC/AlH8GHPXEvK/AAAAABgAAAD8/AD8AAIAAAAAAADwvwLtL7snDwsNwALm0CLb+X73PwAAAAAYAAAA/PwA/AACAAAAAAAA8L8C2/l+arz0BkACUfwYc9cS8r8AAAAAGAAAAPz8APwAAgAAAAAAAPC/Atv5fmq89AZAAkjhehSuR+M/AAAAABgAAAD8/AD8AAIAAAAAAADwvwLufD81XnoRQAJ3vp8aL93QvwAAAAAYAAAA/PwA/AACAAAAAAAA8L8C7S+7Jw8LAcACUfwYc9cS8r8AAAAAGAAAAPz8APwAAgAAAAAAAPC/Atz5fmq89A5AAkjhehSuR+M/AAAAABgAAAD8/AD8AAIAAAAAAADwvwLc+X5qvPQOQAJR/Bhz1xLyvwAAAAAkAAAA/PwA/AACAAAAAAAA8L8C7nw/NV56FUACd76fGi/d0L8AAAAAGAAAAPz8APwAAgAAAAAAAPC/Atlfdk8eFvq/ApJc/kP67f+/AAAAABgAAAD8/AD8AAIAAAAAAADwvwKyv+yePCzkvwKSXP5D+u3/vwAAAAAYAAAA/PwA/AACAAAAAAAA8L8CB/AWSFD8EcACy6FFtvP97j8AAAAAGAAAAPz8APwAAgAAAAAAAPC/AvaX3ZOHhRDAApQYBFYOrQJAAAAAABgAAAD8/AD8AAIAAAAAAADwvwLMf0i/fR0GwALm0CLb+X7/PwAAAAABGAQAAWUEAAAAAAAAAAAIDAFlBAAAAAAAAAAAJAwBZQQUAAAAAAAAABAAAWUEAAAAAAAAAAAUCAFlBAAAAAAAAAAAGAQBZQQAAAAAAAAAABwAAWUIAAAAAAAAAAAgCAFlCAAAAAAAAAAAJBgBZQQAAAAAAAAAACgQAWUEAAAAAAAAAAAsFAFlCAwAAAAAAAAAMBQBZQQAAAAAAAAAADQ8AWUEAAAAAAAAAAA4BAFlBAAAAAAAAAAAPDABZQgIAAAAAAAAAAEQLAFlBAAAAAAAAAAAARE0AWUEAAAAAAAAAAABEjgBZQQAAAAAAAAAAAETARIBZQQAAAAAAAAAAAEUKAFlBAAAAAAAAAAAARUoAWUEAAAAAAAAAAABFigBZQQAAAAAAAAAAAETJAFlBAAAAAAAAAAANAEQAWUICAAAAAAAAAAAAAAA</t>
        </r>
      </text>
    </comment>
    <comment ref="A387" authorId="0" shapeId="0" xr:uid="{A4850475-4EAF-4BE3-9D86-35359194FBAD}">
      <text>
        <r>
          <rPr>
            <sz val="9"/>
            <color indexed="81"/>
            <rFont val="MS P ゴシック"/>
            <family val="3"/>
            <charset val="128"/>
          </rPr>
          <t>Insight iXlW00001C0000387R0585476093S00000772P00932LAocjBAQBF1NjaVRlZ2ljLmRhdGEuTW9sZWN1bGUBbwF/ARJTY2lUZWdpYy5Nb2xlY3VsZQAAAQFkAv5qAQAAAAIBAjAYAAAA/PwA/AACAAAAAAAA8L8C1CtlGeJY7T8CB/AWSFD84j8AAAAAARAAAAD8/AD8AAIAAAAAAADwvwLqlbIMcaz2PwL5oGez6nPRvwAAAAAgAAAA/PwA/AACAAAAAAAA8L8CTtGRXP5DAkACDr4wmSoYzT8AAAAAIAAAAPz8APwAAgAAAAAAAPC/AuqVsgxxrP4/AoBIv30dOPK/AAAAABwAAAD8/AD8AAIAAAAAAADwvwJRa5p3nKLhPwJ90LNZ9bnovwAAAAAYDAAA/PwA/AACAAAAAAAA8L8CZapgVFIn1L8C+aBns+pz0b8AAAAAGAAAAPz8APwAAgAAAAAAAPC/AmWqYFRSJ9S/AoQvTKYKRuc/AAAAABgAAAD8/AD8AAIAAAAAAADwvwLbiv1l9+TyvwJRa5p3nKLzPwAAAAAYAAAA/PwA/AACAAAAAAAA8L8Cx0s3iUFgAMACotY07zhF5z8AAAAAHAAAAPz8APwAAgAAAAAAAPC/AsdLN4lBYADAAvmgZ7Pqc9G/AAAAABgAAAD8/AD8AAIAAAAAAADwvwLbiv1l9+TyvwJ90LNZ9bnovwAAAAABEQAAAPz8APwAAgAAAAAAAPC/ArU3+MJkqghAAv5l9+RhoaY/AAAAACwABAFlBAAAAAAAAAAABAgBZQgAAAAAAAAAAAQMAWUIAAAAAAAAAAAEEAFlBAAAAAAAAAAAFBABZQQQAAAAAAAAABQYAWUEAAAAAAAAAAAYHAFlBAAAAAAAAAAAHCABZQQAAAAAAAAAACAkAWUEAAAAAAAAAAAkKAFlBAAAAAAAAAAAKBQBZQQAAAAAAAAAAAAAAAA=</t>
        </r>
      </text>
    </comment>
    <comment ref="A388" authorId="0" shapeId="0" xr:uid="{DDC4082B-DC40-40F4-9516-9F8265C4A631}">
      <text>
        <r>
          <rPr>
            <sz val="9"/>
            <color indexed="81"/>
            <rFont val="MS P ゴシック"/>
            <family val="3"/>
            <charset val="128"/>
          </rPr>
          <t>Insight iXlW00001C0000388R0585476093S00000774P01448LAocjBAQBF1NjaVRlZ2ljLmRhdGEuTW9sZWN1bGUBbwF/ARJTY2lUZWdpYy5Nb2xlY3VsZQAAAQFkAv5qAQAAAAIBAgETARAAAAD8/AD8AAIAAAAAAADwvwJuxf6ye/ICQAJMyAc9m1XXvwAAAAAYAAAA/PwA/AACAAAAAAAA8L8CJnUCmggb8r8CXtxGA3gL4D8AAAAAHAAAAPz8APwAAgAAAAAAAPC/AkvqBDQRNuS/AkzIBz2bVde/AAAAABwAAAD8/AD8AAIAAAAAAADwvwLbiv1l9+T9PwLG/rJ78rDzvwAAAAAgAAAA/PwA/AACAAAAAAAA8L8CkzoBTYQNAcACXtxGA3gL4D8AAAAAGAAAAPz8APwAAgAAAAAAAPC/Amsr9pfdk9c/AhB6Nqs+V9e/AAAAACAAAAD8/AD8AAIAAAAAAADwvwKaKhiV1An4PwLhC5OpglHBPwAAAAAgAAAA/PwA/AACAAAAAAAA8L8CjnVxGw3gCUACJuSDns2q678AAAAAGAwAAPz8APwAAgAAAAAAAPC/ArYV+8vuyes/Asb+snvysPO/AAAAACAAAAD8/AD8AAIAAAAAAADwvwJL6gQ0ETbkvwJxzojS3uD1PwAAAAAYAAAA/PwA/AACAAAAAAAA8L8CkzoBTYQNBcACcc6I0t7g9T8AAAAAGAAAAPz8APwAAgAAAAAAAPC/Am7F/rJ78gZAAl7cRgN4C+A/AAAAABgAAAD8/AD8AAIAAAAAAADwvwK0yHa+nxryvwLG/rJ78rDzvwAAAAAYAAAA/PwA/AACAAAAAAAA8L8CaZHtfD815L8ChC9MpgrGAMAAAAAAGAAAAPz8APwAAgAAAAAAAPC/Amsr9pfdk9c/AoQvTKYKxgDAAAAAABgAAAD8/AD8AAIAAAAAAADwvwK06nO1FfsLwALhnBGlvcHrPwAAAAAYAAAA/PwA/AACAAAAAAAA8L8CkzoBTYQNCcACWRe30QDeAUAAAAAAGAAAAPz8APwAAgAAAAAAAPC/AnNoke18P/y/AnHOiNLe4P0/AAAAABgAAAD8/AD8AAIAAAAAAADwvwJuxf6ye/IOQAJe3EYDeAvgPwAAAAABEwQIAWUEAAAAAAAAAAAIFAFlBAAAAAAAAAAADAABZQQAAAAAAAAAABAEAWUEAAAAAAAAAAAUIAFlBAAAAAAAAAAAGAABZQgAAAAAAAAAABwAAWUIAAAAAAAAAAAgDAFlBBQAAAAAAAAAJAQBZQgAAAAAAAAAACgQAWUEAAAAAAAAAAAsAAFlBAAAAAAAAAAAMDQBZQQAAAAAAAAAADQ4AWUEAAAAAAAAAAA4IAFlBAAAAAAAAAAAPCgBZQQAAAAAAAAAAAEQKAFlBAAAAAAAAAAAAREoAWUEAAAAAAAAAAABEiwBZQQAAAAAAAAAAAgwAWUEAAAAAAAAAAAAAAAA</t>
        </r>
      </text>
    </comment>
    <comment ref="A389" authorId="0" shapeId="0" xr:uid="{1BADEA94-33B9-4F8F-9831-595A0A72BEF4}">
      <text>
        <r>
          <rPr>
            <sz val="9"/>
            <color indexed="81"/>
            <rFont val="MS P ゴシック"/>
            <family val="3"/>
            <charset val="128"/>
          </rPr>
          <t>Insight iXlW00001C0000389R0585476093S00000776P01004LAocjBAQBF1NjaVRlZ2ljLmRhdGEuTW9sZWN1bGUBbwF/ARJTY2lUZWdpYy5Nb2xlY3VsZQAAAQFkAv5qAQAAAAIBAjQYAAAA/PwA/AACAAAAAAAA8L8C1udqK/YXB0ACAAAAAAAA0L8AAAAAGAAAAPz8APwAAgAAAAAAAPC/ArU3+MJkKgBAAgAAAAAAANA/AAAAAAEQAAAA/PwA/AACAAAAAAAA8L8CKA8LtaZ58j8CAAAAAAAA0L8AAAAAIAAAAPz8APwAAgAAAAAAAPC/AlAeFmpN8+Q/AoPAyqFFtuM/AAAAACAAAAD8/AD8AAIAAAAAAADwvwIoDwu1pnn6PwJCYOXQItvxvwAAAAAcAAAA/PwA/AACAAAAAAAA8L8CmbuWkA960j8CAAAAAAAA6L8AAAAAGAwAAPz8APwAAgAAAAAAAPC/Apm7lpAPeuK/AgAAAAAAANC/AAAAABgAAAD8/AD8AAIAAAAAAADwvwK3Yn/ZPXnivwIAAAAAAADoPwAAAAAYAAAA/PwA/AACAAAAAAAA8L8CDr4wmSoY978CAAAAAAAA9D8AAAAAGAAAAPz8APwAAgAAAAAAAPC/AigPC7WmeQLAAgAAAAAAAOg/AAAAABwAAAD8/AD8AAIAAAAAAADwvwIoDwu1pnkCwAIAAAAAAADQvwAAAAAYAAAA/PwA/AACAAAAAAAA8L8CDr4wmSoY978CAAAAAAAA6L8AAAAAAREAAAD8/AD8AAIAAAAAAADwvwI8TtGRXH4NQAL0/dR46SaxPwAAAAAwAAQBZQQAAAAAAAAAAAQIAWUEAAAAAAAAAAAIDAFlCAAAAAAAAAAACBABZQgAAAAAAAAAAAgUAWUEAAAAAAAAAAAYFAFlBBAAAAAAAAAAGBwBZQQAAAAAAAAAABwgAWUEAAAAAAAAAAAgJAFlBAAAAAAAAAAAJCgBZQQAAAAAAAAAACgsAWUEAAAAAAAAAAAsGAFlBAAAAAAAAAAAAAAAAA==</t>
        </r>
      </text>
    </comment>
    <comment ref="A390" authorId="0" shapeId="0" xr:uid="{971AB06C-63F5-42BC-A68F-2C5B32BAD36B}">
      <text>
        <r>
          <rPr>
            <sz val="9"/>
            <color indexed="81"/>
            <rFont val="MS P ゴシック"/>
            <family val="3"/>
            <charset val="128"/>
          </rPr>
          <t>Insight iXlW00001C0000390R0585476093S00000778P01304LAocjBAQBF1NjaVRlZ2ljLmRhdGEuTW9sZWN1bGUBbwF/ARJTY2lUZWdpYy5Nb2xlY3VsZQAAAQFkAv5qAQAAAAIBAgERGAAAAPz8APwAAgAAAAAAAPC/AvLSTWIQWO2/AiZ1ApoIG64/AAAAABwAAAD8/AD8AAIAAAAAAADwvwLImLuWkA+qvwJcsb/snjzcvwAAAAAgAAAA/PwA/AACAAAAAAAA8L8Cu0kMAiuH/L8CXLG/7J483L8AAAAAGAAAAPz8APwAAgAAAAAAAPC/AvcGX5hMFeo/AiZ1ApoIG64/AAAAACAAAAD8/AD8AAIAAAAAAADwvwLy0k1iEFjtvwKpE9BE2PDwPwAAAAAcAAAA/PwA/AACAAAAAAAA8L8C/yH99nVgBEACJnUCmggbrj8AAAAAGAAAAPz8APwAAgAAAAAAAPC/Av7UeOkmMQXAAiZ1ApoIG64/AAAAABgIAAD8/AD8AAIAAAAAAADwvwK94xQdyeX6PwJcsb/snjzcvwAAAAAYAAAA/PwA/AACAAAAAAAA8L8CyJi7lpAPqr8CV+wvuycP978AAAAAGAAAAPz8APwAAgAAAAAAAPC/Av8h/fZ1YARAAqkT0ETY8PA/AAAAABgAAAD8/AD8AAIAAAAAAADwvwL3Bl+YTBXqPwJX7C+7Jw//vwAAAAAYAAAA/PwA/AACAAAAAAAA8L8CveMUHcnl+j8CV+wvuycP978AAAAAGAAAAPz8APwAAgAAAAAAAPC/Av7UeOkmMQnAAjGZKhiV1Om/AAAAABgAAAD8/AD8AAIAAAAAAADwvwIfhetRuB4MwAJTJ6CJsOHhPwAAAAAYAAAA/PwA/AACAAAAAAAA8L8C/tR46SYxAcACuECC4seY7T8AAAAAGAAAAPz8APwAAgAAAAAAAPC/Ar3jFB3J5fo/AqoT0ETY8Pg/AAAAABgAAAD8/AD8AAIAAAAAAADwvwIg0m9fB04LQAKqE9BE2PD4PwAAAAABEQQAAWUEAAAAAAAAAAAIAAFlBAAAAAAAAAAADAQBZQQAAAAAAAAAABAAAWUIAAAAAAAAAAAcFAFlBBQAAAAAAAAAGAgBZQQAAAAAAAAAABwMAWUEAAAAAAAAAAAgBAFlBAAAAAAAAAAAJBQBZQQAAAAAAAAAACggAWUEAAAAAAAAAAAsKAFlBAAAAAAAAAAAMBgBZQQAAAAAAAAAADQYAWUEAAAAAAAAAAA4GAFlBAAAAAAAAAAAPCQBZQQAAAAAAAAAAAEQJAFlBAAAAAAAAAAALBwBZQQAAAAAAAAAAAAAAAA=</t>
        </r>
      </text>
    </comment>
    <comment ref="A391" authorId="0" shapeId="0" xr:uid="{2A073286-4DB9-4A38-9675-09E257F85D02}">
      <text>
        <r>
          <rPr>
            <sz val="9"/>
            <color indexed="81"/>
            <rFont val="MS P ゴシック"/>
            <family val="3"/>
            <charset val="128"/>
          </rPr>
          <t>Insight iXlW00001C0000391R0585476093S00000780P01684LAocjBAQBF1NjaVRlZ2ljLmRhdGEuTW9sZWN1bGUBbwF/ARJTY2lUZWdpYy5Nb2xlY3VsZQAAAQFkAv5qAQAAAAIBAgEWGAAAAPz8APwAAgAAAAAAAPC/Aj7o2az6XADAAlFrmnecouE/AAAAABwAAAD8/AD8AAIAAAAAAADwvwJ90LNZ9bn4vwJlqmBUUifUvwAAAAAgAAAA/PwA/AACAAAAAAAA8L8CP+jZrPpcCMACUWuad5yi4T8AAAAAGAAAAPz8APwAAgAAAAAAAPC/Atv5fmq8dOG/AmWqYFRSJ9S/AAAAACAAAAD8/AD8AAIAAAAAAADwvwJ90LNZ9bn4vwLqlbIMcaz2PwAAAAAYAAAA/PwA/AACAAAAAAAA8L8CP+jZrPpcDMAC6pWyDHGs9j8AAAAAHAAAAPz8APwAAgAAAAAAAPC/AiUGgZVDi+4/AtuK/WX35PK/AAAAABgIAAD8/AD8AAIAAAAAAADwvwKyne+nxkunvwJMN4lBYOXyvwAAAAAYAAAA/PwA/AACAAAAAAAA8L8CE4PAyqFF9z8CZapgVFIn1L8AAAAAGAAAAPz8APwAAgAAAAAAAPC/Aj7o2az6XADAAtuK/WX35PK/AAAAABgAAAD8/AD8AAIAAAAAAADwvwKKQWDl0KIHQAJRa5p3nKLhPwAAAAAYAAAA/PwA/AACAAAAAAAA8L8CikFg5dCiD0ACUWuad5yi4T8AAAAAGAAAAPz8APwAAgAAAAAAAPC/AolBYOXQogNAAmWqYFRSJ9S/AAAAACQAAAD8/AD8AAIAAAAAAADwvwLFILByaNERQALqlbIMcaz2PwAAAAAYAAAA/PwA/AACAAAAAAAA8L8CfdCzWfW5+L8Cx0s3iUFgAMAAAAAAGAAAAPz8APwAAgAAAAAAAPC/AopBYOXQog9AAtuK/WX35PK/AAAAABgAAAD8/AD8AAIAAAAAAADwvwJMN4lBYKURwALUK2UZ4ljtPwAAAAAYAAAA/PwA/AACAAAAAAAA8L8CH/RsVn0uEMACTtGRXP5DAkAAAAAAGAAAAPz8APwAAgAAAAAAAPC/Ah44Z0RpbwXAAuqVsgxxrP4/AAAAABgAAAD8/AD8AAIAAAAAAADwvwLFILByaNERQAJlqmBUUifUvwAAAAAYAAAA/PwA/AACAAAAAAAA8L8CikFg5dCiB0AC24r9Zffk8r8AAAAAGAAAAPz8APwAAgAAAAAAAPC/AvmgZ7Pqc+G/AsdLN4lBYADAAAAAAAEXBAABZQQAAAAAAAAAAAgAAWUEAAAAAAAAAAAMBAFlBAAAAAAAAAAAEAABZQgAAAAAAAAAABQIAWUEAAAAAAAAAAAcGAFlBBQAAAAAAAAAHAwBZQQAAAAAAAAAACAYAWUEAAAAAAAAAAAkBAFlBAAAAAAAAAAAKDABZQgMAAAAAAAAACwoAWUEAAAAAAAAAAAwIAFlBAAAAAAAAAAANCwBZQQAAAAAAAAAADgkAWUEAAAAAAAAAAA8ARQBZQgIAAAAAAAAAAEQFAFlBAAAAAAAAAAAAREUAWUEAAAAAAAAAAABEhQBZQQAAAAAAAAAAAETPAFlBAAAAAAAAAAAARQwAWUEAAAAAAAAAAABFTgBZQQAAAAAAAAAAAEVHAFlBAAAAAAAAAAAARMsAWUICAAAAAAAAAAAAAAA</t>
        </r>
      </text>
    </comment>
    <comment ref="A392" authorId="0" shapeId="0" xr:uid="{60197B5A-3464-4038-BFDE-E22D53FC5C58}">
      <text>
        <r>
          <rPr>
            <sz val="9"/>
            <color indexed="81"/>
            <rFont val="MS P ゴシック"/>
            <family val="3"/>
            <charset val="128"/>
          </rPr>
          <t>Insight iXlW00001C0000392R0585476093S00000782P01448LAocjBAQBF1NjaVRlZ2ljLmRhdGEuTW9sZWN1bGUBbwF/ARJTY2lUZWdpYy5Nb2xlY3VsZQAAAQFkAv5qAQAAAAIBAgETARAAAAD8/AD8AAIAAAAAAADwvwJuxf6ye/ICQAJMyAc9m1XXvwAAAAAYAAAA/PwA/AACAAAAAAAA8L8CJnUCmggb8r8CXtxGA3gL4D8AAAAAHAAAAPz8APwAAgAAAAAAAPC/AkvqBDQRNuS/AkzIBz2bVde/AAAAABwAAAD8/AD8AAIAAAAAAADwvwLbiv1l9+T9PwLG/rJ78rDzvwAAAAAgAAAA/PwA/AACAAAAAAAA8L8CkzoBTYQNAcACXtxGA3gL4D8AAAAAGAAAAPz8APwAAgAAAAAAAPC/Amsr9pfdk9c/AhB6Nqs+V9e/AAAAACAAAAD8/AD8AAIAAAAAAADwvwKaKhiV1An4PwLhC5OpglHBPwAAAAAgAAAA/PwA/AACAAAAAAAA8L8CjnVxGw3gCUACJuSDns2q678AAAAAGAgAAPz8APwAAgAAAAAAAPC/ArYV+8vuyes/Asb+snvysPO/AAAAACAAAAD8/AD8AAIAAAAAAADwvwJL6gQ0ETbkvwJxzojS3uD1PwAAAAAYAAAA/PwA/AACAAAAAAAA8L8CkzoBTYQNBcACcc6I0t7g9T8AAAAAGAAAAPz8APwAAgAAAAAAAPC/Am7F/rJ78gZAAl7cRgN4C+A/AAAAABgAAAD8/AD8AAIAAAAAAADwvwK0yHa+nxryvwLG/rJ78rDzvwAAAAAYAAAA/PwA/AACAAAAAAAA8L8CaZHtfD815L8ChC9MpgrGAMAAAAAAGAAAAPz8APwAAgAAAAAAAPC/Amsr9pfdk9c/AoQvTKYKxgDAAAAAABgAAAD8/AD8AAIAAAAAAADwvwK06nO1FfsLwALhnBGlvcHrPwAAAAAYAAAA/PwA/AACAAAAAAAA8L8CkzoBTYQNCcACWRe30QDeAUAAAAAAGAAAAPz8APwAAgAAAAAAAPC/AnNoke18P/y/AnHOiNLe4P0/AAAAABgAAAD8/AD8AAIAAAAAAADwvwJuxf6ye/IOQAJe3EYDeAvgPwAAAAABEwQIAWUEAAAAAAAAAAAIFAFlBAAAAAAAAAAADAABZQQAAAAAAAAAABAEAWUEAAAAAAAAAAAUIAFlBAAAAAAAAAAAGAABZQgAAAAAAAAAABwAAWUIAAAAAAAAAAAgDAFlBBAAAAAAAAAAJAQBZQgAAAAAAAAAACgQAWUEAAAAAAAAAAAsAAFlBAAAAAAAAAAAMDQBZQQAAAAAAAAAADQ4AWUEAAAAAAAAAAA4IAFlBAAAAAAAAAAAPCgBZQQAAAAAAAAAAAEQKAFlBAAAAAAAAAAAAREoAWUEAAAAAAAAAAABEiwBZQQAAAAAAAAAAAgwAWUEAAAAAAAAAAAAAAAA</t>
        </r>
      </text>
    </comment>
    <comment ref="A393" authorId="0" shapeId="0" xr:uid="{A082128F-8F89-43D3-BFF9-F98CFDAF090B}">
      <text>
        <r>
          <rPr>
            <sz val="9"/>
            <color indexed="81"/>
            <rFont val="MS P ゴシック"/>
            <family val="3"/>
            <charset val="128"/>
          </rPr>
          <t>Insight iXlW00001C0000393R0585476093S00000784P01004LAocjBAQBF1NjaVRlZ2ljLmRhdGEuTW9sZWN1bGUBbwF/ARJTY2lUZWdpYy5Nb2xlY3VsZQAAAQFkAv5qAQAAAAIBAjQYAAAA/PwA/AACAAAAAAAA8L8C1udqK/YXB0ACAAAAAAAA0L8AAAAAGAAAAPz8APwAAgAAAAAAAPC/ArU3+MJkKgBAAgAAAAAAANA/AAAAAAEQAAAA/PwA/AACAAAAAAAA8L8CKA8LtaZ58j8CAAAAAAAA0L8AAAAAIAAAAPz8APwAAgAAAAAAAPC/AlAeFmpN8+Q/AoPAyqFFtuM/AAAAACAAAAD8/AD8AAIAAAAAAADwvwIoDwu1pnn6PwJCYOXQItvxvwAAAAAcAAAA/PwA/AACAAAAAAAA8L8CmbuWkA960j8CAAAAAAAA6L8AAAAAGAgAAPz8APwAAgAAAAAAAPC/Apm7lpAPeuK/AgAAAAAAANC/AAAAABgAAAD8/AD8AAIAAAAAAADwvwK3Yn/ZPXnivwIAAAAAAADoPwAAAAAYAAAA/PwA/AACAAAAAAAA8L8CDr4wmSoY978CAAAAAAAA9D8AAAAAGAAAAPz8APwAAgAAAAAAAPC/AigPC7WmeQLAAgAAAAAAAOg/AAAAABwAAAD8/AD8AAIAAAAAAADwvwIoDwu1pnkCwAIAAAAAAADQvwAAAAAYAAAA/PwA/AACAAAAAAAA8L8CDr4wmSoY978CAAAAAAAA6L8AAAAAAREAAAD8/AD8AAIAAAAAAADwvwI8TtGRXH4NQAL0/dR46SaxPwAAAAAwAAQBZQQAAAAAAAAAAAQIAWUEAAAAAAAAAAAIDAFlCAAAAAAAAAAACBABZQgAAAAAAAAAAAgUAWUEAAAAAAAAAAAYFAFlBBQAAAAAAAAAGBwBZQQAAAAAAAAAABwgAWUEAAAAAAAAAAAgJAFlBAAAAAAAAAAAJCgBZQQAAAAAAAAAACgsAWUEAAAAAAAAAAAsGAFlBAAAAAAAAAAAAAAAAA==</t>
        </r>
      </text>
    </comment>
    <comment ref="A394" authorId="0" shapeId="0" xr:uid="{0AE68714-4A5A-4C67-9C3D-87FA8B1BDDBC}">
      <text>
        <r>
          <rPr>
            <sz val="9"/>
            <color indexed="81"/>
            <rFont val="MS P ゴシック"/>
            <family val="3"/>
            <charset val="128"/>
          </rPr>
          <t>Insight iXlW00001C0000394R0585476093S00000786P00856LAocjBAQBF1NjaVRlZ2ljLmRhdGEuTW9sZWN1bGUBbwF/ARJTY2lUZWdpYy5Nb2xlY3VsZQAAAQFkAv5qAQAAAAIAAjAYAAAA/PwA/AACAAAAAAAA8L8CqTXNO07R9T8BAAAAABgAAAD8/AD8AAIAAAAAAADwvwKpNc07TtH1PwAAAAAAGAAAAPz8APwAAgAAAAAAAPC/AtSa5h2n6AJAAAAAAAAcAAAA/PwA/AACAAAAAAAA8L8CqTXNO07R9T8CAAAAAAAA8L8AAAAAGAAAAPz8APwAAgAAAAAAAPC/AqLWNO84Rdc/AAAAAAAYAAAA/PwA/AACAAAAAAAA8L8CvVKWIY51wb8Cg8DKoUW2678AAAAAGAAAAPz8APwAAgAAAAAAAPC/AljKMsSxLvK/AoPAyqFFtuu/AAAAABgAAAD8/AD8AAIAAAAAAADwvwLnHafoSC76vwAAAAAAASMAAAD8/AD8AAIAAAAAAADwvwL0jlN0JBcFwAAAAAAAGAAAAPz8APwAAgAAAAAAAPC/Aucdp+hILvK/AoPAyqFFtus/AAAAABgAAAD8/AD8AAIAAAAAAADwvwK9UpYhjnXBvwKDwMqhRbbrPwAAAAABEQAAAPz8APwAAgAAAAAAAPC/AjsBTYQNTwlAAAAAAAAsAAQBZQQAAAAAAAAAAAQIAWUEAAAAAAAAAAAEDAFlBAAAAAAAAAAABBABZQQAAAAAAAAAABAUAWUIDAAAAAAAAAAUGAFlBAAAAAAAAAAAGBwBZQgMAAAAAAAAABwgAWUEAAAAAAAAAAAcJAFlBAAAAAAAAAAAJCgBZQgIAAAAAAAAACgQAWUEAAAAAAAAAAAAAAAA</t>
        </r>
      </text>
    </comment>
    <comment ref="A395" authorId="0" shapeId="0" xr:uid="{391B0883-EACA-449A-A5E0-E7A550C642E6}">
      <text>
        <r>
          <rPr>
            <sz val="9"/>
            <color indexed="81"/>
            <rFont val="MS P ゴシック"/>
            <family val="3"/>
            <charset val="128"/>
          </rPr>
          <t>Insight iXlW00001C0000395R0585476093S00000788P01016LAocjBAQBF1NjaVRlZ2ljLmRhdGEuTW9sZWN1bGUBbwF/ARJTY2lUZWdpYy5Nb2xlY3VsZQAAAQFkAv5qAQAAAAIAAjQYAAAA/PwA/AACAAAAAAAA8L8CTYQNT6+U6T8CN6s+V1ux078AAAAAGAAAAPz8APwAAgAAAAAAAPC/AmgibHh6pfo/ApxVn6ut2Om/AAAAABgAAAD8/AD8AAIAAAAAAADwvwKx4emVsgyxvwKTqYJRSZ3IPwAAAAAYAAAA/PwA/AACAAAAAAAA8L8CuvyH9NvX7b8CN6s+V1ux078AAAAAIAAAAPz8APwAAgAAAAAAAPC/AlXBqKROQARAAjerPldbsdO/AAAAACAAAAD8/AD8AAIAAAAAAADwvwJoImx4eqX6PwLOqs/VVuz8vwAAAAAYAAAA/PwA/AACAAAAAAAA8L8Cnl4pyxDH/L8Ck6mCUUmdyD8AAAAAJAAAAPz8APwAAgAAAAAAAPC/Aqk1zTtOUQXAAjerPldbsdO/AAAAABgAAAD8/AD8AAIAAAAAAADwvwKx4emVsgyxvwIzVTAqqRPzPwAAAAAYAAAA/PwA/AACAAAAAAAA8L8CJ8KGp1fK9D8C6Gor9pfd4T8AAAAAGAAAAPz8APwAAgAAAAAAAPC/ApoIG55eKdM/Ag8LtaZ5x/K/AAAAABgAAAD8/AD8AAIAAAAAAADwvwK6/If029ftvwIzVTAqqRP7PwAAAAAYAAAA/PwA/AACAAAAAAAA8L8Cnl4pyxDH/L8CM1UwKqkT8z8AAAAANAQAAWUEAAAAAAAAAAAIAAFlBAAAAAAAAAAADAgBZQQAAAAAAAAAABAEAWUIAAAAAAAAAAAUBAFlBAAAAAAAAAAAGAwBZQgMAAAAAAAAABwYAWUEAAAAAAAAAAAgCAFlCAwAAAAAAAAAJAABZQQAAAAAAAAAACgAAWUEAAAAAAAAAAAsIAFlBAAAAAAAAAAAMCwBZQgIAAAAAAAAADAYAWUEAAAAAAAAAAAAAAAA</t>
        </r>
      </text>
    </comment>
    <comment ref="A396" authorId="0" shapeId="0" xr:uid="{DCD2AD62-A768-409F-A1E9-F956464F90C9}">
      <text>
        <r>
          <rPr>
            <sz val="9"/>
            <color indexed="81"/>
            <rFont val="MS P ゴシック"/>
            <family val="3"/>
            <charset val="128"/>
          </rPr>
          <t>Insight iXlW00001C0000396R0585476093S00000790P01020LAocjBAQBF1NjaVRlZ2ljLmRhdGEuTW9sZWN1bGUBbwF/ARJTY2lUZWdpYy5Nb2xlY3VsZQAAAQFkAv5qAQAAAAIAAjQYAAAA/PwA/AACAAAAAAAA8L8CTYQNT6+U6T8CN6s+V1ux078AAAAAGAAAAPz8APwAAgAAAAAAAPC/AmgibHh6pfo/ApxVn6ut2Om/AAAAABgAAAD8/AD8AAIAAAAAAADwvwKx4emVsgyxvwKTqYJRSZ3IPwAAAAAYAAAA/PwA/AACAAAAAAAA8L8CuvyH9NvX7b8CN6s+V1ux078AAAAAIAAAAPz8APwAAgAAAAAAAPC/AlXBqKROQARAAjerPldbsdO/AAAAACAAAAD8/AD8AAIAAAAAAADwvwJoImx4eqX6PwLOqs/VVuz8vwAAAAAYAAAA/PwA/AACAAAAAAAA8L8Cnl4pyxDH/L8Ck6mCUUmdyD8AAAAAASMAAAD8/AD8AAIAAAAAAADwvwKpNc07TlEFwAI3qz5XW7HTvwAAAAAYAAAA/PwA/AACAAAAAAAA8L8CseHplbIMsb8CM1UwKqkT8z8AAAAAGAAAAPz8APwAAgAAAAAAAPC/AifChqdXyvQ/AuhqK/aX3eE/AAAAABgAAAD8/AD8AAIAAAAAAADwvwKaCBueXinTPwIPC7WmecfyvwAAAAAYAAAA/PwA/AACAAAAAAAA8L8CuvyH9NvX7b8CM1UwKqkT+z8AAAAAGAAAAPz8APwAAgAAAAAAAPC/Ap5eKcsQx/y/AjNVMCqpE/M/AAAAADQEAAFlBAAAAAAAAAAACAABZQQAAAAAAAAAAAwIAWUEAAAAAAAAAAAQBAFlCAAAAAAAAAAAFAQBZQQAAAAAAAAAABgMAWUIDAAAAAAAAAAcGAFlBAAAAAAAAAAAIAgBZQgMAAAAAAAAACQAAWUEAAAAAAAAAAAoAAFlBAAAAAAAAAAALCABZQQAAAAAAAAAADAsAWUICAAAAAAAAAAwGAFlBAAAAAAAAAAAAAAAAA==</t>
        </r>
      </text>
    </comment>
    <comment ref="A397" authorId="0" shapeId="0" xr:uid="{3C6EA289-545C-4B1C-A30C-A694D8C9F2A1}">
      <text>
        <r>
          <rPr>
            <sz val="9"/>
            <color indexed="81"/>
            <rFont val="MS P ゴシック"/>
            <family val="3"/>
            <charset val="128"/>
          </rPr>
          <t>Insight iXlW00001C0000397R0585476093S00000792P01200LAocjBAQBF1NjaVRlZ2ljLmRhdGEuTW9sZWN1bGUBbwF/ARJTY2lUZWdpYy5Nb2xlY3VsZQAAAQFkAv5qAQAAAAIBAgEQHAAAAPz8APwAAgAAAAAAAPC/AsBbIEHx4wrAAgu1pnnHKcI/AAAAABgIAAD8/AD8AAIAAAAAAADwvwLlYaHWNO8CwALwFkhQ/BijPwAAAAAYAAAA/PwA/AACAAAAAAAA8L8CysNCrWne/b8CFD/G3LWE6r8AAAAAGAAAAPz8APwAAgAAAAAAAPC/Ah44Z0Rpb+y/AuhqK/aX3eO/AAAAABwAAAD8/AD8AAIAAAAAAADwvwIOvjCZKhjpvwIK+aBns+rXPwAAAAAYAAAA/PwA/AACAAAAAAAA8L8CutqK/WX3tD8ChXzQs1n16z8AAAAAGAAAAPz8APwAAgAAAAAAAPC/AtsbfGEyVe4/Agr5oGez6tc/AAAAABgAAAD8/AD8AAIAAAAAAADwvwIvbqMBvAX9PwKFfNCzWfXrPwAAAAAYAAAA/PwA/AACAAAAAAAA8L8COGdEaW9wBUACCvmgZ7Pq1z8AAAAAGAAAAPz8APwAAgAAAAAAAPC/AjhnRGlvcAVAAnyDL0ymCuS/AAAAABgAAAD8/AD8AAIAAAAAAADwvwIvbqMBvAX9PwK+wRcmUwXyvwAAAAAcAAAA/PwA/AACAAAAAAAA8L8C2xt8YTJV7j8CfIMvTKYK5L8AAAAAGAAAAPz8APwAAgAAAAAAAPC/ApoIG55eKfu/AmHl0CLb+eg/AAAAAAERAAAA/PwA/AACAAAAAAAA8L8Cn82qz9XWC0ACNBE2PL1Sxr8AAAAAAREAAAD8/AD8AAIAAAAAAADwvwJe3EYDeAsSQAL4wmSqYFTCvwAAAAABEQAAAPz8APwAAgAAAAAAAPC/AgdfmEwVTBZAAk0VjErqBLS/AAAAADgEAAFlBBQAAAAAAAAABAgBZQQAAAAAAAAAAAgMAWUEAAAAAAAAAAAMEAFlBAAAAAAAAAAAEBQBZQQAAAAAAAAAABQYAWUEAAAAAAAAAAAYHAFlCAwAAAAAAAAAHCABZQQAAAAAAAAAACAkAWUICAAAAAAAAAAkKAFlBAAAAAAAAAAAKCwBZQgIAAAAAAAAACwYAWUEAAAAAAAAAAAQMAFlBAAAAAAAAAAAMAQBZQQAAAAAAAAAAAAAAAA=</t>
        </r>
      </text>
    </comment>
    <comment ref="A398" authorId="0" shapeId="0" xr:uid="{17051458-04E5-421A-8BC6-1E99E3C195C7}">
      <text>
        <r>
          <rPr>
            <sz val="9"/>
            <color indexed="81"/>
            <rFont val="MS P ゴシック"/>
            <family val="3"/>
            <charset val="128"/>
          </rPr>
          <t>Insight iXlW00001C0000398R0585476093S00000794P01004LAocjBAQBF1NjaVRlZ2ljLmRhdGEuTW9sZWN1bGUBbwF/ARJTY2lUZWdpYy5Nb2xlY3VsZQAAAQFkAv5qAQAAAAIBAjQcAAAA/PwA/AACAAAAAAAA8L8CcayL22gAAkACX5hMFYxK878AAAAAGAwAAPz8APwAAgAAAAAAAPC/AintDb4wmfo/Aov9ZffkYdm/AAAAABgAAAD8/AD8AAIAAAAAAADwvwIlBoGVQ4v/PwJ24JwRpb3hPwAAAAAYAAAA/PwA/AACAAAAAAAA8L8CKe0NvjCZ8j8C9dvXgXNG8j8AAAAAHAAAAPz8APwAAgAAAAAAAPC/Ajq0yHa+n9Y/AnbgnBGlveE/AAAAABgAAAD8/AD8AAIAAAAAAADwvwIB3gIJih/jvwKNuWsJ+aDrPwAAAAAYAAAA/PwA/AACAAAAAAAA8L8CiPTb14Fz9b8CO3DOiNLeyD8AAAAAGAAAAPz8APwAAgAAAAAAAPC/Au7rwDkjSva/ApSHhVrTvOm/AAAAABgAAAD8/AD8AAIAAAAAAADwvwLgvg6cMyIDwAKq8dJNYhDovwAAAAAYAAAA/PwA/AACAAAAAAAA8L8CZRniWBe3AsAC48eYu5aQzz8AAAAAGAAAAPz8APwAAgAAAAAAAPC/AlHaG3xhMuU/Aov9ZffkYdm/AAAAAAERAAAA/PwA/AACAAAAAAAA8L8C2BLyQc9mCEACD5wzorQ3qL8AAAAAAREAAAD8/AD8AAIAAAAAAADwvwL6fmq8dFMQQAI/xty1hHyQvwAAAAAwBAABZQQQAAAAAAAAAAQIAWUEAAAAAAAAAAAIDAFlBAAAAAAAAAAADBABZQQAAAAAAAAAABAUAWUEAAAAAAAAAAAUGAFlBAAAAAAAAAAAGBwBZQQAAAAAAAAAABwgAWUEAAAAAAAAAAAgJAFlBAAAAAAAAAAAJBgBZQQAAAAAAAAAABAoAWUEAAAAAAAAAAAoBAFlBAAAAAAAAAAAAAAAAA==</t>
        </r>
      </text>
    </comment>
    <comment ref="A399" authorId="0" shapeId="0" xr:uid="{F2C9C4BB-1007-4634-B029-BC9F137232E8}">
      <text>
        <r>
          <rPr>
            <sz val="9"/>
            <color indexed="81"/>
            <rFont val="MS P ゴシック"/>
            <family val="3"/>
            <charset val="128"/>
          </rPr>
          <t>Insight iXlW00001C0000399R0585476093S00000796P01216LAocjBAQBF1NjaVRlZ2ljLmRhdGEuTW9sZWN1bGUBbwF/ARJTY2lUZWdpYy5Nb2xlY3VsZQAAAQFkAv5qAQAAAAIBAgEQHAAAAPz8APwAAgAAAAAAAPC/Ase6uI0G8ApAAvyp8dJNYoC/AAAAABgIAAD8/AD8AAIAAAAAAADwvwK06nO1FfsCQAJOYhBYObS4PwAAAAAYAAAA/PwA/AACAAAAAAAA8L8CZ9Xnaiv2/T8CzczMzMzM7j8AAAAAGAAAAPz8APwAAgAAAAAAAPC/Ajq0yHa+n+w/AqH4MeauJeg/AAAAABwAAAD8/AD8AAIAAAAAAADwvwJI4XoUrkfpPwIwuycPC7XOvwAAAAAYAAAA/PwA/AACAAAAAAAA8L8CqMZLN4lB+z8Cxv6ye/Kw5L8AAAAAGAAAAPz8APwAAgAAAAAAAPC/Atv5fmq8dLO/AszuycNCree/AAAAACAAAAD8/AD8AAIAAAAAAADwvwLb+X5qvHSzvwJm9+Rhodb7vwAAAAAYAAAA/PwA/AACAAAAAAAA8L8Cv58aL90k7r8CMLsnDwu1zr8AAAAAGAAAAPz8APwAAgAAAAAAAPC/ApJc/kP67fy/AszuycNCree/AAAAABgAAAD8/AD8AAIAAAAAAADwvwJq3nGKjmQFwAIwuycPC7XOvwAAAAAcAAAA/PwA/AACAAAAAAAA8L8Cat5xio5kBcACNBE2PL1S6D8AAAAAGAAAAPz8APwAAgAAAAAAAPC/ApJc/kP67fy/ApoIG55eKfQ/AAAAABgAAAD8/AD8AAIAAAAAAADwvwKh+DHmriXuvwI0ETY8vVLoPwAAAAABEQAAAPz8APwAAgAAAAAAAPC/ApeQD3o2qxBAAicxCKwcWtC/AAAAAAERAAAA/PwA/AACAAAAAAAA8L8CJQaBlUPLFEACEhQ/xty1zL8AAAAAPAQAAWUEFAAAAAAAAAAECAFlBAAAAAAAAAAACAwBZQQAAAAAAAAAAAwQAWUEAAAAAAAAAAAQFAFlBAAAAAAAAAAAFAQBZQQAAAAAAAAAABAYAWUEAAAAAAAAAAAYHAFlCAAAAAAAAAAAGCABZQQAAAAAAAAAACAkAWUIDAAAAAAAAAAkKAFlBAAAAAAAAAAAKCwBZQgIAAAAAAAAACwwAWUEAAAAAAAAAAAwNAFlCAgAAAAAAAAANCABZQQAAAAAAAAAAAAAAAA=</t>
        </r>
      </text>
    </comment>
    <comment ref="A400" authorId="0" shapeId="0" xr:uid="{3C16420F-5422-411A-8F03-98E2D72AD82B}">
      <text>
        <r>
          <rPr>
            <sz val="9"/>
            <color indexed="81"/>
            <rFont val="MS P ゴシック"/>
            <family val="3"/>
            <charset val="128"/>
          </rPr>
          <t>Insight iXlW00001C0000400R0585476093S00000798P00932LAocjBAQBF1NjaVRlZ2ljLmRhdGEuTW9sZWN1bGUBbwF/ARJTY2lUZWdpYy5Nb2xlY3VsZQAAAQFkAv5qAQAAAAIBAjAYAAAA/PwA/AACAAAAAAAA8L8CrYvbaADvB0AC+aBns+pz0b8AAAAAHAAAAPz8APwAAgAAAAAAAPC/AozbaABvAQFAAn3Qs1n1uei/AAAAABgAAAD8/AD8AAIAAAAAAADwvwLWVuwvuyf0PwL5oGez6nPRvwAAAAAgAAAA/PwA/AACAAAAAAAA8L8C1lbsL7sn9D8ChC9MpgpG5z8AAAAAHAAAAPz8APwAAgAAAAAAAPC/Ao0o7Q2+MNk/An3Qs1n1uei/AAAAABgMAAD8/AD8AAIAAAAAAADwvwJ6WKg1zTvevwL5oGez6nPRvwAAAAAYAAAA/PwA/AACAAAAAAAA8L8CelioNc073r8ChC9MpgpG5z8AAAAAGAAAAPz8APwAAgAAAAAAAPC/AmB2Tx4WavW/AlFrmnecovM/AAAAABgAAAD8/AD8AAIAAAAAAADwvwJRa5p3nKIBwAKi1jTvOEXnPwAAAAAcAAAA/PwA/AACAAAAAAAA8L8CUWuad5yiAcAC+aBns+pz0b8AAAAAGAAAAPz8APwAAgAAAAAAAPC/AmB2Tx4WavW/An3Qs1n1uei/AAAAAAERAAAA/PwA/AACAAAAAAAA8L8CE/JBz2ZVDkAChlrTvOMUzT8AAAAALAAEAWUEAAAAAAAAAAAECAFlBAAAAAAAAAAACAwBZQgAAAAAAAAAAAgQAWUEAAAAAAAAAAAUEAFlBBAAAAAAAAAAFBgBZQQAAAAAAAAAABgcAWUEAAAAAAAAAAAcIAFlBAAAAAAAAAAAICQBZQQAAAAAAAAAACQoAWUEAAAAAAAAAAAoFAFlBAAAAAAAAAAAAAAAAA==</t>
        </r>
      </text>
    </comment>
    <comment ref="A401" authorId="0" shapeId="0" xr:uid="{03157494-D79F-4D0A-B5E9-4E3207F8EBB8}">
      <text>
        <r>
          <rPr>
            <sz val="9"/>
            <color indexed="81"/>
            <rFont val="MS P ゴシック"/>
            <family val="3"/>
            <charset val="128"/>
          </rPr>
          <t>Insight iXlW00001C0000401R0585476093S00000800P01232LAocjBAQBF1NjaVRlZ2ljLmRhdGEuTW9sZWN1bGUBbwF/ARJTY2lUZWdpYy5Nb2xlY3VsZQAAAQFkAv5qAQAAAAIBAgEQIAAAAPz8APwAAgAAAAAAAPC/AgYSFD/G3M2/Ava52or9ZfM/AAAAABgAAAD8/AD8AAIAAAAAAADwvwL99nXgnBHRPwLQZtXnaivWPwAAAAAcAAAA/PwA/AACAAAAAAAA8L8CBhIUP8bczb8CHA3gLZCg4L8AAAAAGAwAAPz8APwAAgAAAAAAAPC/AkGC4seYu/O/AhwN4C2QoOC/AAAAABgAAAD8/AD8AAIAAAAAAADwvwJBguLHmLv7vwLQZtXnaivWPwAAAAAYAAAA/PwA/AACAAAAAAAA8L8CIUHxY8zdBcAC0GbV52or1j8AAAAAGAAAAPz8APwAAgAAAAAAAPC/AiFB8WPM3QnAAhwN4C2QoOC/AAAAABwAAAD8/AD8AAIAAAAAAADwvwIhQfFjzN0FwALQZtXnaiv2vwAAAAAYAAAA/PwA/AACAAAAAAAA8L8CQYLix5i7+78C0GbV52or9r8AAAAAHAAAAPz8APwAAgAAAAAAAPC/AsB9HThnRPQ/AtBm1edqK9Y/AAAAABgAAAD8/AD8AAIAAAAAAADwvwLAfR04Z0T8PwL2udqK/WXzPwAAAAAYAAAA/PwA/AACAAAAAAAA8L8C4L4OnDMiBkAC9rnaiv1l8z8AAAAAIAAAAPz8APwAAgAAAAAAAPC/AuC+DpwzIgpAAtBm1edqK9Y/AAAAABgAAAD8/AD8AAIAAAAAAADwvwLgvg6cMyIGQAIcDeAtkKDgvwAAAAAYAAAA/PwA/AACAAAAAAAA8L8CwH0dOGdE/D8CHA3gLZCg4L8AAAAAAREAAAD8/AD8AAIAAAAAAADwvwKjkjoBTUQQQALQZtXnaiu2vwAAAAABEAAEAWUIAAAAAAAAAAAECAFlBAAAAAAAAAAADAgBZQQQAAAAAAAAAAwQAWUEAAAAAAAAAAAQFAFlBAAAAAAAAAAAFBgBZQQAAAAAAAAAABgcAWUEAAAAAAAAAAAcIAFlBAAAAAAAAAAAIAwBZQQAAAAAAAAAAAQkAWUEAAAAAAAAAAAkKAFlBAAAAAAAAAAAKCwBZQQAAAAAAAAAACwwAWUEAAAAAAAAAAAwNAFlBAAAAAAAAAAANDgBZQQAAAAAAAAAADgkAWUEAAAAAAAAAAAAAAAA</t>
        </r>
      </text>
    </comment>
    <comment ref="A402" authorId="0" shapeId="0" xr:uid="{B11A9A5A-D72C-4863-B09E-C02BC78D1E0B}">
      <text>
        <r>
          <rPr>
            <sz val="9"/>
            <color indexed="81"/>
            <rFont val="MS P ゴシック"/>
            <family val="3"/>
            <charset val="128"/>
          </rPr>
          <t>Insight iXlW00001C0000402R0585476093S00000802P01128LAocjBAQBF1NjaVRlZ2ljLmRhdGEuTW9sZWN1bGUBbwF/ARJTY2lUZWdpYy5Nb2xlY3VsZQAAAQFkAv5qAQAAAAIBAjwYAAAA/PwA/AACAAAAAAAA8L8CSHL5D+m3A0ACbVZ9rrZi5z8AAAAAHAAAAPz8APwAAgAAAAAAAPC/Akhy+Q/ptwNAAiZTBaOSOtG/AAAAABgAAAD8/AD8AAIAAAAAAADwvwKh+DHmrqUKQAKTqYJRSZ3ovwAAAAAYAAAA/PwA/AACAAAAAAAA8L8CTYQNT6+U+T8Ck6mCUUmd6L8AAAAAGAAAAPz8APwAAgAAAAAAAPC/AhdIUPwYc+c/AiZTBaOSOtG/AAAAACAAAAD8/AD8AAIAAAAAAADwvwIXSFD8GHPnPwJtVn2utmLnPwAAAAAcAAAA/PwA/AACAAAAAAAA8L8CseHplbIMwb8Ck6mCUUmd6L8AAAAAGAgAAPz8APwAAgAAAAAAAPC/AtKRXP5D+u+/AiZTBaOSOtG/AAAAABgAAAD8/AD8AAIAAAAAAADwvwLSkVz+Q/rvvwJtVn2utmLnPwAAAAAYAAAA/PwA/AACAAAAAAAA8L8CK6kT0ETY/b8Cxv6ye/Kw8z8AAAAAGAAAAPz8APwAAgAAAAAAAPC/AraEfNCz2QXAAov9ZffkYec/AAAAABwAAAD8/AD8AAIAAAAAAADwvwK2hHzQs9kFwAImUwWjkjrRvwAAAAAYAAAA/PwA/AACAAAAAAAA8L8CK6kT0ETY/b8Ck6mCUUmd6L8AAAAAAREAAAD8/AD8AAIAAAAAAADwvwKEL0ymCoYQQAIOT6+UZYjLPwAAAAABEQAAAPz8APwAAgAAAAAAAPC/AhKlvcEXphRAAkqdgCbChs8/AAAAADQABAFlBAAAAAAAAAAABAgBZQQAAAAAAAAAAAQMAWUEAAAAAAAAAAAMEAFlBAAAAAAAAAAAEBQBZQgAAAAAAAAAABAYAWUEAAAAAAAAAAAcGAFlBBQAAAAAAAAAHCABZQQAAAAAAAAAACAkAWUEAAAAAAAAAAAkKAFlBAAAAAAAAAAAKCwBZQQAAAAAAAAAACwwAWUEAAAAAAAAAAAwHAFlBAAAAAAAAAAAAAAAAA==</t>
        </r>
      </text>
    </comment>
    <comment ref="A403" authorId="0" shapeId="0" xr:uid="{F8EF2FC7-CAA8-447B-848A-A539B15993D1}">
      <text>
        <r>
          <rPr>
            <sz val="9"/>
            <color indexed="81"/>
            <rFont val="MS P ゴシック"/>
            <family val="3"/>
            <charset val="128"/>
          </rPr>
          <t>Insight iXlW00001C0000403R0585476093S00000804P01232LAocjBAQBF1NjaVRlZ2ljLmRhdGEuTW9sZWN1bGUBbwF/ARJTY2lUZWdpYy5Nb2xlY3VsZQAAAQFkAv5qAQAAAAIBAgEQIAAAAPz8APwAAgAAAAAAAPC/AgYSFD/G3M2/Ava52or9ZfM/AAAAABgAAAD8/AD8AAIAAAAAAADwvwL99nXgnBHRPwLQZtXnaivWPwAAAAAcAAAA/PwA/AACAAAAAAAA8L8CBhIUP8bczb8CHA3gLZCg4L8AAAAAGAgAAPz8APwAAgAAAAAAAPC/AkGC4seYu/O/AhwN4C2QoOC/AAAAABgAAAD8/AD8AAIAAAAAAADwvwJBguLHmLv7vwLQZtXnaivWPwAAAAAYAAAA/PwA/AACAAAAAAAA8L8CIUHxY8zdBcAC0GbV52or1j8AAAAAGAAAAPz8APwAAgAAAAAAAPC/AiFB8WPM3QnAAhwN4C2QoOC/AAAAABwAAAD8/AD8AAIAAAAAAADwvwIhQfFjzN0FwALQZtXnaiv2vwAAAAAYAAAA/PwA/AACAAAAAAAA8L8CQYLix5i7+78C0GbV52or9r8AAAAAGAAAAPz8APwAAgAAAAAAAPC/AsB9HThnRPQ/AtBm1edqK9Y/AAAAABgAAAD8/AD8AAIAAAAAAADwvwLAfR04Z0T8PwL2udqK/WXzPwAAAAAYAAAA/PwA/AACAAAAAAAA8L8C4L4OnDMiBkAC9rnaiv1l8z8AAAAAIAAAAPz8APwAAgAAAAAAAPC/AuC+DpwzIgpAAtBm1edqK9Y/AAAAABgAAAD8/AD8AAIAAAAAAADwvwLgvg6cMyIGQAIcDeAtkKDgvwAAAAAYAAAA/PwA/AACAAAAAAAA8L8CwH0dOGdE/D8CHA3gLZCg4L8AAAAAAREAAAD8/AD8AAIAAAAAAADwvwKjkjoBTUQQQALQZtXnaiu2vwAAAAABEAAEAWUIAAAAAAAAAAAECAFlBAAAAAAAAAAADAgBZQQUAAAAAAAAAAwQAWUEAAAAAAAAAAAQFAFlBAAAAAAAAAAAFBgBZQQAAAAAAAAAABgcAWUEAAAAAAAAAAAcIAFlBAAAAAAAAAAAIAwBZQQAAAAAAAAAAAQkAWUEAAAAAAAAAAAkKAFlBAAAAAAAAAAAKCwBZQQAAAAAAAAAACwwAWUEAAAAAAAAAAAwNAFlBAAAAAAAAAAANDgBZQQAAAAAAAAAADgkAWUEAAAAAAAAAAAAAAAA</t>
        </r>
      </text>
    </comment>
    <comment ref="A404" authorId="0" shapeId="0" xr:uid="{F7560FCE-8A8B-4BFD-9BEF-2FA25D3C92B3}">
      <text>
        <r>
          <rPr>
            <sz val="9"/>
            <color indexed="81"/>
            <rFont val="MS P ゴシック"/>
            <family val="3"/>
            <charset val="128"/>
          </rPr>
          <t>Insight iXlW00001C0000404R0585476093S00000806P00932LAocjBAQBF1NjaVRlZ2ljLmRhdGEuTW9sZWN1bGUBbwF/ARJTY2lUZWdpYy5Nb2xlY3VsZQAAAQFkAv5qAQAAAAIBAjAYAAAA/PwA/AACAAAAAAAA8L8C1CtlGeJY7T8CB/AWSFD84j8AAAAAARAAAAD8/AD8AAIAAAAAAADwvwLqlbIMcaz2PwL5oGez6nPRvwAAAAAgAAAA/PwA/AACAAAAAAAA8L8CTtGRXP5DAkACDr4wmSoYzT8AAAAAIAAAAPz8APwAAgAAAAAAAPC/AuqVsgxxrP4/AoBIv30dOPK/AAAAABwAAAD8/AD8AAIAAAAAAADwvwJRa5p3nKLhPwJ90LNZ9bnovwAAAAAYCAAA/PwA/AACAAAAAAAA8L8CZapgVFIn1L8C+aBns+pz0b8AAAAAGAAAAPz8APwAAgAAAAAAAPC/AmWqYFRSJ9S/AoQvTKYKRuc/AAAAABgAAAD8/AD8AAIAAAAAAADwvwLbiv1l9+TyvwJRa5p3nKLzPwAAAAAYAAAA/PwA/AACAAAAAAAA8L8Cx0s3iUFgAMACotY07zhF5z8AAAAAHAAAAPz8APwAAgAAAAAAAPC/AsdLN4lBYADAAvmgZ7Pqc9G/AAAAABgAAAD8/AD8AAIAAAAAAADwvwLbiv1l9+TyvwJ90LNZ9bnovwAAAAABEQAAAPz8APwAAgAAAAAAAPC/ArU3+MJkqghAAv5l9+RhoaY/AAAAACwABAFlBAAAAAAAAAAABAgBZQgAAAAAAAAAAAQMAWUIAAAAAAAAAAAEEAFlBAAAAAAAAAAAFBABZQQUAAAAAAAAABQYAWUEAAAAAAAAAAAYHAFlBAAAAAAAAAAAHCABZQQAAAAAAAAAACAkAWUEAAAAAAAAAAAkKAFlBAAAAAAAAAAAKBQBZQQAAAAAAAAAAAAAAAA=</t>
        </r>
      </text>
    </comment>
    <comment ref="A405" authorId="0" shapeId="0" xr:uid="{711E65DB-8C60-45D3-BBFC-F3159D1B6BBF}">
      <text>
        <r>
          <rPr>
            <sz val="9"/>
            <color indexed="81"/>
            <rFont val="MS P ゴシック"/>
            <family val="3"/>
            <charset val="128"/>
          </rPr>
          <t>Insight iXlW00001C0000405R0585476093S00000808P01072LAocjBAQBF1NjaVRlZ2ljLmRhdGEuTW9sZWN1bGUBbwF/ARJTY2lUZWdpYy5Nb2xlY3VsZQAAAQFkAv5qAQAAAAIBAjgYAAAA/PwA/AACAAAAAAAA8L8CK6kT0ETY/T8CL/8h/fZ18j8AAAAAGAAAAPz8APwAAgAAAAAAAPC/AiupE9BE2P0/AnP5D+m3r8M/AAAAABgAAAD8/AD8AAIAAAAAAADwvwK2hHzQs9kFQAJHA3gLJCjWvwAAAAABEAAAAPz8APwAAgAAAAAAAPC/AtKRXP5D+u8/AoNRSZ2AJta/AAAAACAAAAD8/AD8AAIAAAAAAADwvwKjI7n8h/TfPwLCFyZTBaPgPwAAAAAgAAAA/PwA/AACAAAAAAAA8L8CeJyiI7n89z8CFGHD0ytl878AAAAAHAAAAPz8APwAAgAAAAAAAPC/ArHh6ZWyDME/AsKopE5AE+u/AAAAABgIAAD8/AD8AAIAAAAAAADwvwIXSFD8GHPnvwKDUUmdgCbWvwAAAAAYAAAA/PwA/AACAAAAAAAA8L8CF0hQ/Bhz578CXf5D+u3r5D8AAAAAGAAAAPz8APwAAgAAAAAAAPC/Ak2EDU+vlPm/Ai//If32dfI/AAAAABgAAAD8/AD8AAIAAAAAAADwvwJIcvkP6bcDwAJd/kP67evkPwAAAAAcAAAA/PwA/AACAAAAAAAA8L8CSHL5D+m3A8ACRwN4CyQo1r8AAAAAGAAAAPz8APwAAgAAAAAAAPC/Ak2EDU+vlPm/AsKopE5AE+u/AAAAAAERAAAA/PwA/AACAAAAAAAA8L8CHeviNhpADEACnzws1Jrmnb8AAAAANAAEAWUEAAAAAAAAAAAECAFlBAAAAAAAAAAABAwBZQQAAAAAAAAAAAwQAWUIAAAAAAAAAAAMFAFlCAAAAAAAAAAADBgBZQQAAAAAAAAAABwYAWUEFAAAAAAAAAAcIAFlBAAAAAAAAAAAICQBZQQAAAAAAAAAACQoAWUEAAAAAAAAAAAoLAFlBAAAAAAAAAAALDABZQQAAAAAAAAAADAcAWUEAAAAAAAAAAAAAAAA</t>
        </r>
      </text>
    </comment>
    <comment ref="A406" authorId="0" shapeId="0" xr:uid="{40964F6C-728A-4FB2-80FE-A4EA2A0CB19F}">
      <text>
        <r>
          <rPr>
            <sz val="9"/>
            <color indexed="81"/>
            <rFont val="MS P ゴシック"/>
            <family val="3"/>
            <charset val="128"/>
          </rPr>
          <t>Insight iXlW00001C0000406R0585476093S00000810P01304LAocjBAQBF1NjaVRlZ2ljLmRhdGEuTW9sZWN1bGUBbwF/ARJTY2lUZWdpYy5Nb2xlY3VsZQAAAQFkAv5qAQAAAAIBAgERGAAAAPz8APwAAgAAAAAAAPC/AvLSTWIQWO2/AiZ1ApoIG64/AAAAABwAAAD8/AD8AAIAAAAAAADwvwLImLuWkA+qvwJcsb/snjzcvwAAAAAgAAAA/PwA/AACAAAAAAAA8L8Cu0kMAiuH/L8CXLG/7J483L8AAAAAGAAAAPz8APwAAgAAAAAAAPC/AvcGX5hMFeo/AiZ1ApoIG64/AAAAACAAAAD8/AD8AAIAAAAAAADwvwLy0k1iEFjtvwKpE9BE2PDwPwAAAAAcAAAA/PwA/AACAAAAAAAA8L8C/yH99nVgBEACJnUCmggbrj8AAAAAGAAAAPz8APwAAgAAAAAAAPC/Av7UeOkmMQXAAiZ1ApoIG64/AAAAABgMAAD8/AD8AAIAAAAAAADwvwK94xQdyeX6PwJcsb/snjzcvwAAAAAYAAAA/PwA/AACAAAAAAAA8L8CyJi7lpAPqr8CV+wvuycP978AAAAAGAAAAPz8APwAAgAAAAAAAPC/Av8h/fZ1YARAAqkT0ETY8PA/AAAAABgAAAD8/AD8AAIAAAAAAADwvwL3Bl+YTBXqPwJX7C+7Jw//vwAAAAAYAAAA/PwA/AACAAAAAAAA8L8CveMUHcnl+j8CV+wvuycP978AAAAAGAAAAPz8APwAAgAAAAAAAPC/Av7UeOkmMQnAAjGZKhiV1Om/AAAAABgAAAD8/AD8AAIAAAAAAADwvwIfhetRuB4MwAJTJ6CJsOHhPwAAAAAYAAAA/PwA/AACAAAAAAAA8L8C/tR46SYxAcACuECC4seY7T8AAAAAGAAAAPz8APwAAgAAAAAAAPC/Ar3jFB3J5fo/AqoT0ETY8Pg/AAAAABgAAAD8/AD8AAIAAAAAAADwvwIg0m9fB04LQAKqE9BE2PD4PwAAAAABEQQAAWUEAAAAAAAAAAAIAAFlBAAAAAAAAAAADAQBZQQAAAAAAAAAABAAAWUIAAAAAAAAAAAcFAFlBBAAAAAAAAAAGAgBZQQAAAAAAAAAABwMAWUEAAAAAAAAAAAgBAFlBAAAAAAAAAAAJBQBZQQAAAAAAAAAACggAWUEAAAAAAAAAAAsKAFlBAAAAAAAAAAAMBgBZQQAAAAAAAAAADQYAWUEAAAAAAAAAAA4GAFlBAAAAAAAAAAAPCQBZQQAAAAAAAAAAAEQJAFlBAAAAAAAAAAAHCwBZQQAAAAAAAAAAAAAAAA=</t>
        </r>
      </text>
    </comment>
    <comment ref="A407" authorId="0" shapeId="0" xr:uid="{D8B57889-CA96-4634-A06F-D9FC9E809863}">
      <text>
        <r>
          <rPr>
            <sz val="9"/>
            <color indexed="81"/>
            <rFont val="MS P ゴシック"/>
            <family val="3"/>
            <charset val="128"/>
          </rPr>
          <t>Insight iXlW00001C0000407R0585476093S00000812P00932LAocjBAQBF1NjaVRlZ2ljLmRhdGEuTW9sZWN1bGUBbwF/ARJTY2lUZWdpYy5Nb2xlY3VsZQAAAQFkAv5qAQAAAAIAAjAYAAAA/PwA/AACAAAAAAAA8L8Cak3zjlN08T8C9ihcj8L16j8AAAAAGAAAAPz8APwAAgAAAAAAAPC/AmpN845TdPE/Ailcj8L1KMS/AAAAABgAAAD8/AD8AAIAAAAAAADwvwK1pnnHKboAQAIpXI/C9SjEvwAAAAAcAAAA/PwA/AACAAAAAAAA8L8Cak3zjlN08T8ChetRuB6F8r8AAAAAGAAAAPz8APwAAgAAAAAAAPC/AqLWNO84Rbc/Ailcj8L1KMS/AAAAABgAAAD8/AD8AAIAAAAAAADwvwJYyjLEsS7avwLHSzeJQWDwvwAAAAAYAAAA/PwA/AACAAAAAAAA8L8ClrIMcayL9r8Cx0s3iUFg8L8AAAAAGAAAAPz8APwAAgAAAAAAAPC/ApayDHGsi/6/Ailcj8L1KMS/AAAAABgAAAD8/AD8AAIAAAAAAADwvwKWsgxxrIv2vwJ56SYxCKzmPwAAAAAYAAAA/PwA/AACAAAAAAAA8L8CWMoyxLEu2r8CeekmMQis5j8AAAAAJAAAAPz8APwAAgAAAAAAAPC/AqLWNO84Rbc/Am+BBMWPMfk/AAAAAAERAAAA/PwA/AACAAAAAAAA8L8CHA3gLZAgB0AC5KWbxCCwyj8AAAAALAAEAWUEAAAAAAAAAAAECAFlBAAAAAAAAAAABAwBZQQAAAAAAAAAAAQQAWUEAAAAAAAAAAAQFAFlCAwAAAAAAAAAFBgBZQQAAAAAAAAAABgcAWUICAAAAAAAAAAcIAFlBAAAAAAAAAAAICQBZQgIAAAAAAAAACQQAWUEAAAAAAAAAAAkKAFlBAAAAAAAAAAAAAAAAA==</t>
        </r>
      </text>
    </comment>
    <comment ref="A408" authorId="0" shapeId="0" xr:uid="{E2695AC4-CBCF-48E1-955B-B9CB48E4522C}">
      <text>
        <r>
          <rPr>
            <sz val="9"/>
            <color indexed="81"/>
            <rFont val="MS P ゴシック"/>
            <family val="3"/>
            <charset val="128"/>
          </rPr>
          <t>Insight iXlW00001C0000408R0585476093S00000814P00832LAocjBAQBF1NjaVRlZ2ljLmRhdGEuTW9sZWN1bGUBbwF/ARJTY2lUZWdpYy5Nb2xlY3VsZQAAAQFkAv5qAQAAAAIAAiwYAAAA/PwA/AACAAAAAAAA8L8CZapgVFIn1D8AAAAAABgAAAD8/AD8AAIAAAAAAADwvwLbiv1l9+TyPwIAAAAAAADgvwAAAAAYAAAA/PwA/AACAAAAAAAA8L8CUWuad5yi4b8CAAAAAAAA4L8AAAAAHAAAAPz8APwAAgAAAAAAAPC/ArYV+8vuyeU/AkJg5dAi2/W/AAAAABgAAAD8/AD8AAIAAAAAAADwvwLqlbIMcaz2vwAAAAAAJAAAAPz8APwAAgAAAAAAAPC/Ahb7y+7JQwLAAgAAAAAAAOC/AAAAABgAAAD8/AD8AAIAAAAAAADwvwJlqmBUUifUPwEAAAAAGAAAAPz8APwAAgAAAAAAAPC/AlFrmnecouG/AgAAAAAAAPg/AAAAABgAAAD8/AD8AAIAAAAAAADwvwLbiv1l9+T6PwIGgZVDi2zXPwAAAAAYAAAA/PwA/AACAAAAAAAA8L8Cx0s3iUFgAEACAAAAAAAA8L8AAAAAGAAAAPz8APwAAgAAAAAAAPC/AuqVsgxxrPa/AQAAAAAsBAABZQQAAAAAAAAAAAgAAWUEAAAAAAAAAAAMBAFlBAAAAAAAAAAAEAgBZQgMAAAAAAAAABQQAWUEAAAAAAAAAAAYAAFlCAwAAAAAAAAAHBgBZQQAAAAAAAAAACAEAWUEAAAAAAAAAAAkBAFlBAAAAAAAAAAAKBwBZQgIAAAAAAAAACgQAWUEAAAAAAAAAAAAAAAA</t>
        </r>
      </text>
    </comment>
    <comment ref="A409" authorId="0" shapeId="0" xr:uid="{C6785A93-965B-462B-A29A-01DE30C2CB94}">
      <text>
        <r>
          <rPr>
            <sz val="9"/>
            <color indexed="81"/>
            <rFont val="MS P ゴシック"/>
            <family val="3"/>
            <charset val="128"/>
          </rPr>
          <t>Insight iXlW00001C0000409R0585476093S00000816P01396LAocjBAQBF1NjaVRlZ2ljLmRhdGEuTW9sZWN1bGUBbwF/ARJTY2lUZWdpYy5Nb2xlY3VsZQAAAQFkAv5qAQAAAAIAAgESGAAAAPz8APwAAgAAAAAAAPC/Ap2iI7n8h+K/AoXrUbgehee/AAAAABgAAAD8/AD8AAIAAAAAAADwvwItsp3vp8bwPwLGbTSAt0DCvwAAAAAcAAAA/PwA/AACAAAAAAAA8L8CylTBqKROsD8CnFWfq63Ynz8AAAAAGAAAAPz8APwAAgAAAAAAAPC/AgHeAgmKH/e/AhWuR+F6FM6/AAAAABgAAAD8/AD8AAIAAAAAAADwvwIoDwu1pnntvwIJG55eKcv6vwAAAAAYAAAA/PwA/AACAAAAAAAA8L8CuY0G8BZIsD8Ca7x0kxgE+L8AAAAAIAAAAPz8APwAAgAAAAAAAPC/AsiYu5aQD/s/AsHKoUW28+M/AAAAABgAAAD8/AD8AAIAAAAAAADwvwIB3gIJih/3vwJ7FK5H4XroPwAAAAAgAAAA/PwA/AACAAAAAAAA8L8Cc2iR7Xw/9j8CcF8HzhlR8b8AAAAAGAAAAPz8APwAAgAAAAAAAPC/AtSa5h2naAVAAkVpb/CFydw/AAAAACQAAAD8/AD8AAIAAAAAAADwvwJ/+zpwzojivwI+CtejcD30PwAAAAAYAAAA/PwA/AACAAAAAAAA8L8CIR/0bFZ9AsACo5I6AU2E578AAAAAGAAAAPz8APwAAgAAAAAAAPC/AiEf9GxWfQLAAj4K16NwPfQ/AAAAABgAAAD8/AD8AAIAAAAAAADwvwIkSnuDL8wGQAIydy0hH/T2PwAAAAAYAAAA/PwA/AACAAAAAAAA8L8CRWlv8IVJDUACzO7Jw0Kt0T8AAAAAGAAAAPz8APwAAgAAAAAAAPC/Ak0VjErqBARAAh+F61G4HuG/AAAAABgAAAD8/AD8AAIAAAAAAADwvwJCz2bV52oJwAKMSuoENBHOvwAAAAAYAAAA/PwA/AACAAAAAAAA8L8CQs9m1edqCcACexSuR+F66D8AAAAAARMECAFlBAAAAAAAAAAACAABZQQAAAAAAAAAAAwAAWUEAAAAAAAAAAAQAAFlBAAAAAAAAAAAFAABZQQAAAAAAAAAABgEAWUEAAAAAAAAAAAcDAFlBAAAAAAAAAAAIAQBZQgAAAAAAAAAACQYAWUEAAAAAAAAAAAoHAFlBAAAAAAAAAAALAwBZQgMAAAAAAAAADAcAWUICAAAAAAAAAA0JAFlBAAAAAAAAAAAOCQBZQQAAAAAAAAAADwkAWUEAAAAAAAAAAABECwBZQQAAAAAAAAAAAERARABZQgIAAAAAAAAABAUAWUEAAAAAAAAAAABETABZQQAAAAAAAAAAAAAAAA=</t>
        </r>
      </text>
    </comment>
    <comment ref="A410" authorId="0" shapeId="0" xr:uid="{1D927E3E-7867-43C5-8528-18815262B5B2}">
      <text>
        <r>
          <rPr>
            <sz val="9"/>
            <color indexed="81"/>
            <rFont val="MS P ゴシック"/>
            <family val="3"/>
            <charset val="128"/>
          </rPr>
          <t>Insight iXlW00001C0000410R0585476093S00000818P00948LAocjBAQBF1NjaVRlZ2ljLmRhdGEuTW9sZWN1bGUBbwF/ARJTY2lUZWdpYy5Nb2xlY3VsZQAAAQFkAv5qAQAAAAIAAjAcAAAA/PwA/AACAAAAAAAA8L8COIlBYOXQ8z8CZF3cRgN46z8AAAAAGAAAAPz8APwAAgAAAAAAAPC/Aih+jLlrCfE/AnZxGw3gLcC/AAAAABgAAAD8/AD8AAIAAAAAAADwvwI4iUFg5dDzPwIPC7WmecfxvwAAAAAYAAAA/PwA/AACAAAAAAAA8L8C8KfGSzcJAEAC0pFc/kP63b8AAAAAGAAAAPz8APwAAgAAAAAAAPC/AoLix5i7lrA/AnZxGw3gLcC/AAAAABgAAAD8/AD8AAIAAAAAAADwvwJgB84ZUdrbvwLhnBGlvcHvvwAAAAAYAAAA/PwA/AACAAAAAAAA8L8C2IFzRpT29r8C4ZwRpb3B778AAAAAGAAAAPz8APwAAgAAAAAAAPC/AtiBc0aU9v6/AnZxGw3gLcC/AAAAABgAAAD8/AD8AAIAAAAAAADwvwLYgXNGlPb2vwIm5IOezarnPwAAAAAYAAAA/PwA/AACAAAAAAAA8L8CYAfOGVHa278CJuSDns2q5z8AAAAAJAAAAPz8APwAAgAAAAAAAPC/AoLix5i7lrA/Asb+snvysPk/AAAAAAERAAAA/PwA/AACAAAAAAAA8L8CVg4tsp1vBkACnoAmwoanzz8AAAAAMAAEAWUEAAAAAAAAAAAECAFlBAAAAAAAAAAACAwBZQQAAAAAAAAAAAwEAWUEAAAAAAAAAAAEEAFlBAAAAAAAAAAAEBQBZQgMAAAAAAAAABQYAWUEAAAAAAAAAAAYHAFlCAgAAAAAAAAAHCABZQQAAAAAAAAAACAkAWUICAAAAAAAAAAkEAFlBAAAAAAAAAAAJCgBZQQAAAAAAAAAAAAAAAA=</t>
        </r>
      </text>
    </comment>
    <comment ref="A411" authorId="0" shapeId="0" xr:uid="{BBCE8D6B-7BC6-4448-A084-3D71B381E2DC}">
      <text>
        <r>
          <rPr>
            <sz val="9"/>
            <color indexed="81"/>
            <rFont val="MS P ゴシック"/>
            <family val="3"/>
            <charset val="128"/>
          </rPr>
          <t>Insight iXlW00001C0000411R0585476093S00000820P00948LAocjBAQBF1NjaVRlZ2ljLmRhdGEuTW9sZWN1bGUBbwF/ARJTY2lUZWdpYy5Nb2xlY3VsZQAAAQFkAv5qAQAAAAIAAjAcAAAA/PwA/AACAAAAAAAA8L8CjErqBDQR/T8CL90kBoGV0z8AAAAAGAAAAPz8APwAAgAAAAAAAPC/AvJjzF1LyPI/AnE9CtejcN2/AAAAABgAAAD8/AD8AAIAAAAAAADwvwJYW7G/7J7qPwIUYcPTK2X2vwAAAAAYAAAA/PwA/AACAAAAAAAA8L8CjErqBDQR/T8CdQKaCBue878AAAAAGAAAAPz8APwAAgAAAAAAAPC/AvtcbcX+stM/AnsUrkfheqQ/AAAAABgAAAD8/AD8AAIAAAAAAADwvwL7XG3F/rLTPwKkcD0K16PwPwAAAAAYAAAA/PwA/AACAAAAAAAA8L8CBhIUP8bc4b8CpHA9Ctej+D8AAAAAGAAAAPz8APwAAgAAAAAAAPC/AkVpb/CFyfa/AqRwPQrXo/A/AAAAABgAAAD8/AD8AAIAAAAAAADwvwJFaW/whcn2vwJ7FK5H4XqkPwAAAAAkAAAA/PwA/AACAAAAAAAA8L8Cw2SqYFRSAsACcT0K16Nw3b8AAAAAGAAAAPz8APwAAgAAAAAAAPC/AgYSFD/G3OG/AnE9CtejcN2/AAAAAAERAAAA/PwA/AACAAAAAAAA8L8CrYvbaADvBEAC/Rhz1xLysT8AAAAAMAAEAWUEAAAAAAAAAAAECAFlBAAAAAAAAAAACAwBZQQAAAAAAAAAAAwEAWUEAAAAAAAAAAAEEAFlBAAAAAAAAAAAEBQBZQgMAAAAAAAAABQYAWUEAAAAAAAAAAAYHAFlCAgAAAAAAAAAHCABZQQAAAAAAAAAACAkAWUEAAAAAAAAAAAgKAFlCAgAAAAAAAAAKBABZQQAAAAAAAAAAAAAAAA=</t>
        </r>
      </text>
    </comment>
    <comment ref="A412" authorId="0" shapeId="0" xr:uid="{438E66D5-5AEB-41B8-974A-3F7CCC720740}">
      <text>
        <r>
          <rPr>
            <sz val="9"/>
            <color indexed="81"/>
            <rFont val="MS P ゴシック"/>
            <family val="3"/>
            <charset val="128"/>
          </rPr>
          <t>Insight iXlW00001C0000412R0585476093S00000822P01392LAocjBAQBF1NjaVRlZ2ljLmRhdGEuTW9sZWN1bGUBbwF/ARJTY2lUZWdpYy5Nb2xlY3VsZQAAAQFkAv5qAQAAAAIAAgESGAAAAPz8APwAAgAAAAAAAPC/Aqw+V1uxv9i/AqOSOgFNhOe/AAAAABgAAAD8/AD8AAIAAAAAAADwvwLRs1n1udrzPwLGbTSAt0DCvwAAAAAcAAAA/PwA/AACAAAAAAAA8L8CwFsgQfFj0D8CnFWfq63Ynz8AAAAAGAAAAPz8APwAAgAAAAAAAPC/AuELk6mCUee/Agkbnl4py/q/AAAAABgAAAD8/AD8AAIAAAAAAADwvwLAWyBB8WPQPwJrvHSTGAT4vwAAAAAYAAAA/PwA/AACAAAAAAAA8L8C7S+7Jw8L9L8CjErqBDQRzr8AAAAAIAAAAPz8APwAAgAAAAAAAPC/Amyad5yiI/4/AsHKoUW28+M/AAAAACAAAAD8/AD8AAIAAAAAAADwvwIWak3zjlP5PwJwXwfOGVHxvwAAAAAYAAAA/PwA/AACAAAAAAAA8L8CppvEILDyBkACRWlv8IXJ3D8AAAAAGAAAAPz8APwAAgAAAAAAAPC/Au0vuycPC/S/AnsUrkfheug/AAAAABgAAAD8/AD8AAIAAAAAAADwvwIXSFD8GPMAwAKjkjoBTYTnvwAAAAAYAAAA/PwA/AACAAAAAAAA8L8COPjCZKrgB8ACexSuR+F66D8AAAAAGAAAAPz8APwAAgAAAAAAAPC/AnHOiNLe4AfAAhWuR+F6FM6/AAAAABgAAAD8/AD8AAIAAAAAAADwvwIXSFD8GPMAwAI+CtejcD30PwAAAAAkAAAA/PwA/AACAAAAAAAA8L8CkX77OnDODsACPgrXo3A99D8AAAAAGAAAAPz8APwAAgAAAAAAAPC/Ai4hH/RsVghAAjJ3LSEf9PY/AAAAABgAAAD8/AD8AAIAAAAAAADwvwIXak3zjtMOQALM7snDQq3RPwAAAAAYAAAA/PwA/AACAAAAAAAA8L8CV+wvuyePBUACH4XrUbge4b8AAAAAARMECAFlBAAAAAAAAAAACAABZQQAAAAAAAAAAAwAAWUEAAAAAAAAAAAQAAFlBAAAAAAAAAAAFAABZQQAAAAAAAAAABgEAWUEAAAAAAAAAAAcBAFlCAAAAAAAAAAAIBgBZQQAAAAAAAAAACQUAWUIDAAAAAAAAAAoFAFlBAAAAAAAAAAALDABZQQAAAAAAAAAADAoAWUICAAAAAAAAAA0JAFlBAAAAAAAAAAAOCwBZQQAAAAAAAAAADwgAWUEAAAAAAAAAAABECABZQQAAAAAAAAAAAERIAFlBAAAAAAAAAAAEAwBZQQAAAAAAAAAACw0AWUICAAAAAAAAAAAAAAA</t>
        </r>
      </text>
    </comment>
    <comment ref="A413" authorId="0" shapeId="0" xr:uid="{D3A2B2E3-51E5-4A04-BD7C-D5DCA1E6BB8B}">
      <text>
        <r>
          <rPr>
            <sz val="9"/>
            <color indexed="81"/>
            <rFont val="MS P ゴシック"/>
            <family val="3"/>
            <charset val="128"/>
          </rPr>
          <t>Insight iXlW00001C0000413R0585476093S00000824P00948LAocjBAQBF1NjaVRlZ2ljLmRhdGEuTW9sZWN1bGUBbwF/ARJTY2lUZWdpYy5Nb2xlY3VsZQAAAQFkAv5qAQAAAAIAAjAcAAAA/PwA/AACAAAAAAAA8L8CdnEbDeAt+D8CNxrAWyBB8D8AAAAAGAAAAPz8APwAAgAAAAAAAPC/AmdmZmZmZvU/ApxVn6ut2J8/AAAAABgAAAD8/AD8AAIAAAAAAADwvwJ2cRsN4C34PwIUP8bctYTuvwAAAAAYAAAA/PwA/AACAAAAAAAA8L8CD5wzorQ3AkACveMUHcnl078AAAAAGAAAAPz8APwAAgAAAAAAAPC/ApqZmZmZmdU/ApxVn6ut2J8/AAAAABgAAAD8/AD8AAIAAAAAAADwvwLNzMzMzMzEvwLXxW00gLfqvwAAAAAYAAAA/PwA/AACAAAAAAAA8L8CKe0NvjCZ8r8C18VtNIC36r8AAAAAGAAAAPz8APwAAgAAAAAAAPC/AintDb4wmfq/ApxVn6ut2J8/AAAAACQAAAD8/AD8AAIAAAAAAADwvwKV9gZfmEwFwAKcVZ+rrdifPwAAAAAYAAAA/PwA/AACAAAAAAAA8L8CKe0NvjCZ8r8CMLsnDwu17D8AAAAAGAAAAPz8APwAAgAAAAAAAPC/AkVpb/CFycS/AjC7Jw8Ltew/AAAAAAERAAAA/PwA/AACAAAAAAAA8L8CdQKaCBueCEACnFWfq63Ynz8AAAAAMAAEAWUEAAAAAAAAAAAECAFlBAAAAAAAAAAACAwBZQQAAAAAAAAAAAwEAWUEAAAAAAAAAAAEEAFlBAAAAAAAAAAAEBQBZQgMAAAAAAAAABQYAWUEAAAAAAAAAAAYHAFlCAwAAAAAAAAAHCABZQQAAAAAAAAAABwkAWUEAAAAAAAAAAAkKAFlCAgAAAAAAAAAKBABZQQAAAAAAAAAAAAAAAA=</t>
        </r>
      </text>
    </comment>
    <comment ref="A414" authorId="0" shapeId="0" xr:uid="{DFBDEA89-FBBA-4269-98EB-E58D95086267}">
      <text>
        <r>
          <rPr>
            <sz val="9"/>
            <color indexed="81"/>
            <rFont val="MS P ゴシック"/>
            <family val="3"/>
            <charset val="128"/>
          </rPr>
          <t>Insight iXlW00001C0000414R0585476093S00000826P01468LAocjBAQBF1NjaVRlZ2ljLmRhdGEuTW9sZWN1bGUBbwF/ARJTY2lUZWdpYy5Nb2xlY3VsZQAAAQFkAv5qAQAAAAIAAgETGAAAAPz8APwAAgAAAAAAAPC/AqCrrdhfdt+/Alafq63YX+q/AAAAABgAAAD8/AD8AAIAAAAAAADwvwIYldQJaCLwPwLYEvJBz2alPwAAAAAcAAAA/PwA/AACAAAAAAAA8L8CFoxK6gQ0gT8C2BLyQc9mpT8AAAAAGAAAAPz8APwAAgAAAAAAAPC/AirLEMe6uPW/Aqs+V1uxv9S/AAAAACAAAAD8/AD8AAIAAAAAAADwvwIYldQJaCL4PwKx4emVsgztPwAAAAAgAAAA/PwA/AACAAAAAAAA8L8CGJXUCWgi+D8CVp+rrdhf6r8AAAAAGAAAAPz8APwAAgAAAAAAAPC/AirLEMe6uPW/AqtgVFInoOU/AAAAABgAAAD8/AD8AAIAAAAAAADwvwKMSuoENBEEQAKx4emVsgztPwAAAAAkAAAA/PwA/AACAAAAAAAA8L8CoKut2F92378CVTAqqRPQ8j8AAAAAGAAAAPz8APwAAgAAAAAAAPC/AiuHFtnO99c/AqvP1VbsL/W/AAAAABgAAAD8/AD8AAIAAAAAAADwvwLQ1VbsL7vvvwLtL7snDwv7vwAAAAAYAAAA/PwA/AACAAAAAAAA8L8CthX7y+7JAcACVp+rrdhf6r8AAAAAGAAAAPz8APwAAgAAAAAAAPC/Aqrx0k1iEMC/AvaX3ZOHhQHAAAAAABgAAAD8/AD8AAIAAAAAAADwvwK2FfvL7skBwAJVMCqpE9DyPwAAAAAYAAAA/PwA/AACAAAAAAAA8L8CjErqBDQRBEAC2fD0SlmG/j8AAAAAGAAAAPz8APwAAgAAAAAAAPC/AoxK6gQ0EQxAArHh6ZWyDO0/AAAAABgAAAD8/AD8AAIAAAAAAADwvwKMSuoENBEEQAJ88rBQa5q3vwAAAAAYAAAA/PwA/AACAAAAAAAA8L8C18VtNIC3CMACqz5XW7G/1L8AAAAAGAAAAPz8APwAAgAAAAAAAPC/AtfFbTSAtwjAAqtgVFInoOU/AAAAAAEUBAgBZQQAAAAAAAAAAAgAAWUEAAAAAAAAAAAMAAFlBAAAAAAAAAAAEAQBZQQAAAAAAAAAABQEAWUIAAAAAAAAAAAYDAFlBAAAAAAAAAAAHBABZQQAAAAAAAAAACAYAWUEAAAAAAAAAAAkAAFlBAAAAAAAAAAAKAABZQQAAAAAAAAAACwMAWUIDAAAAAAAAAAwKAFlBAAAAAAAAAAANBgBZQgIAAAAAAAAADgcAWUEAAAAAAAAAAA8HAFlBAAAAAAAAAAAARAcAWUEAAAAAAAAAAABESwBZQQAAAAAAAAAAAESAREBZQgIAAAAAAAAADAkAWUEAAAAAAAAAAABEjQBZQQAAAAAAAAAAAAAAAA=</t>
        </r>
      </text>
    </comment>
    <comment ref="A415" authorId="0" shapeId="0" xr:uid="{D5DF9D0E-5B9E-48A8-9D76-ACAE42E3D547}">
      <text>
        <r>
          <rPr>
            <sz val="9"/>
            <color indexed="81"/>
            <rFont val="MS P ゴシック"/>
            <family val="3"/>
            <charset val="128"/>
          </rPr>
          <t>Insight iXlW00001C0000415R0585476093S00000828P01020LAocjBAQBF1NjaVRlZ2ljLmRhdGEuTW9sZWN1bGUBbwF/ARJTY2lUZWdpYy5Nb2xlY3VsZQAAAQFkAv5qAQAAAAIAAjQcAAAA/PwA/AACAAAAAAAA8L8CTMgHPZtV7T8CQDVeukkM7j8AAAAAGAAAAPz8APwAAgAAAAAAAPC/AkzIBz2bVe0/AgmsHFpkO6+/AAAAABgAAAD8/AD8AAIAAAAAAADwvwIm5IOezar+PwIJrBxaZDuvvwAAAAAYAAAA/PwA/AACAAAAAAAA8L8CJuSDns2q/j8CYOXQItv58L8AAAAAGAAAAPz8APwAAgAAAAAAAPC/AkzIBz2bVe0/AmDl0CLb+fC/AAAAABgAAAD8/AD8AAIAAAAAAADwvwKlvcEXJlO1vwIJrBxaZDuvvwAAAAAYAAAA/PwA/AACAAAAAAAA8L8CtTf4wmSq4r8CRIts5/up7b8AAAAAGAAAAPz8APwAAgAAAAAAAPC/AtsbfGEyVfm/AkSLbOf7qe2/AAAAABgAAAD8/AD8AAIAAAAAAADwvwLtDb4wmaoAwAIJrBxaZDuvvwAAAAAYAAAA/PwA/AACAAAAAAAA8L8C2xt8YTJV+b8Cw/UoXI/C6T8AAAAAGAAAAPz8APwAAgAAAAAAAPC/ArU3+MJkquK/AsP1KFyPwuk/AAAAACQAAAD8/AD8AAIAAAAAAADwvwKlvcEXJlO1vwIj2/l+arz6PwAAAAABEQAAAPz8APwAAgAAAAAAAPC/AnpYqDXNuwVAAoXrUbgehdM/AAAAADQABAFlBAAAAAAAAAAABAgBZQQAAAAAAAAAAAgMAWUEAAAAAAAAAAAMEAFlBAAAAAAAAAAAEAQBZQQAAAAAAAAAAAQUAWUEAAAAAAAAAAAUGAFlCAwAAAAAAAAAGBwBZQQAAAAAAAAAABwgAWUICAAAAAAAAAAgJAFlBAAAAAAAAAAAJCgBZQgIAAAAAAAAACgUAWUEAAAAAAAAAAAoLAFlBAAAAAAAAAAAAAAAAA==</t>
        </r>
      </text>
    </comment>
    <comment ref="A416" authorId="0" shapeId="0" xr:uid="{1FBD4A71-F57A-4170-A809-7163F73C5DA2}">
      <text>
        <r>
          <rPr>
            <sz val="9"/>
            <color indexed="81"/>
            <rFont val="MS P ゴシック"/>
            <family val="3"/>
            <charset val="128"/>
          </rPr>
          <t>Insight iXlW00001C0000416R0585476093S00000830P01020LAocjBAQBF1NjaVRlZ2ljLmRhdGEuTW9sZWN1bGUBbwF/ARJTY2lUZWdpYy5Nb2xlY3VsZQAAAQFkAv5qAQAAAAIAAjQcAAAA/PwA/AACAAAAAAAA8L8CokW28/3U+D8C5KWbxCCw4D8AAAAAGAAAAPz8APwAAgAAAAAAAPC/AqJFtvP91PA/AkA1XrpJDNa/AAAAABgAAAD8/AD8AAIAAAAAAADwvwLkpZvEILD+PwKgGi/dJAbrvwAAAAAYAAAA/PwA/AACAAAAAAAA8L8C5KWbxCCw9j8Cku18PzVe+78AAAAAGAAAAPz8APwAAgAAAAAAAPC/AkSLbOf7qeE/ApLtfD81XvO/AAAAABgAAAD8/AD8AAIAAAAAAADwvwICK4cW2c7HPwKBlUOLbOfDPwAAAAAYAAAA/PwA/AACAAAAAAAA8L8CAiuHFtnOxz8CsHJoke188j8AAAAAGAAAAPz8APwAAgAAAAAAAPC/AsP1KFyPwuW/ArByaJHtfPo/AAAAABgAAAD8/AD8AAIAAAAAAADwvwIj2/l+arz4vwKwcmiR7XzyPwAAAAAYAAAA/PwA/AACAAAAAAAA8L8CI9v5fmq8+L8CgZVDi2znwz8AAAAAJAAAAPz8APwAAgAAAAAAAPC/ArKd76fGSwPAAkA1XrpJDNa/AAAAABgAAAD8/AD8AAIAAAAAAADwvwLD9Shcj8LlvwJANV66SQzWvwAAAAABEQAAAPz8APwAAgAAAAAAAPC/Alg5tMh2vgVAAilcj8L1KJy/AAAAADQABAFlBAAAAAAAAAAABAgBZQQAAAAAAAAAAAgMAWUEAAAAAAAAAAAMEAFlBAAAAAAAAAAAEAQBZQQAAAAAAAAAAAQUAWUEAAAAAAAAAAAUGAFlCAwAAAAAAAAAGBwBZQQAAAAAAAAAABwgAWUICAAAAAAAAAAgJAFlBAAAAAAAAAAAJCgBZQQAAAAAAAAAACQsAWUICAAAAAAAAAAsFAFlBAAAAAAAAAAAAAAAAA==</t>
        </r>
      </text>
    </comment>
    <comment ref="A417" authorId="0" shapeId="0" xr:uid="{125F8089-DED3-4101-B113-717722E5E647}">
      <text>
        <r>
          <rPr>
            <sz val="9"/>
            <color indexed="81"/>
            <rFont val="MS P ゴシック"/>
            <family val="3"/>
            <charset val="128"/>
          </rPr>
          <t>Insight iXlW00001C0000417R0585476093S00000832P01020LAocjBAQBF1NjaVRlZ2ljLmRhdGEuTW9sZWN1bGUBbwF/ARJTY2lUZWdpYy5Nb2xlY3VsZQAAAQFkAv5qAQAAAAIAAjQcAAAA/PwA/AACAAAAAAAA8L8CHqfoSC7/3b8C8tJNYhBY+L8AAAAAGAAAAPz8APwAAgAAAAAAAPC/Ao9TdCSX/+6/AmHl0CLb+eS/AAAAABgAAAD8/AD8AAIAAAAAAADwvwIJih9j7lr9vwKwcmiR7XzyvwAAAAAYAAAA/PwA/AACAAAAAAAA8L8CBcWPMXetAsACu0kMAiuH0r8AAAAAGAAAAPz8APwAAgAAAAAAAPC/AsgpOpLLf/e/Aoxs5/up8co/AAAAABgAAAD8/AD8AAIAAAAAAADwvwJfmEwVjEq6vwKBlUOLbOfDvwAAAAAYAAAA/PwA/AACAAAAAAAA8L8CX5hMFYxKur8CoBov3SQG6z8AAAAAGAAAAPz8APwAAgAAAAAAAPC/AngtIR/0bOg/AlCNl24Sg/U/AAAAABgAAAD8/AD8AAIAAAAAAADwvwL99nXgnBH6PwKgGi/dJAbrPwAAAAAkAAAA/PwA/AACAAAAAAAA8L8C2IFzRpT2A0ACUI2XbhKD9T8AAAAAGAAAAPz8APwAAgAAAAAAAPC/Av32deCcEfo/AoGVQ4ts58O/AAAAABgAAAD8/AD8AAIAAAAAAADwvwJ4LSEf9GzoPwJh5dAi2/nkvwAAAAABEQAAAPz8APwAAgAAAAAAAPC/Aj/o2az6XApAAg8tsp3vp7a/AAAAADQABAFlBAAAAAAAAAAABAgBZQQAAAAAAAAAAAgMAWUEAAAAAAAAAAAMEAFlBAAAAAAAAAAAEAQBZQQAAAAAAAAAAAQUAWUEAAAAAAAAAAAUGAFlCAwAAAAAAAAAGBwBZQQAAAAAAAAAABwgAWUIDAAAAAAAAAAgJAFlBAAAAAAAAAAAICgBZQQAAAAAAAAAACgsAWUICAAAAAAAAAAsFAFlBAAAAAAAAAAAAAAAAA==</t>
        </r>
      </text>
    </comment>
    <comment ref="A418" authorId="0" shapeId="0" xr:uid="{F18B04C2-C564-4ACA-970E-00A34CB3EC3E}">
      <text>
        <r>
          <rPr>
            <sz val="9"/>
            <color indexed="81"/>
            <rFont val="MS P ゴシック"/>
            <family val="3"/>
            <charset val="128"/>
          </rPr>
          <t>Insight iXlW00001C0000418R0585476093S00000834P01020LAocjBAQBF1NjaVRlZ2ljLmRhdGEuTW9sZWN1bGUBbwF/ARJTY2lUZWdpYy5Nb2xlY3VsZQAAAQFkAv5qAQAAAAIAAjQcAAAA/PwA/AACAAAAAAAA8L8CTMgHPZtV7T8CQDVeukkM7j8AAAAAGAAAAPz8APwAAgAAAAAAAPC/AkzIBz2bVe0/AgmsHFpkO6+/AAAAABgAAAD8/AD8AAIAAAAAAADwvwIm5IOezar+PwIJrBxaZDuvvwAAAAAYAAAA/PwA/AACAAAAAAAA8L8CJuSDns2q/j8CYOXQItv58L8AAAAAGAAAAPz8APwAAgAAAAAAAPC/AkzIBz2bVe0/AmDl0CLb+fC/AAAAABgAAAD8/AD8AAIAAAAAAADwvwKlvcEXJlO1vwIJrBxaZDuvvwAAAAAYAAAA/PwA/AACAAAAAAAA8L8CtTf4wmSq4r8CRIts5/up7b8AAAAAGAAAAPz8APwAAgAAAAAAAPC/AtsbfGEyVfm/AkSLbOf7qe2/AAAAABgAAAD8/AD8AAIAAAAAAADwvwLtDb4wmaoAwAIJrBxaZDuvvwAAAAAYAAAA/PwA/AACAAAAAAAA8L8C2xt8YTJV+b8Cw/UoXI/C6T8AAAAAGAAAAPz8APwAAgAAAAAAAPC/ArU3+MJkquK/AsP1KFyPwuk/AAAAAAERAAAA/PwA/AACAAAAAAAA8L8Cpb3BFyZTtb8CI9v5fmq8+j8AAAAAAREAAAD8/AD8AAIAAAAAAADwvwJ6WKg1zbsFQAKF61G4HoXTPwAAAAA0AAQBZQQAAAAAAAAAAAQIAWUEAAAAAAAAAAAIDAFlBAAAAAAAAAAADBABZQQAAAAAAAAAABAEAWUEAAAAAAAAAAAEFAFlBAAAAAAAAAAAFBgBZQgMAAAAAAAAABgcAWUEAAAAAAAAAAAcIAFlCAgAAAAAAAAAICQBZQQAAAAAAAAAACQoAWUICAAAAAAAAAAoFAFlBAAAAAAAAAAAKCwBZQQAAAAAAAAAAAAAAAA=</t>
        </r>
      </text>
    </comment>
    <comment ref="A419" authorId="0" shapeId="0" xr:uid="{7B09A52A-B070-4095-8CD6-531F6F4BFE79}">
      <text>
        <r>
          <rPr>
            <sz val="9"/>
            <color indexed="81"/>
            <rFont val="MS P ゴシック"/>
            <family val="3"/>
            <charset val="128"/>
          </rPr>
          <t>Insight iXlW00001C0000419R0585476093S00000836P00932LAocjBAQBF1NjaVRlZ2ljLmRhdGEuTW9sZWN1bGUBbwF/ARJTY2lUZWdpYy5Nb2xlY3VsZQAAAQFkAv5qAQAAAAIAAjAYAAAA/PwA/AACAAAAAAAA8L8Cak3zjlN08T8C9ihcj8L16j8AAAAAGAAAAPz8APwAAgAAAAAAAPC/AmpN845TdPE/Ailcj8L1KMS/AAAAABgAAAD8/AD8AAIAAAAAAADwvwK1pnnHKboAQAIpXI/C9SjEvwAAAAAcAAAA/PwA/AACAAAAAAAA8L8Cak3zjlN08T8ChetRuB6F8r8AAAAAGAAAAPz8APwAAgAAAAAAAPC/AqLWNO84Rbc/Ailcj8L1KMS/AAAAABgAAAD8/AD8AAIAAAAAAADwvwJYyjLEsS7avwLHSzeJQWDwvwAAAAAYAAAA/PwA/AACAAAAAAAA8L8ClrIMcayL9r8Cx0s3iUFg8L8AAAAAGAAAAPz8APwAAgAAAAAAAPC/ApayDHGsi/6/Ailcj8L1KMS/AAAAABgAAAD8/AD8AAIAAAAAAADwvwKWsgxxrIv2vwJ56SYxCKzmPwAAAAAYAAAA/PwA/AACAAAAAAAA8L8CWMoyxLEu2r8CeekmMQis5j8AAAAAASMAAAD8/AD8AAIAAAAAAADwvwKi1jTvOEW3PwJvgQTFjzH5PwAAAAABEQAAAPz8APwAAgAAAAAAAPC/AhwN4C2QIAdAAuSlm8QgsMo/AAAAACwABAFlBAAAAAAAAAAABAgBZQQAAAAAAAAAAAQMAWUEAAAAAAAAAAAEEAFlBAAAAAAAAAAAEBQBZQgMAAAAAAAAABQYAWUEAAAAAAAAAAAYHAFlCAgAAAAAAAAAHCABZQQAAAAAAAAAACAkAWUICAAAAAAAAAAkEAFlBAAAAAAAAAAAJCgBZQQAAAAAAAAAAAAAAAA=</t>
        </r>
      </text>
    </comment>
    <comment ref="A420" authorId="0" shapeId="0" xr:uid="{3A8D01AA-AF48-46C8-AFF2-BFE6B5DF362B}">
      <text>
        <r>
          <rPr>
            <sz val="9"/>
            <color indexed="81"/>
            <rFont val="MS P ゴシック"/>
            <family val="3"/>
            <charset val="128"/>
          </rPr>
          <t>Insight iXlW00001C0000420R0585476093S00000838P00888LAocjBAQBF1NjaVRlZ2ljLmRhdGEuTW9sZWN1bGUBbwF/ARJTY2lUZWdpYy5Nb2xlY3VsZQAAAQFkAv5qAQAAAAIAAjAYAAAA/PwA/AACAAAAAAAA8L8C24r9Zffk+j8CBoGVQ4ts1z8AAAAAGAAAAPz8APwAAgAAAAAAAPC/AtuK/WX35PI/AgAAAAAAAOC/AAAAABgAAAD8/AD8AAIAAAAAAADwvwLHSzeJQWAAQAIAAAAAAADwvwAAAAAcAAAA/PwA/AACAAAAAAAA8L8CthX7y+7J5T8CQmDl0CLb9b8AAAAAGAAAAPz8APwAAgAAAAAAAPC/AmWqYFRSJ9Q/AAAAAAAYAAAA/PwA/AACAAAAAAAA8L8CZapgVFIn1D8BAAAAABgAAAD8/AD8AAIAAAAAAADwvwJRa5p3nKLhvwIAAAAAAAD4PwAAAAAYAAAA/PwA/AACAAAAAAAA8L8C6pWyDHGs9r8BAAAAABgAAAD8/AD8AAIAAAAAAADwvwLqlbIMcaz2vwAAAAAAASMAAAD8/AD8AAIAAAAAAADwvwIW+8vuyUMCwAIAAAAAAADgvwAAAAAYAAAA/PwA/AACAAAAAAAA8L8CUWuad5yi4b8CAAAAAAAA4L8AAAAAAREAAAD8/AD8AAIAAAAAAADwvwItsp3vp8YGQAL0/dR46SaxPwAAAAAsAAQBZQQAAAAAAAAAAAQIAWUEAAAAAAAAAAAEDAFlBAAAAAAAAAAABBABZQQAAAAAAAAAABAUAWUIDAAAAAAAAAAUGAFlBAAAAAAAAAAAGBwBZQgIAAAAAAAAABwgAWUEAAAAAAAAAAAgJAFlBAAAAAAAAAAAICgBZQgIAAAAAAAAACgQAWUEAAAAAAAAAAAAAAAA</t>
        </r>
      </text>
    </comment>
    <comment ref="A421" authorId="0" shapeId="0" xr:uid="{B12EFA1A-D7CA-433E-93E8-DBCC23F405F0}">
      <text>
        <r>
          <rPr>
            <sz val="9"/>
            <color indexed="81"/>
            <rFont val="MS P ゴシック"/>
            <family val="3"/>
            <charset val="128"/>
          </rPr>
          <t>Insight iXlW00001C0000421R0585476093S00000840P00948LAocjBAQBF1NjaVRlZ2ljLmRhdGEuTW9sZWN1bGUBbwF/ARJTY2lUZWdpYy5Nb2xlY3VsZQAAAQFkAv5qAQAAAAIAAjAcAAAA/PwA/AACAAAAAAAA8L8COIlBYOXQ8z8CZF3cRgN46z8AAAAAGAAAAPz8APwAAgAAAAAAAPC/Aih+jLlrCfE/AnZxGw3gLcC/AAAAABgAAAD8/AD8AAIAAAAAAADwvwI4iUFg5dDzPwIPC7WmecfxvwAAAAAYAAAA/PwA/AACAAAAAAAA8L8C8KfGSzcJAEAC0pFc/kP63b8AAAAAGAAAAPz8APwAAgAAAAAAAPC/AoLix5i7lrA/AnZxGw3gLcC/AAAAABgAAAD8/AD8AAIAAAAAAADwvwJgB84ZUdrbvwLhnBGlvcHvvwAAAAAYAAAA/PwA/AACAAAAAAAA8L8C2IFzRpT29r8C4ZwRpb3B778AAAAAGAAAAPz8APwAAgAAAAAAAPC/AtiBc0aU9v6/AnZxGw3gLcC/AAAAABgAAAD8/AD8AAIAAAAAAADwvwLYgXNGlPb2vwIm5IOezarnPwAAAAAYAAAA/PwA/AACAAAAAAAA8L8CYAfOGVHa278CJuSDns2q5z8AAAAAASMAAAD8/AD8AAIAAAAAAADwvwKC4seYu5awPwLG/rJ78rD5PwAAAAABEQAAAPz8APwAAgAAAAAAAPC/AlYOLbKdbwZAAp6AJsKGp88/AAAAADAABAFlBAAAAAAAAAAABAgBZQQAAAAAAAAAAAgMAWUEAAAAAAAAAAAMBAFlBAAAAAAAAAAABBABZQQAAAAAAAAAABAUAWUIDAAAAAAAAAAUGAFlBAAAAAAAAAAAGBwBZQgIAAAAAAAAABwgAWUEAAAAAAAAAAAgJAFlCAgAAAAAAAAAJBABZQQAAAAAAAAAACQoAWUEAAAAAAAAAAAAAAAA</t>
        </r>
      </text>
    </comment>
    <comment ref="A422" authorId="0" shapeId="0" xr:uid="{97806506-0F85-4133-979F-16145711B618}">
      <text>
        <r>
          <rPr>
            <sz val="9"/>
            <color indexed="81"/>
            <rFont val="MS P ゴシック"/>
            <family val="3"/>
            <charset val="128"/>
          </rPr>
          <t>Insight iXlW00001C0000422R0585476093S00000842P00948LAocjBAQBF1NjaVRlZ2ljLmRhdGEuTW9sZWN1bGUBbwF/ARJTY2lUZWdpYy5Nb2xlY3VsZQAAAQFkAv5qAQAAAAIAAjAcAAAA/PwA/AACAAAAAAAA8L8CjErqBDQR/T8CL90kBoGV0z8AAAAAGAAAAPz8APwAAgAAAAAAAPC/AvJjzF1LyPI/AnE9CtejcN2/AAAAABgAAAD8/AD8AAIAAAAAAADwvwJYW7G/7J7qPwIUYcPTK2X2vwAAAAAYAAAA/PwA/AACAAAAAAAA8L8CjErqBDQR/T8CdQKaCBue878AAAAAGAAAAPz8APwAAgAAAAAAAPC/AvtcbcX+stM/AnsUrkfheqQ/AAAAABgAAAD8/AD8AAIAAAAAAADwvwL7XG3F/rLTPwKkcD0K16PwPwAAAAAYAAAA/PwA/AACAAAAAAAA8L8CBhIUP8bc4b8CpHA9Ctej+D8AAAAAGAAAAPz8APwAAgAAAAAAAPC/AkVpb/CFyfa/AqRwPQrXo/A/AAAAABgAAAD8/AD8AAIAAAAAAADwvwJFaW/whcn2vwJ7FK5H4XqkPwAAAAABIwAAAPz8APwAAgAAAAAAAPC/AsNkqmBUUgLAAnE9CtejcN2/AAAAABgAAAD8/AD8AAIAAAAAAADwvwIGEhQ/xtzhvwJxPQrXo3DdvwAAAAABEQAAAPz8APwAAgAAAAAAAPC/Aq2L22gA7wRAAv0Yc9cS8rE/AAAAADAABAFlBAAAAAAAAAAABAgBZQQAAAAAAAAAAAgMAWUEAAAAAAAAAAAMBAFlBAAAAAAAAAAABBABZQQAAAAAAAAAABAUAWUIDAAAAAAAAAAUGAFlBAAAAAAAAAAAGBwBZQgIAAAAAAAAABwgAWUEAAAAAAAAAAAgJAFlBAAAAAAAAAAAICgBZQgIAAAAAAAAACgQAWUEAAAAAAAAAAAAAAAA</t>
        </r>
      </text>
    </comment>
    <comment ref="A423" authorId="0" shapeId="0" xr:uid="{FAC0268A-0B4C-4918-941D-43188C3DC4B1}">
      <text>
        <r>
          <rPr>
            <sz val="9"/>
            <color indexed="81"/>
            <rFont val="MS P ゴシック"/>
            <family val="3"/>
            <charset val="128"/>
          </rPr>
          <t>Insight iXlW00001C0000423R0585476093S00000844P00948LAocjBAQBF1NjaVRlZ2ljLmRhdGEuTW9sZWN1bGUBbwF/ARJTY2lUZWdpYy5Nb2xlY3VsZQAAAQFkAv5qAQAAAAIAAjAcAAAA/PwA/AACAAAAAAAA8L8CdnEbDeAt+D8CNxrAWyBB8D8AAAAAGAAAAPz8APwAAgAAAAAAAPC/AmdmZmZmZvU/ApxVn6ut2J8/AAAAABgAAAD8/AD8AAIAAAAAAADwvwJ2cRsN4C34PwIUP8bctYTuvwAAAAAYAAAA/PwA/AACAAAAAAAA8L8CD5wzorQ3AkACveMUHcnl078AAAAAGAAAAPz8APwAAgAAAAAAAPC/ApqZmZmZmdU/ApxVn6ut2J8/AAAAABgAAAD8/AD8AAIAAAAAAADwvwLNzMzMzMzEvwLXxW00gLfqvwAAAAAYAAAA/PwA/AACAAAAAAAA8L8CKe0NvjCZ8r8C18VtNIC36r8AAAAAGAAAAPz8APwAAgAAAAAAAPC/AintDb4wmfq/ApxVn6ut2J8/AAAAAAEjAAAA/PwA/AACAAAAAAAA8L8ClfYGX5hMBcACnFWfq63Ynz8AAAAAGAAAAPz8APwAAgAAAAAAAPC/AintDb4wmfK/AjC7Jw8Ltew/AAAAABgAAAD8/AD8AAIAAAAAAADwvwJFaW/whcnEvwIwuycPC7XsPwAAAAABEQAAAPz8APwAAgAAAAAAAPC/AnUCmggbnghAApxVn6ut2J8/AAAAADAABAFlBAAAAAAAAAAABAgBZQQAAAAAAAAAAAgMAWUEAAAAAAAAAAAMBAFlBAAAAAAAAAAABBABZQQAAAAAAAAAABAUAWUIDAAAAAAAAAAUGAFlBAAAAAAAAAAAGBwBZQgMAAAAAAAAABwgAWUEAAAAAAAAAAAcJAFlBAAAAAAAAAAAJCgBZQgIAAAAAAAAACgQAWUEAAAAAAAAAAAAAAAA</t>
        </r>
      </text>
    </comment>
    <comment ref="A424" authorId="0" shapeId="0" xr:uid="{1376E247-BCEE-4765-9E0F-A28E4CC6322A}">
      <text>
        <r>
          <rPr>
            <sz val="9"/>
            <color indexed="81"/>
            <rFont val="MS P ゴシック"/>
            <family val="3"/>
            <charset val="128"/>
          </rPr>
          <t>Insight iXlW00001C0000424R0585476093S00000846P01020LAocjBAQBF1NjaVRlZ2ljLmRhdGEuTW9sZWN1bGUBbwF/ARJTY2lUZWdpYy5Nb2xlY3VsZQAAAQFkAv5qAQAAAAIAAjQcAAAA/PwA/AACAAAAAAAA8L8CTMgHPZtV7T8CQDVeukkM7j8AAAAAGAAAAPz8APwAAgAAAAAAAPC/AkzIBz2bVe0/AgmsHFpkO6+/AAAAABgAAAD8/AD8AAIAAAAAAADwvwIm5IOezar+PwIJrBxaZDuvvwAAAAAYAAAA/PwA/AACAAAAAAAA8L8CJuSDns2q/j8CYOXQItv58L8AAAAAGAAAAPz8APwAAgAAAAAAAPC/AkzIBz2bVe0/AmDl0CLb+fC/AAAAABgAAAD8/AD8AAIAAAAAAADwvwKlvcEXJlO1vwIJrBxaZDuvvwAAAAAYAAAA/PwA/AACAAAAAAAA8L8CtTf4wmSq4r8CRIts5/up7b8AAAAAGAAAAPz8APwAAgAAAAAAAPC/AtsbfGEyVfm/AkSLbOf7qe2/AAAAABgAAAD8/AD8AAIAAAAAAADwvwLtDb4wmaoAwAIJrBxaZDuvvwAAAAAYAAAA/PwA/AACAAAAAAAA8L8C2xt8YTJV+b8Cw/UoXI/C6T8AAAAAGAAAAPz8APwAAgAAAAAAAPC/ArU3+MJkquK/AsP1KFyPwuk/AAAAAAEjAAAA/PwA/AACAAAAAAAA8L8Cpb3BFyZTtb8CI9v5fmq8+j8AAAAAAREAAAD8/AD8AAIAAAAAAADwvwJ6WKg1zbsFQAKF61G4HoXTPwAAAAA0AAQBZQQAAAAAAAAAAAQIAWUEAAAAAAAAAAAIDAFlBAAAAAAAAAAADBABZQQAAAAAAAAAABAEAWUEAAAAAAAAAAAEFAFlBAAAAAAAAAAAFBgBZQgMAAAAAAAAABgcAWUEAAAAAAAAAAAcIAFlCAgAAAAAAAAAICQBZQQAAAAAAAAAACQoAWUICAAAAAAAAAAoFAFlBAAAAAAAAAAAKCwBZQQAAAAAAAAAAAAAAAA=</t>
        </r>
      </text>
    </comment>
    <comment ref="A425" authorId="0" shapeId="0" xr:uid="{CDAFFCAA-378B-4BEC-ABDB-61AD2C05200F}">
      <text>
        <r>
          <rPr>
            <sz val="9"/>
            <color indexed="81"/>
            <rFont val="MS P ゴシック"/>
            <family val="3"/>
            <charset val="128"/>
          </rPr>
          <t>Insight iXlW00001C0000425R0585476093S00000848P01020LAocjBAQBF1NjaVRlZ2ljLmRhdGEuTW9sZWN1bGUBbwF/ARJTY2lUZWdpYy5Nb2xlY3VsZQAAAQFkAv5qAQAAAAIAAjQcAAAA/PwA/AACAAAAAAAA8L8CokW28/3U+D8C5KWbxCCw4D8AAAAAGAAAAPz8APwAAgAAAAAAAPC/AqJFtvP91PA/AkA1XrpJDNa/AAAAABgAAAD8/AD8AAIAAAAAAADwvwLkpZvEILD+PwKgGi/dJAbrvwAAAAAYAAAA/PwA/AACAAAAAAAA8L8C5KWbxCCw9j8Cku18PzVe+78AAAAAGAAAAPz8APwAAgAAAAAAAPC/AkSLbOf7qeE/ApLtfD81XvO/AAAAABgAAAD8/AD8AAIAAAAAAADwvwICK4cW2c7HPwKBlUOLbOfDPwAAAAAYAAAA/PwA/AACAAAAAAAA8L8CAiuHFtnOxz8CsHJoke188j8AAAAAGAAAAPz8APwAAgAAAAAAAPC/AsP1KFyPwuW/ArByaJHtfPo/AAAAABgAAAD8/AD8AAIAAAAAAADwvwIj2/l+arz4vwKwcmiR7XzyPwAAAAAYAAAA/PwA/AACAAAAAAAA8L8CI9v5fmq8+L8CgZVDi2znwz8AAAAAASMAAAD8/AD8AAIAAAAAAADwvwKyne+nxksDwAJANV66SQzWvwAAAAAYAAAA/PwA/AACAAAAAAAA8L8Cw/UoXI/C5b8CQDVeukkM1r8AAAAAAREAAAD8/AD8AAIAAAAAAADwvwJYObTIdr4FQAIpXI/C9SicvwAAAAA0AAQBZQQAAAAAAAAAAAQIAWUEAAAAAAAAAAAIDAFlBAAAAAAAAAAADBABZQQAAAAAAAAAABAEAWUEAAAAAAAAAAAEFAFlBAAAAAAAAAAAFBgBZQgMAAAAAAAAABgcAWUEAAAAAAAAAAAcIAFlCAgAAAAAAAAAICQBZQQAAAAAAAAAACQoAWUEAAAAAAAAAAAkLAFlCAgAAAAAAAAALBQBZQQAAAAAAAAAAAAAAAA=</t>
        </r>
      </text>
    </comment>
    <comment ref="A426" authorId="0" shapeId="0" xr:uid="{40150CC4-65BF-4D51-91E4-0B7ACD9F9E96}">
      <text>
        <r>
          <rPr>
            <sz val="9"/>
            <color indexed="81"/>
            <rFont val="MS P ゴシック"/>
            <family val="3"/>
            <charset val="128"/>
          </rPr>
          <t>Insight iXlW00001C0000426R0585476093S00000850P01020LAocjBAQBF1NjaVRlZ2ljLmRhdGEuTW9sZWN1bGUBbwF/ARJTY2lUZWdpYy5Nb2xlY3VsZQAAAQFkAv5qAQAAAAIAAjQcAAAA/PwA/AACAAAAAAAA8L8CHqfoSC7/3b8C8tJNYhBY+L8AAAAAGAAAAPz8APwAAgAAAAAAAPC/Ao9TdCSX/+6/AmHl0CLb+eS/AAAAABgAAAD8/AD8AAIAAAAAAADwvwIJih9j7lr9vwKwcmiR7XzyvwAAAAAYAAAA/PwA/AACAAAAAAAA8L8CBcWPMXetAsACu0kMAiuH0r8AAAAAGAAAAPz8APwAAgAAAAAAAPC/AsgpOpLLf/e/Aoxs5/up8co/AAAAABgAAAD8/AD8AAIAAAAAAADwvwJfmEwVjEq6vwKBlUOLbOfDvwAAAAAYAAAA/PwA/AACAAAAAAAA8L8CX5hMFYxKur8CoBov3SQG6z8AAAAAGAAAAPz8APwAAgAAAAAAAPC/AngtIR/0bOg/AlCNl24Sg/U/AAAAABgAAAD8/AD8AAIAAAAAAADwvwL99nXgnBH6PwKgGi/dJAbrPwAAAAABIwAAAPz8APwAAgAAAAAAAPC/AtiBc0aU9gNAAlCNl24Sg/U/AAAAABgAAAD8/AD8AAIAAAAAAADwvwL99nXgnBH6PwKBlUOLbOfDvwAAAAAYAAAA/PwA/AACAAAAAAAA8L8CeC0hH/Rs6D8CYeXQItv55L8AAAAAAREAAAD8/AD8AAIAAAAAAADwvwI/6Nms+lwKQAIPLbKd76e2vwAAAAA0AAQBZQQAAAAAAAAAAAQIAWUEAAAAAAAAAAAIDAFlBAAAAAAAAAAADBABZQQAAAAAAAAAABAEAWUEAAAAAAAAAAAEFAFlBAAAAAAAAAAAFBgBZQgMAAAAAAAAABgcAWUEAAAAAAAAAAAcIAFlCAwAAAAAAAAAICQBZQQAAAAAAAAAACAoAWUEAAAAAAAAAAAoLAFlCAgAAAAAAAAALBQBZQQAAAAAAAAAAAAAAAA=</t>
        </r>
      </text>
    </comment>
    <comment ref="A427" authorId="0" shapeId="0" xr:uid="{C5E50419-512D-4111-AF79-E46E77EE062A}">
      <text>
        <r>
          <rPr>
            <sz val="9"/>
            <color indexed="81"/>
            <rFont val="MS P ゴシック"/>
            <family val="3"/>
            <charset val="128"/>
          </rPr>
          <t>Insight iXlW00001C0000427R0585476093S00000852P01000LAocjBAQBF1NjaVRlZ2ljLmRhdGEuTW9sZWN1bGUBbwF/ARJTY2lUZWdpYy5Nb2xlY3VsZQAAAQFkAv5qAQAAAAIAAjQYAAAA/PwA/AACAAAAAAAA8L8CIGPuWkK+AMACAAAAAAAA9r8AAAAAIAAAAPz8APwAAgAAAAAAAPC/AiBj7lpCvgDAAgAAAAAAANi/AAAAABgAAAD8/AD8AAIAAAAAAADwvwKNuWsJ+aDzvwIAAAAAAADAPwAAAAAYAAAA/PwA/AACAAAAAAAA8L8CjblrCfmg878CAAAAAAAA8j8AAAAAGAAAAPz8APwAAgAAAAAAAPC/AixlGeJYF9e/AgAAAAAAAPo/AAAAABgAAAD8/AD8AAIAAAAAAADwvwLtDb4wmSrgPwIAAAAAAADyPwAAAAAYAAAA/PwA/AACAAAAAAAA8L8C7Q2+MJkq4D8CAAAAAAAAwD8AAAAAGAAAAPz8APwAAgAAAAAAAPC/AixlGeJYF9e/AgAAAAAAANi/AAAAABgAAAD8/AD8AAIAAAAAAADwvwI4Z0Rpb/D1PwIAAAAAAADYvwAAAAAYAAAA/PwA/AACAAAAAAAA8L8COWdEaW/w/T8CB4GVQ4ts3z8AAAAAGAAAAPz8APwAAgAAAAAAAPC/Ar3jFB3J5QFAAgAAAAAAAOy/AAAAABwAAAD8/AD8AAIAAAAAAADwvwJxzojS3uDrPwJCYOXQItvzvwAAAAABEQAAAPz8APwAAgAAAAAAAPC/AiRKe4MvTAhAAgAAAAAAAMA/AAAAADAABAFlBAAAAAAAAAAABAgBZQQAAAAAAAAAAAgMAWUEAAAAAAAAAAAMEAFlCAgAAAAAAAAAEBQBZQQAAAAAAAAAABQYAWUICAAAAAAAAAAYHAFlBAAAAAAAAAAAHAgBZQgMAAAAAAAAABggAWUEAAAAAAAAAAAgJAFlBAAAAAAAAAAAICgBZQQAAAAAAAAAACAsAWUEAAAAAAAAAAAAAAAA</t>
        </r>
      </text>
    </comment>
    <comment ref="A428" authorId="0" shapeId="0" xr:uid="{C82D55E9-4A74-4053-BBA5-B7D7F0ACF42C}">
      <text>
        <r>
          <rPr>
            <sz val="9"/>
            <color indexed="81"/>
            <rFont val="MS P ゴシック"/>
            <family val="3"/>
            <charset val="128"/>
          </rPr>
          <t>Insight iXlW00001C0000428R0585476093S00000854P01020LAocjBAQBF1NjaVRlZ2ljLmRhdGEuTW9sZWN1bGUBbwF/ARJTY2lUZWdpYy5Nb2xlY3VsZQAAAQFkAv5qAQAAAAIAAjQYAAAA/PwA/AACAAAAAAAA8L8Cq2BUUicgAkACLPaX3ZOH2T8AAAAAIAAAAPz8APwAAgAAAAAAAPC/AhRhw9MrZfY/AlMnoImw4bm/AAAAABgAAAD8/AD8AAIAAAAAAADwvwKkAbwFEhThPwIs9pfdk4fZPwAAAAAYAAAA/PwA/AACAAAAAAAA8L8CpAG8BRIU4T8Ci/1l9+Rh9j8AAAAAGAAAAPz8APwAAgAAAAAAAPC/AsB9HThnRNW/Aov9ZffkYf4/AAAAABgAAAD8/AD8AAIAAAAAAADwvwKyv+yePCzzvwKL/WX35GH2PwAAAAAYAAAA/PwA/AACAAAAAAAA8L8Csr/snjws878CLPaX3ZOH2T8AAAAAGAAAAPz8APwAAgAAAAAAAPC/AsB9HThnRNW/AlMnoImw4bm/AAAAABgAAAD8/AD8AAIAAAAAAADwvwLAfR04Z0TVvwJ1ApoIG57xvwAAAAAcAAAA/PwA/AACAAAAAAAA8L8C4noUrkfh5D8CFGHD0ytl9L8AAAAAGAAAAPz8APwAAgAAAAAAAPC/AlH8GHPXEvW/AhRhw9MrZfS/AAAAABgAAAD8/AD8AAIAAAAAAADwvwJNhA1Pr5TlvwIWak3zjlMAwAAAAAABEQAAAPz8APwAAgAAAAAAAPC/AhHHuriNhghAAoNRSZ2AJrK/AAAAADQABAFlBAAAAAAAAAAABAgBZQQAAAAAAAAAAAgMAWUIDAAAAAAAAAAMEAFlBAAAAAAAAAAAEBQBZQgIAAAAAAAAABQYAWUEAAAAAAAAAAAYHAFlCAgAAAAAAAAAHAgBZQQAAAAAAAAAABwgAWUEAAAAAAAAAAAgJAFlBAAAAAAAAAAAICgBZQQAAAAAAAAAACgsAWUEAAAAAAAAAAAsIAFlBAAAAAAAAAAAAAAAAA==</t>
        </r>
      </text>
    </comment>
    <comment ref="A429" authorId="0" shapeId="0" xr:uid="{3B837042-60CE-4EA2-A887-0ED40E33997A}">
      <text>
        <r>
          <rPr>
            <sz val="9"/>
            <color indexed="81"/>
            <rFont val="MS P ゴシック"/>
            <family val="3"/>
            <charset val="128"/>
          </rPr>
          <t>Insight iXlW00001C0000429R0585476093S00000856P01020LAocjBAQBF1NjaVRlZ2ljLmRhdGEuTW9sZWN1bGUBbwF/ARJTY2lUZWdpYy5Nb2xlY3VsZQAAAQFkAv5qAQAAAAIAAjQYAAAA/PwA/AACAAAAAAAA8L8CQfFjzF3LAMACYHZPHhZq9b8AAAAAIAAAAPz8APwAAgAAAAAAAPC/AkHxY8xdywDAAoDZPXlYqNW/AAAAABgAAAD8/AD8AAIAAAAAAADwvwJBguLHmLvzvwICTYQNT6/EPwAAAAAYAAAA/PwA/AACAAAAAAAA8L8CQYLix5i7878CoImw4emV8j8AAAAAGAAAAPz8APwAAgAAAAAAAPC/Av2H9NvXgde/AqGJsOHplfo/AAAAABgAAAD8/AD8AAIAAAAAAADwvwIK+aBns+rfPwKgibDh6ZXyPwAAAAAYAAAA/PwA/AACAAAAAAAA8L8CCvmgZ7Pq3z8CAk2EDU+vxD8AAAAAGAAAAPz8APwAAgAAAAAAAPC/Av2H9NvXgde/AoDZPXlYqNW/AAAAABgAAAD8/AD8AAIAAAAAAADwvwKEns2qz9X1PwKA2T15WKjVvwAAAAAcAAAA/PwA/AACAAAAAAAA8L8CkML1KFwPAEAC5fIf0m9f2z8AAAAAGAAAAPz8APwAAgAAAAAAAPC/Aj7o2az6XPA/AqabxCCwcvS/AAAAABgAAAD8/AD8AAIAAAAAAADwvwKQwvUoXA8AQAIIPZtVn6vxvwAAAAABEQAAAPz8APwAAgAAAAAAAPC/AvYoXI/CdQZAAgJNhA1Pr8Q/AAAAADQABAFlBAAAAAAAAAAABAgBZQQAAAAAAAAAAAgMAWUEAAAAAAAAAAAMEAFlCAgAAAAAAAAAEBQBZQQAAAAAAAAAABQYAWUICAAAAAAAAAAYHAFlBAAAAAAAAAAAHAgBZQgMAAAAAAAAABggAWUEAAAAAAAAAAAgJAFlBAAAAAAAAAAAICgBZQQAAAAAAAAAACgsAWUEAAAAAAAAAAAsIAFlBAAAAAAAAAAAAAAAAA==</t>
        </r>
      </text>
    </comment>
    <comment ref="A430" authorId="0" shapeId="0" xr:uid="{E40619A7-9EB0-41F5-A1C2-874B3431B3E8}">
      <text>
        <r>
          <rPr>
            <sz val="9"/>
            <color indexed="81"/>
            <rFont val="MS P ゴシック"/>
            <family val="3"/>
            <charset val="128"/>
          </rPr>
          <t>Insight iXlW00001C0000430R0585476093S00000858P01020LAocjBAQBF1NjaVRlZ2ljLmRhdGEuTW9sZWN1bGUBbwF/ARJTY2lUZWdpYy5Nb2xlY3VsZQAAAQFkAv5qAQAAAAIAAjQYAAAA/PwA/AACAAAAAAAA8L8Cxv6ye/IwB8ACBHgLJCh+6L8AAAAAIAAAAPz8APwAAgAAAAAAAPC/Asb+snvyMAPAAhALtaZ5x7k/AAAAABgAAAD8/AD8AAIAAAAAAADwvwKL/WX35GH2vwIQC7Wmece5PwAAAAAYAAAA/PwA/AACAAAAAAAA8L8CFvvL7snD7L8CBHgLJCh+6L8AAAAAGAAAAPz8APwAAgAAAAAAAPC/AlMnoImw4bk/AiIf9GxWfei/AAAAABgAAAD8/AD8AAIAAAAAAADwvwLrBDQRNjzjPwIQC7Wmece5PwAAAAAYAAAA/PwA/AACAAAAAAAA8L8CUyegibDhuT8C5WGh1jTv7j8AAAAAGAAAAPz8APwAAgAAAAAAAPC/Ahb7y+7Jw+y/AuVhodY07+4/AAAAABgAAAD8/AD8AAIAAAAAAADwvwJ1ApoIG575PwIQC7Wmece5PwAAAAAcAAAA/PwA/AACAAAAAAAA8L8CFGHD0ytl/D8Cku18PzVe8T8AAAAAGAAAAPz8APwAAgAAAAAAAPC/AhRhw9MrZfw/Al+YTBWMSuy/AAAAABgAAAD8/AD8AAIAAAAAAADwvwIWak3zjlMEQAIukKD4MebOvwAAAAABEQAAAPz8APwAAgAAAAAAAPC/An3Qs1n1uQpAAhALtaZ5x7k/AAAAADQABAFlBAAAAAAAAAAABAgBZQQAAAAAAAAAAAgMAWUIDAAAAAAAAAAMEAFlBAAAAAAAAAAAEBQBZQgIAAAAAAAAABQYAWUEAAAAAAAAAAAYHAFlCAgAAAAAAAAAHAgBZQQAAAAAAAAAABQgAWUEAAAAAAAAAAAgJAFlBAAAAAAAAAAAICgBZQQAAAAAAAAAACgsAWUEAAAAAAAAAAAsIAFlBAAAAAAAAAAAAAAAAA==</t>
        </r>
      </text>
    </comment>
    <comment ref="A431" authorId="0" shapeId="0" xr:uid="{664CECDC-8422-4421-A7CD-94F9E0EE9372}">
      <text>
        <r>
          <rPr>
            <sz val="9"/>
            <color indexed="81"/>
            <rFont val="MS P ゴシック"/>
            <family val="3"/>
            <charset val="128"/>
          </rPr>
          <t>Insight iXlW00001C0000431R0585476093S00000860P01088LAocjBAQBF1NjaVRlZ2ljLmRhdGEuTW9sZWN1bGUBbwF/ARJTY2lUZWdpYy5Nb2xlY3VsZQAAAQFkAv5qAQAAAAIAAjgYAAAA/PwA/AACAAAAAAAA8L8C6wQ0ETa8AkACCKwcWmQ74T8AAAAAIAAAAPz8APwAAgAAAAAAAPC/ApOpglFJnfc/AoPAyqFFtqM/AAAAABgAAAD8/AD8AAIAAAAAAADwvwLBOSNKe4PjPwIIrBxaZDvhPwAAAAAYAAAA/PwA/AACAAAAAAAA8L8CwTkjSnuD4z8CBFYOLbKd+D8AAAAAGAAAAPz8APwAAgAAAAAAAPC/AoUNT6+UZdC/AgIrhxbZTgBAAAAAABgAAAD8/AD8AAIAAAAAAADwvwKjI7n8h/TxvwIEVg4tsp34PwAAAAAYAAAA/PwA/AACAAAAAAAA8L8CoyO5/If08b8CCKwcWmQ74T8AAAAAGAAAAPz8APwAAgAAAAAAAPC/AoUNT6+UZdC/AoPAyqFFtqM/AAAAABgAAAD8/AD8AAIAAAAAAADwvwKFDU+vlGXQvwL4U+Olm8TuvwAAAAAcAAAA/PwA/AACAAAAAAAA8L8CPnlYqDXN5z8C+FPjpZvE7r8AAAAAGAAAAPz8APwAAgAAAAAAAPC/AoUNT6+UZdC/Avyp8dJNYv+/AAAAABgAAAD8/AD8AAIAAAAAAADwvwJhw9MrZRn0vwL8qfHSTWL/vwAAAAAYAAAA/PwA/AACAAAAAAAA8L8CYcPTK2UZ9L8C+FPjpZvE7r8AAAAAAREAAAD8/AD8AAIAAAAAAADwvwJRa5p3nCIJQAKDwMqhRbajPwAAAAA4AAQBZQQAAAAAAAAAAAQIAWUEAAAAAAAAAAAIDAFlCAwAAAAAAAAADBABZQQAAAAAAAAAABAUAWUICAAAAAAAAAAUGAFlBAAAAAAAAAAAGBwBZQgIAAAAAAAAABwIAWUEAAAAAAAAAAAcIAFlBAAAAAAAAAAAICQBZQQAAAAAAAAAACAoAWUEAAAAAAAAAAAoLAFlBAAAAAAAAAAALDABZQQAAAAAAAAAADAgAWUEAAAAAAAAAAAAAAAA</t>
        </r>
      </text>
    </comment>
    <comment ref="A432" authorId="0" shapeId="0" xr:uid="{20F9A2D1-20FD-4674-BCF8-4762DF06FA3D}">
      <text>
        <r>
          <rPr>
            <sz val="9"/>
            <color indexed="81"/>
            <rFont val="MS P ゴシック"/>
            <family val="3"/>
            <charset val="128"/>
          </rPr>
          <t>Insight iXlW00001C0000432R0585476093S00000862P01088LAocjBAQBF1NjaVRlZ2ljLmRhdGEuTW9sZWN1bGUBbwF/ARJTY2lUZWdpYy5Nb2xlY3VsZQAAAQFkAv5qAQAAAAIAAjgYAAAA/PwA/AACAAAAAAAA8L8CHVpkO9/PAcACswxxrIvb878AAAAAIAAAAPz8APwAAgAAAAAAAPC/Ah1aZDvfzwHAApVliGNd3M6/AAAAABgAAAD8/AD8AAIAAAAAAADwvwL4U+Olm8T1vwI2zTtO0ZHQPwAAAAAYAAAA/PwA/AACAAAAAAAA8L8C+FPjpZvE9b8CTvOOU3Qk9D8AAAAAGAAAAPz8APwAAgAAAAAAAPC/AtrO91Pjpd+/Ak7zjlN0JPw/AAAAABgAAAD8/AD8AAIAAAAAAADwvwItsp3vp8bXPwJO845TdCT0PwAAAAAYAAAA/PwA/AACAAAAAAAA8L8CLbKd76fG1z8CNs07TtGR0D8AAAAAGAAAAPz8APwAAgAAAAAAAPC/AtrO91Pjpd+/ApVliGNd3M6/AAAAABgAAAD8/AD8AAIAAAAAAADwvwI+eVioNc3zPwKVZYhjXdzOvwAAAAAcAAAA/PwA/AACAAAAAAAA8L8CPnlYqDXN+z8CAAAAAAAA5D8AAAAAGAAAAPz8APwAAgAAAAAAAPC/AsDsnjws1ABAAmUZ4lgXt+e/AAAAABgAAAD8/AD8AAIAAAAAAADwvwKA2T15WKj5PwL0bFZ9rrb5vwAAAAAYAAAA/PwA/AACAAAAAAAA8L8CfPKwUGua5z8C9GxWfa628b8AAAAAAREAAAD8/AD8AAIAAAAAAADwvwImUwWjkjoHQALLMsSxLm6zPwAAAAA4AAQBZQQAAAAAAAAAAAQIAWUEAAAAAAAAAAAIDAFlBAAAAAAAAAAADBABZQgIAAAAAAAAABAUAWUEAAAAAAAAAAAUGAFlCAgAAAAAAAAAGBwBZQQAAAAAAAAAABwIAWUIDAAAAAAAAAAYIAFlBAAAAAAAAAAAICQBZQQAAAAAAAAAACAoAWUEAAAAAAAAAAAoLAFlBAAAAAAAAAAALDABZQQAAAAAAAAAADAgAWUEAAAAAAAAAAAAAAAA</t>
        </r>
      </text>
    </comment>
    <comment ref="A433" authorId="0" shapeId="0" xr:uid="{714A95D9-49B1-47A0-A96D-5A7FFB5E6ACB}">
      <text>
        <r>
          <rPr>
            <sz val="9"/>
            <color indexed="81"/>
            <rFont val="MS P ゴシック"/>
            <family val="3"/>
            <charset val="128"/>
          </rPr>
          <t>Insight iXlW00001C0000433R0585476093S00000864P01088LAocjBAQBF1NjaVRlZ2ljLmRhdGEuTW9sZWN1bGUBbwF/ARJTY2lUZWdpYy5Nb2xlY3VsZQAAAQFkAv5qAQAAAAIAAjgYAAAA/PwA/AACAAAAAAAA8L8CzH9Iv32dCMACH4XrUbge578AAAAAIAAAAPz8APwAAgAAAAAAAPC/Asx/SL99nQTAApLtfD81XsI/AAAAABgAAAD8/AD8AAIAAAAAAADwvwKX/5B++zr5vwKS7Xw/NV7CPwAAAAAYAAAA/PwA/AACAAAAAAAA8L8Cl/+Qfvs68b8CH4XrUbge578AAAAAGAAAAPz8APwAAgAAAAAAAPC/AnP5D+m3r7O/Ah+F61G4Hue/AAAAABgAAAD8/AD8AAIAAAAAAADwvwKkAbwFEhTbPwIaUdobfGHCPwAAAAAYAAAA/PwA/AACAAAAAAAA8L8Cc/kP6bevs78CZapgVFIn8D8AAAAAGAAAAPz8APwAAgAAAAAAAPC/Apf/kH77OvG/AmWqYFRSJ/A/AAAAABgAAAD8/AD8AAIAAAAAAADwvwJpAG+BBMX2PwKS7Xw/NV7CPwAAAAAcAAAA/PwA/AACAAAAAAAA8L8CaQBvgQTF9j8Csp3vp8ZL8j8AAAAAGAAAAPz8APwAAgAAAAAAAPC/AjWAt0CCYgNAApLtfD81XsI/AAAAABgAAAD8/AD8AAIAAAAAAADwvwI1gLdAgmIDQAKcxCCwcmjrvwAAAAAYAAAA/PwA/AACAAAAAAAA8L8CaQBvgQTF9j8CnMQgsHJo678AAAAAAREAAAD8/AD8AAIAAAAAAADwvwKb5h2n6MgJQAKS7Xw/NV7CPwAAAAA4AAQBZQQAAAAAAAAAAAQIAWUEAAAAAAAAAAAIDAFlCAwAAAAAAAAADBABZQQAAAAAAAAAABAUAWUICAAAAAAAAAAUGAFlBAAAAAAAAAAAGBwBZQgIAAAAAAAAABwIAWUEAAAAAAAAAAAUIAFlBAAAAAAAAAAAICQBZQQAAAAAAAAAACAoAWUEAAAAAAAAAAAoLAFlBAAAAAAAAAAALDABZQQAAAAAAAAAADAgAWUEAAAAAAAAAAAAAAAA</t>
        </r>
      </text>
    </comment>
    <comment ref="A434" authorId="0" shapeId="0" xr:uid="{E9E770FF-0A0D-4373-A2E8-E05CC0DDE4A3}">
      <text>
        <r>
          <rPr>
            <sz val="9"/>
            <color indexed="81"/>
            <rFont val="MS P ゴシック"/>
            <family val="3"/>
            <charset val="128"/>
          </rPr>
          <t>Insight iXlW00001C0000434R0585476093S00000866P01016LAocjBAQBF1NjaVRlZ2ljLmRhdGEuTW9sZWN1bGUBbwF/ARJTY2lUZWdpYy5Nb2xlY3VsZQAAAQFkAv5qAQAAAAIAAjQYAAAA/PwA/AACAAAAAAAA8L8CZapgVFIn5j8CseHplbIMwb8AAAAAGAAAAPz8APwAAgAAAAAAAPC/AjerPldbsdO/ArHh6ZWyDMG/AAAAABgAAAD8/AD8AAIAAAAAAADwvwIzVTAqqRP7PwKx4emVsgzBvwAAAAAYAAAA/PwA/AACAAAAAAAA8L8CnFWfq63Y6b8CF0hQ/Bhz5z8AAAAAIAAAAPz8APwAAgAAAAAAAPC/ApkqGJXUiQFAAhdIUPwYc+c/AAAAACAAAAD8/AD8AAIAAAAAAADwvwKZKhiV1IkBQALSkVz+Q/rvvwAAAAAkAAAA/PwA/AACAAAAAAAA8L8CN6s+V1ux078CTYQNT6+U+T8AAAAAGAAAAPz8APwAAgAAAAAAAPC/AmWqYFRSJ+Y/ApSHhVrTvOs/AAAAABgAAAD8/AD8AAIAAAAAAADwvwJlqmBUUifmPwI2PL1SliHyvwAAAAAYAAAA/PwA/AACAAAAAAAA8L8CnFWfq63Y6b8C8DhFR3L5778AAAAAGAAAAPz8APwAAgAAAAAAAPC/As6qz9VW7Py/AhdIUPwYc+c/AAAAABgAAAD8/AD8AAIAAAAAAADwvwLOqs/VVuz8vwLwOEVHcvnvvwAAAAAYAAAA/PwA/AACAAAAAAAA8L8CZ9Xnait2AsACseHplbIMwb8AAAAANAQAAWUEAAAAAAAAAAAIAAFlBAAAAAAAAAAADAQBZQQAAAAAAAAAABAIAWUIAAAAAAAAAAAUCAFlBAAAAAAAAAAAGAwBZQQAAAAAAAAAABwAAWUEAAAAAAAAAAAgAAFlBAAAAAAAAAAAJAQBZQgMAAAAAAAAACgMAWUICAAAAAAAAAAsJAFlBAAAAAAAAAAAMCwBZQgIAAAAAAAAADAoAWUEAAAAAAAAAAAAAAAA</t>
        </r>
      </text>
    </comment>
    <comment ref="A435" authorId="0" shapeId="0" xr:uid="{A5DE2DD4-B89D-4CEE-B93C-BD73340067E5}">
      <text>
        <r>
          <rPr>
            <sz val="9"/>
            <color indexed="81"/>
            <rFont val="MS P ゴシック"/>
            <family val="3"/>
            <charset val="128"/>
          </rPr>
          <t>Insight iXlW00001C0000435R0585476093S00000868P01036LAocjBAQBF1NjaVRlZ2ljLmRhdGEuTW9sZWN1bGUBbwF/ARJTY2lUZWdpYy5Nb2xlY3VsZQAAAQFkAv5qAQAAAAIAAjQYAAAA/PwA/AACAAAAAAAA8L8CvAUSFD/G5j8Cd08eFmpN3z8AAAAAGAAAAPz8APwAAgAAAAAAAPC/AmIyVTAqqdc/ApVliGNd3PY/AAAAABgAAAD8/AD8AAIAAAAAAADwvwJ56SYxCKz1PwL3Bl+YTBX0PwAAAAAYAAAA/PwA/AACAAAAAAAA8L8CHeviNhrAw78CNBE2PL1Shr8AAAAAGAAAAPz8APwAAgAAAAAAAPC/AnnpJjEIrPU/AirLEMe6uNG/AAAAABgAAAD8/AD8AAIAAAAAAADwvwKlvcEXJlPwvwJ3Tx4Wak3fPwAAAAAgAAAA/PwA/AACAAAAAAAA8L8CLUMc6+K2AkACxEKtad5xur8AAAAAIAAAAPz8APwAAgAAAAAAAPC/AjMzMzMzM/A/AoIExY8xd/O/AAAAACQAAAD8/AD8AAIAAAAAAADwvwKlvcEXJlPwvwLek4eFWtP3PwAAAAAYAAAA/PwA/AACAAAAAAAA8L8CHeviNhrAw78CI2x4eqUs8L8AAAAAGAAAAPz8APwAAgAAAAAAAPC/Aucdp+hILv6/AjQRNjy9Uoa/AAAAABgAAAD8/AD8AAIAAAAAAADwvwKlvcEXJlPwvwIjbHh6pSz4vwAAAAAYAAAA/PwA/AACAAAAAAAA8L8CWMoyxLEu/r8CI2x4eqUs8L8AAAAAOAQAAWUEAAAAAAAAAAAIAAFlBAAAAAAAAAAADAABZQQAAAAAAAAAABAAAWUEAAAAAAAAAAAUDAFlBAAAAAAAAAAAGBABZQgAAAAAAAAAABwQAWUEAAAAAAAAAAAgFAFlBAAAAAAAAAAAJAwBZQgMAAAAAAAAACgUAWUICAAAAAAAAAAsJAFlBAAAAAAAAAAAMCwBZQgIAAAAAAAAAAgEAWUEAAAAAAAAAAAwKAFlBAAAAAAAAAAAAAAAAA==</t>
        </r>
      </text>
    </comment>
    <comment ref="A436" authorId="0" shapeId="0" xr:uid="{FB466C1C-6471-4B68-BEA0-0F9820A12BC5}">
      <text>
        <r>
          <rPr>
            <sz val="9"/>
            <color indexed="81"/>
            <rFont val="MS P ゴシック"/>
            <family val="3"/>
            <charset val="128"/>
          </rPr>
          <t>Insight iXlW00001C0000436R0585476093S00000870P01036LAocjBAQBF1NjaVRlZ2ljLmRhdGEuTW9sZWN1bGUBbwF/ARJTY2lUZWdpYy5Nb2xlY3VsZQAAAQFkAv5qAQAAAAIAAjQYAAAA/PwA/AACAAAAAAAA8L8C87BQa5p38T8CZhniWBe3yb8AAAAAGAAAAPz8APwAAgAAAAAAAPC/ApEPejarPvQ/Ag3gLZCg+PK/AAAAABgAAAD8/AD8AAIAAAAAAADwvwJVwaikTkAAQALHSzeJQWDhvwAAAAAYAAAA/PwA/AACAAAAAAAA8L8CkQ96Nqs+9D8CaLPqc7UV6T8AAAAAGAAAAPz8APwAAgAAAAAAAPC/AigPC7Wmebc/AmYZ4lgXt8m/AAAAACAAAAD8/AD8AAIAAAAAAADwvwKjI7n8h/TfPwJPQBNhw9P2PwAAAAAYAAAA/PwA/AACAAAAAAAA8L8CNjy9UpYh2r8C30+Nl24S8b8AAAAAGAAAAPz8APwAAgAAAAAAAPC/AjY8vVKWIdq/Aio6kst/SOU/AAAAACAAAAD8/AD8AAIAAAAAAADwvwKkcD0K16MBQAL6D+m3rwPyPwAAAAAYAAAA/PwA/AACAAAAAAAA8L8CDk+vlGWI/r8C7nw/NV66yb8AAAAAGAAAAPz8APwAAgAAAAAAAPC/Ag5Pr5RliPa/At9PjZduEvG/AAAAABgAAAD8/AD8AAIAAAAAAADwvwIOT6+UZYj2vwIqOpLLf0jlPwAAAAAkAAAA/PwA/AACAAAAAAAA8L8Ch6dXyjJEB8AC7nw/NV66yb8AAAAAOAQAAWUEAAAAAAAAAAAIAAFlBAAAAAAAAAAADAABZQQAAAAAAAAAABAAAWUEAAAAAAAAAAAUDAFlCAAAAAAAAAAAGBABZQQAAAAAAAAAABwQAWUIDAAAAAAAAAAgDAFlBAAAAAAAAAAAJCwBZQgMAAAAAAAAACgYAWUICAAAAAAAAAAsHAFlBAAAAAAAAAAAMCQBZQQAAAAAAAAAAAgEAWUEAAAAAAAAAAAkKAFlBAAAAAAAAAAAAAAAAA==</t>
        </r>
      </text>
    </comment>
    <comment ref="A437" authorId="0" shapeId="0" xr:uid="{96D7E113-6D96-4DED-9D35-1B1E2D2316EE}">
      <text>
        <r>
          <rPr>
            <sz val="9"/>
            <color indexed="81"/>
            <rFont val="MS P ゴシック"/>
            <family val="3"/>
            <charset val="128"/>
          </rPr>
          <t>Insight iXlW00001C0000437R0585476093S00000872P01104LAocjBAQBF1NjaVRlZ2ljLmRhdGEuTW9sZWN1bGUBbwF/ARJTY2lUZWdpYy5Nb2xlY3VsZQAAAQFkAv5qAQAAAAIAAjgYAAAA/PwA/AACAAAAAAAA8L8C6dms+lxt6T8Cn14pyxDH3r8AAAAAGAAAAPz8APwAAgAAAAAAAPC/AvRsVn2utvQ/Ai3UmuYdp9g/AAAAABgAAAD8/AD8AAIAAAAAAADwvwLXNO84RUeyvwIfFmpN846TPwAAAAAYAAAA/PwA/AACAAAAAAAA8L8CHqfoSC7/7b8Cn14pyxDH3r8AAAAAIAAAAPz8APwAAgAAAAAAAPC/AunZrPpcbek/Ak0VjErqBPQ/AAAAACAAAAD8/AD8AAIAAAAAAADwvwJ6Nqs+V1sCQAIt1JrmHafYPwAAAAAYAAAA/PwA/AACAAAAAAAA8L8C0bNZ9bna/L8CHxZqTfOOkz8AAAAAJAAAAPz8APwAAgAAAAAAAPC/AkJg5dAiWwXAAp9eKcsQx96/AAAAABgAAAD8/AD8AAIAAAAAAADwvwI2zTtO0ZH6PwJPr5RliGPvvwAAAAAYAAAA/PwA/AACAAAAAAAA8L8C0bNZ9bna0j8C6bevA+eM9b8AAAAAGAAAAPz8APwAAgAAAAAAAPC/Atc07zhFR7K/AlmoNc07TvA/AAAAABgAAAD8/AD8AAIAAAAAAADwvwIep+hILv/tvwJZqDXNO074PwAAAAAYAAAA/PwA/AACAAAAAAAA8L8CNs07TtGR8j8C6bevA+eM/b8AAAAAGAAAAPz8APwAAgAAAAAAAPC/AtGzWfW52vy/AlmoNc07TvA/AAAAADwEAAFlBAAAAAAAAAAACAABZQQAAAAAAAAAAAwIAWUEAAAAAAAAAAAQBAFlCAAAAAAAAAAAFAQBZQQAAAAAAAAAABgMAWUIDAAAAAAAAAAcGAFlBAAAAAAAAAAAIAABZQQAAAAAAAAAACQAAWUEAAAAAAAAAAAoCAFlCAwAAAAAAAAALCgBZQQAAAAAAAAAADAkAWUEAAAAAAAAAAA0LAFlCAgAAAAAAAAAMCABZQQAAAAAAAAAADQYAWUEAAAAAAAAAAAAAAAA</t>
        </r>
      </text>
    </comment>
    <comment ref="A438" authorId="0" shapeId="0" xr:uid="{567EA4A3-2CBB-4486-893E-F14DE96E86CD}">
      <text>
        <r>
          <rPr>
            <sz val="9"/>
            <color indexed="81"/>
            <rFont val="MS P ゴシック"/>
            <family val="3"/>
            <charset val="128"/>
          </rPr>
          <t>Insight iXlW00001C0000438R0585476093S00000874P01064LAocjBAQBF1NjaVRlZ2ljLmRhdGEuTW9sZWN1bGUBbwF/ARJTY2lUZWdpYy5Nb2xlY3VsZQAAAQFkAv5qAQAAAAIAAjgYAAAA/PwA/AACAAAAAAAA8L8BAl+YTBWMSsK/AAAAABgAAAD8/AD8AAIAAAAAAADwvwEC6dms+lxt6z8AAAAAGAAAAPz8APwAAgAAAAAAAPC/AALXNO84RUfCvwAAAAAgAAAA/PwA/AACAAAAAAAA8L8C9P3UeOkmwT8CZRniWBe39T8AAAAAGAAAAPz8APwAAgAAAAAAAPC/AgAAAAAAAOC/Ak7zjlN0JPC/AAAAABgAAAD8/AD8AAIAAAAAAADwvwIAAAAAAADgvwJO845TdCTnPwAAAAAgAAAA/PwA/AACAAAAAAAA8L8CQmDl0CLb/T8C9GxWfa629T8AAAAAGAAAAPz8APwAAgAAAAAAAPC/AgAAAAAAAADAAl+YTBWMSsK/AAAAABgAAAD8/AD8AAIAAAAAAADwvwIAAAAAAAD4vwJO845TdCTwvwAAAAAYAAAA/PwA/AACAAAAAAAA8L8CAAAAAAAA+L8CTvOOU3Qk5z8AAAAAJAAAAPz8APwAAgAAAAAAAPC/AgAAAAAAAAjAAl+YTBWMSsK/AAAAABgAAAD8/AD8AAIAAAAAAADwvwIAAAAAAAAAQAJfmEwVjErCvwAAAAAYAAAA/PwA/AACAAAAAAAA8L8BAgyTqYJRSfK/AAAAABgAAAD8/AD8AAIAAAAAAADwvwIAAAAAAAAAQAIMk6mCUUnyvwAAAAA8BAABZQQAAAAAAAAAAAgAAWUEAAAAAAAAAAAMBAFlCAAAAAAAAAAAEAgBZQgMAAAAAAAAABQIAWUEAAAAAAAAAAAYBAFlBAAAAAAAAAAAHCQBZQQAAAAAAAAAACAQAWUEAAAAAAAAAAAkFAFlCAgAAAAAAAAAKBwBZQQAAAAAAAAAACwAAWUEAAAAAAAAAAAwAAFlBAAAAAAAAAAANDABZQQAAAAAAAAAADQsAWUEAAAAAAAAAAAcIAFlCAgAAAAAAAAAAAAAAA==</t>
        </r>
      </text>
    </comment>
    <comment ref="A439" authorId="0" shapeId="0" xr:uid="{7EBAFFE5-4373-4376-9083-ABFEA5386089}">
      <text>
        <r>
          <rPr>
            <sz val="9"/>
            <color indexed="81"/>
            <rFont val="MS P ゴシック"/>
            <family val="3"/>
            <charset val="128"/>
          </rPr>
          <t>Insight iXlW00001C0000439R0585476093S00000876P01020LAocjBAQBF1NjaVRlZ2ljLmRhdGEuTW9sZWN1bGUBbwF/ARJTY2lUZWdpYy5Nb2xlY3VsZQAAAQFkAv5qAQAAAAIAAjQYAAAA/PwA/AACAAAAAAAA8L8CZapgVFIn5j8CseHplbIMwb8AAAAAGAAAAPz8APwAAgAAAAAAAPC/AjerPldbsdO/ArHh6ZWyDMG/AAAAABgAAAD8/AD8AAIAAAAAAADwvwIzVTAqqRP7PwKx4emVsgzBvwAAAAAYAAAA/PwA/AACAAAAAAAA8L8CnFWfq63Y6b8CF0hQ/Bhz5z8AAAAAIAAAAPz8APwAAgAAAAAAAPC/ApkqGJXUiQFAAhdIUPwYc+c/AAAAACAAAAD8/AD8AAIAAAAAAADwvwKZKhiV1IkBQALSkVz+Q/rvvwAAAAABEQAAAPz8APwAAgAAAAAAAPC/AjerPldbsdO/Ak2EDU+vlPk/AAAAABgAAAD8/AD8AAIAAAAAAADwvwJlqmBUUifmPwKUh4Va07zrPwAAAAAYAAAA/PwA/AACAAAAAAAA8L8CZapgVFIn5j8CNjy9UpYh8r8AAAAAGAAAAPz8APwAAgAAAAAAAPC/ApxVn6ut2Om/AvA4RUdy+e+/AAAAABgAAAD8/AD8AAIAAAAAAADwvwLOqs/VVuz8vwIXSFD8GHPnPwAAAAAYAAAA/PwA/AACAAAAAAAA8L8CzqrP1Vbs/L8C8DhFR3L5778AAAAAGAAAAPz8APwAAgAAAAAAAPC/AmfV52ordgLAArHh6ZWyDMG/AAAAADQEAAFlBAAAAAAAAAAACAABZQQAAAAAAAAAAAwEAWUEAAAAAAAAAAAQCAFlCAAAAAAAAAAAFAgBZQQAAAAAAAAAABgMAWUEAAAAAAAAAAAcAAFlBAAAAAAAAAAAIAABZQQAAAAAAAAAACQEAWUIDAAAAAAAAAAoDAFlCAgAAAAAAAAALCQBZQQAAAAAAAAAADAsAWUICAAAAAAAAAAwKAFlBAAAAAAAAAAAAAAAAA==</t>
        </r>
      </text>
    </comment>
    <comment ref="A440" authorId="0" shapeId="0" xr:uid="{B8A83D2E-BA15-4341-8EEA-4A66A950B4C5}">
      <text>
        <r>
          <rPr>
            <sz val="9"/>
            <color indexed="81"/>
            <rFont val="MS P ゴシック"/>
            <family val="3"/>
            <charset val="128"/>
          </rPr>
          <t>Insight iXlW00001C0000440R0585476093S00000878P01108LAocjBAQBF1NjaVRlZ2ljLmRhdGEuTW9sZWN1bGUBbwF/ARJTY2lUZWdpYy5Nb2xlY3VsZQAAAQFkAv5qAQAAAAIAAjgYAAAA/PwA/AACAAAAAAAA8L8CmpmZmZmZmT8CvsEXJlMF6b8AAAAAGAAAAPz8APwAAgAAAAAAAPC/ApqZmZmZmZk/Agr5oGez6ss/AAAAABgAAAD8/AD8AAIAAAAAAADwvwI0MzMzMzPvvwK+wRcmUwXpvwAAAAAYAAAA/PwA/AACAAAAAAAA8L8CUI2XbhKD7D8CQz7o2az65j8AAAAAIAAAAPz8APwAAgAAAAAAAPC/ApqZmZmZmfe/ApLtfD81Xvq/AAAAACAAAAD8/AD8AAIAAAAAAADwvwIooImw4en4vwLfcYqO5PKfPwAAAAABEQAAAPz8APwAAgAAAAAAAPC/AuomMQisHPw/Agr5oGez6ss/AAAAABgAAAD8/AD8AAIAAAAAAADwvwKamZmZmZmZPwLf4AuTqYL8vwAAAAAYAAAA/PwA/AACAAAAAAAA8L8CZ2ZmZmZm8D8CvsEXJlMF6b8AAAAAGAAAAPz8APwAAgAAAAAAAPC/Arfz/dR46eq/AkM+6Nms+uY/AAAAABgAAAD8/AD8AAIAAAAAAADwvwJnZmZmZmbwPwLf4AuTqYL8vwAAAAAYAAAA/PwA/AACAAAAAAAA8L8CUI2XbhKD7D8CIh/0bFZ9+z8AAAAAGAAAAPz8APwAAgAAAAAAAPC/Arfz/dR46eq/AiIf9GxWffs/AAAAABgAAAD8/AD8AAIAAAAAAADwvwKamZmZmZmZPwKRD3o2q74BQAAAAAA8BAABZQQAAAAAAAAAAAgAAWUEAAAAAAAAAAAMBAFlBAAAAAAAAAAAEAgBZQgAAAAAAAAAABQIAWUEAAAAAAAAAAAYDAFlBAAAAAAAAAAAHAABZQQAAAAAAAAAACAAAWUEAAAAAAAAAAAkBAFlCAwAAAAAAAAAKCABZQQAAAAAAAAAACwMAWUICAAAAAAAAAAwJAFlBAAAAAAAAAAANDABZQgIAAAAAAAAACgcAWUEAAAAAAAAAAA0LAFlBAAAAAAAAAAAAAAAAA==</t>
        </r>
      </text>
    </comment>
    <comment ref="A441" authorId="0" shapeId="0" xr:uid="{C9C138B8-FC57-4202-B2C3-8F27D0F17884}">
      <text>
        <r>
          <rPr>
            <sz val="9"/>
            <color indexed="81"/>
            <rFont val="MS P ゴシック"/>
            <family val="3"/>
            <charset val="128"/>
          </rPr>
          <t>Insight iXlW00001C0000441R0585476093S00000880P01020LAocjBAQBF1NjaVRlZ2ljLmRhdGEuTW9sZWN1bGUBbwF/ARJTY2lUZWdpYy5Nb2xlY3VsZQAAAQFkAv5qAQAAAAIAAjQYAAAA/PwA/AACAAAAAAAA8L8CZapgVFIn5j8CseHplbIMwb8AAAAAGAAAAPz8APwAAgAAAAAAAPC/AjerPldbsdO/ArHh6ZWyDMG/AAAAABgAAAD8/AD8AAIAAAAAAADwvwIzVTAqqRP7PwKx4emVsgzBvwAAAAAYAAAA/PwA/AACAAAAAAAA8L8CnFWfq63Y6b8CF0hQ/Bhz5z8AAAAAIAAAAPz8APwAAgAAAAAAAPC/ApkqGJXUiQFAAhdIUPwYc+c/AAAAACAAAAD8/AD8AAIAAAAAAADwvwKZKhiV1IkBQALSkVz+Q/rvvwAAAAABIwAAAPz8APwAAgAAAAAAAPC/AjerPldbsdO/Ak2EDU+vlPk/AAAAABgAAAD8/AD8AAIAAAAAAADwvwJlqmBUUifmPwKUh4Va07zrPwAAAAAYAAAA/PwA/AACAAAAAAAA8L8CZapgVFIn5j8CNjy9UpYh8r8AAAAAGAAAAPz8APwAAgAAAAAAAPC/ApxVn6ut2Om/AvA4RUdy+e+/AAAAABgAAAD8/AD8AAIAAAAAAADwvwLOqs/VVuz8vwIXSFD8GHPnPwAAAAAYAAAA/PwA/AACAAAAAAAA8L8CzqrP1Vbs/L8C8DhFR3L5778AAAAAGAAAAPz8APwAAgAAAAAAAPC/AmfV52ordgLAArHh6ZWyDMG/AAAAADQEAAFlBAAAAAAAAAAACAABZQQAAAAAAAAAAAwEAWUEAAAAAAAAAAAQCAFlCAAAAAAAAAAAFAgBZQQAAAAAAAAAABgMAWUEAAAAAAAAAAAcAAFlBAAAAAAAAAAAIAABZQQAAAAAAAAAACQEAWUIDAAAAAAAAAAoDAFlCAgAAAAAAAAALCQBZQQAAAAAAAAAADAsAWUICAAAAAAAAAAwKAFlBAAAAAAAAAAAAAAAAA==</t>
        </r>
      </text>
    </comment>
    <comment ref="A442" authorId="0" shapeId="0" xr:uid="{2115CB4E-F03C-464D-BC2F-4797721A239A}">
      <text>
        <r>
          <rPr>
            <sz val="9"/>
            <color indexed="81"/>
            <rFont val="MS P ゴシック"/>
            <family val="3"/>
            <charset val="128"/>
          </rPr>
          <t>Insight iXlW00001C0000442R0585476093S00000882P01108LAocjBAQBF1NjaVRlZ2ljLmRhdGEuTW9sZWN1bGUBbwF/ARJTY2lUZWdpYy5Nb2xlY3VsZQAAAQFkAv5qAQAAAAIAAjgYAAAA/PwA/AACAAAAAAAA8L8C6dms+lxt6T8Cn14pyxDH3r8AAAAAGAAAAPz8APwAAgAAAAAAAPC/AvRsVn2utvQ/Ai3UmuYdp9g/AAAAABgAAAD8/AD8AAIAAAAAAADwvwLXNO84RUeyvwIfFmpN846TPwAAAAAYAAAA/PwA/AACAAAAAAAA8L8CHqfoSC7/7b8Cn14pyxDH3r8AAAAAIAAAAPz8APwAAgAAAAAAAPC/AunZrPpcbek/Ak0VjErqBPQ/AAAAACAAAAD8/AD8AAIAAAAAAADwvwJ6Nqs+V1sCQAIt1JrmHafYPwAAAAAYAAAA/PwA/AACAAAAAAAA8L8C0bNZ9bna/L8CHxZqTfOOkz8AAAAAASMAAAD8/AD8AAIAAAAAAADwvwJCYOXQIlsFwAKfXinLEMfevwAAAAAYAAAA/PwA/AACAAAAAAAA8L8CNs07TtGR+j8CT6+UZYhj778AAAAAGAAAAPz8APwAAgAAAAAAAPC/AtGzWfW52tI/Aum3rwPnjPW/AAAAABgAAAD8/AD8AAIAAAAAAADwvwLXNO84RUeyvwJZqDXNO07wPwAAAAAYAAAA/PwA/AACAAAAAAAA8L8CHqfoSC7/7b8CWag1zTtO+D8AAAAAGAAAAPz8APwAAgAAAAAAAPC/AjbNO07RkfI/Aum3rwPnjP2/AAAAABgAAAD8/AD8AAIAAAAAAADwvwLRs1n1udr8vwJZqDXNO07wPwAAAAA8BAABZQQAAAAAAAAAAAgAAWUEAAAAAAAAAAAMCAFlBAAAAAAAAAAAEAQBZQgAAAAAAAAAABQEAWUEAAAAAAAAAAAYDAFlCAwAAAAAAAAAHBgBZQQAAAAAAAAAACAAAWUEAAAAAAAAAAAkAAFlBAAAAAAAAAAAKAgBZQgMAAAAAAAAACwoAWUEAAAAAAAAAAAwJAFlBAAAAAAAAAAANCwBZQgIAAAAAAAAADAgAWUEAAAAAAAAAAA0GAFlBAAAAAAAAAAAAAAAAA==</t>
        </r>
      </text>
    </comment>
    <comment ref="A443" authorId="0" shapeId="0" xr:uid="{71393F1A-1A8B-4575-991A-A4BFA553E942}">
      <text>
        <r>
          <rPr>
            <sz val="9"/>
            <color indexed="81"/>
            <rFont val="MS P ゴシック"/>
            <family val="3"/>
            <charset val="128"/>
          </rPr>
          <t>Insight iXlW00001C0000443R0585476093S00000884P01064LAocjBAQBF1NjaVRlZ2ljLmRhdGEuTW9sZWN1bGUBbwF/ARJTY2lUZWdpYy5Nb2xlY3VsZQAAAQFkAv5qAQAAAAIAAjgYAAAA/PwA/AACAAAAAAAA8L8BAl+YTBWMSsK/AAAAABgAAAD8/AD8AAIAAAAAAADwvwEC6dms+lxt6z8AAAAAGAAAAPz8APwAAgAAAAAAAPC/AALXNO84RUfCvwAAAAAgAAAA/PwA/AACAAAAAAAA8L8C9P3UeOkmwT8CZRniWBe39T8AAAAAGAAAAPz8APwAAgAAAAAAAPC/AgAAAAAAAOC/Ak7zjlN0JPC/AAAAABgAAAD8/AD8AAIAAAAAAADwvwIAAAAAAADgvwJO845TdCTnPwAAAAAgAAAA/PwA/AACAAAAAAAA8L8CQmDl0CLb/T8C9GxWfa629T8AAAAAGAAAAPz8APwAAgAAAAAAAPC/AgAAAAAAAADAAl+YTBWMSsK/AAAAABgAAAD8/AD8AAIAAAAAAADwvwIAAAAAAAD4vwJO845TdCTwvwAAAAAYAAAA/PwA/AACAAAAAAAA8L8CAAAAAAAA+L8CTvOOU3Qk5z8AAAAAASMAAAD8/AD8AAIAAAAAAADwvwIAAAAAAAAIwAJfmEwVjErCvwAAAAAYAAAA/PwA/AACAAAAAAAA8L8CAAAAAAAAAEACX5hMFYxKwr8AAAAAGAAAAPz8APwAAgAAAAAAAPC/AQIMk6mCUUnyvwAAAAAYAAAA/PwA/AACAAAAAAAA8L8CAAAAAAAAAEACDJOpglFJ8r8AAAAAPAQAAWUEAAAAAAAAAAAIAAFlBAAAAAAAAAAADAQBZQgAAAAAAAAAABAIAWUIDAAAAAAAAAAUCAFlBAAAAAAAAAAAGAQBZQQAAAAAAAAAABwkAWUEAAAAAAAAAAAgEAFlBAAAAAAAAAAAJBQBZQgIAAAAAAAAACgcAWUEAAAAAAAAAAAsAAFlBAAAAAAAAAAAMAABZQQAAAAAAAAAADQwAWUEAAAAAAAAAAA0LAFlBAAAAAAAAAAAHCABZQgIAAAAAAAAAAAAAAA=</t>
        </r>
      </text>
    </comment>
    <comment ref="A444" authorId="0" shapeId="0" xr:uid="{FCD4CF4D-9F0A-4774-8DA5-37BFA97A4716}">
      <text>
        <r>
          <rPr>
            <sz val="9"/>
            <color indexed="81"/>
            <rFont val="MS P ゴシック"/>
            <family val="3"/>
            <charset val="128"/>
          </rPr>
          <t>Insight iXlW00001C0000444R0585476093S00000886P01088LAocjBAQBF1NjaVRlZ2ljLmRhdGEuTW9sZWN1bGUBbwF/ARJTY2lUZWdpYy5Nb2xlY3VsZQAAAQFkAv5qAQAAAAIAAjgYAAAA/PwA/AACAAAAAAAA8L8CswxxrIvb8j8CN6s+V1uxrz8AAAAAGAAAAPz8APwAAgAAAAAAAPC/AlqGONbFbQFAAjerPldbsa8/AAAAABgAAAD8/AD8AAIAAAAAAADwvwKVZYhjXdzGPwI3qz5XW7GvPwAAAAAgAAAA/PwA/AACAAAAAAAA8L8CWoY41sVtBUACN6s+V1ux7T8AAAAAGAAAAPz8APwAAgAAAAAAAPC/AjbNO07RkdS/ArIubqMBvOm/AAAAABgAAAD8/AD8AAIAAAAAAADwvwI2zTtO0ZHUvwI3qz5XW7HtPwAAAAAgAAAA/PwA/AACAAAAAAAA8L8CWoY41sVtBUACsi5uowG86b8AAAAAGAAAAPz8APwAAgAAAAAAAPC/Ak7zjlN0JP2/AhUdyeU/pK8/AAAAABgAAAD8/AD8AAIAAAAAAADwvwJO845TdCT1vwKyLm6jAbzpvwAAAAAYAAAA/PwA/AACAAAAAAAA8L8CTvOOU3Qk9b8CN6s+V1ux7T8AAAAAGAAAAPz8APwAAgAAAAAAAPC/ArMMcayL2/I/Alr1udqK/fA/AAAAABgAAAD8/AD8AAIAAAAAAADwvwKzDHGsi9vyPwJNFYxK6gTuvwAAAAAgAAAA/PwA/AACAAAAAAAA8L8Cp3nHKTqSBsACFR3J5T+krz8AAAAAGAAAAPz8APwAAgAAAAAAAPC/Aqd5xyk6kgrAArIubqMBvOm/AAAAADgEAAFlBAAAAAAAAAAACAABZQQAAAAAAAAAAAwEAWUIAAAAAAAAAAAQCAFlBAAAAAAAAAAAFAgBZQgMAAAAAAAAABgEAWUEAAAAAAAAAAAcJAFlCAwAAAAAAAAAIBABZQgIAAAAAAAAACQUAWUEAAAAAAAAAAAoAAFlBAAAAAAAAAAALAABZQQAAAAAAAAAADAcAWUEAAAAAAAAAAA0MAFlBAAAAAAAAAAAHCABZQQAAAAAAAAAAAAAAAA=</t>
        </r>
      </text>
    </comment>
    <comment ref="A445" authorId="0" shapeId="0" xr:uid="{AF7D889D-3F1F-44F6-AD26-3BBBE573CBB2}">
      <text>
        <r>
          <rPr>
            <sz val="9"/>
            <color indexed="81"/>
            <rFont val="MS P ゴシック"/>
            <family val="3"/>
            <charset val="128"/>
          </rPr>
          <t>Insight iXlW00001C0000445R0585476093S00000888P01104LAocjBAQBF1NjaVRlZ2ljLmRhdGEuTW9sZWN1bGUBbwF/ARJTY2lUZWdpYy5Nb2xlY3VsZQAAAQFkAv5qAQAAAAIAAjgYAAAA/PwA/AACAAAAAAAA8L8CUI2XbhKD8D8C/vZ14JwR3b8AAAAAGAAAAPz8APwAAgAAAAAAAPC/AhWuR+F6FOY/AgajkjoBTfa/AAAAABgAAAD8/AD8AAIAAAAAAADwvwLrc7UV+8v6PwJnRGlv8IXzvwAAAAAYAAAA/PwA/AACAAAAAAAA8L8C63O1FfvL+j8CZ9Xnaiv20z8AAAAAGAAAAPz8APwAAgAAAAAAAPC/AnNoke18P8U/AhdIUPwYc6c/AAAAABgAAAD8/AD8AAIAAAAAAADwvwJnZmZmZmbmvwL+9nXgnBHdvwAAAAAgAAAA/PwA/AACAAAAAAAA8L8Cpb3BFyZT9T8CEce6uI0G9D8AAAAAIAAAAPz8APwAAgAAAAAAAPC/AmaIY13cRgVAAlVSJ6CJsME/AAAAABgAAAD8/AD8AAIAAAAAAADwvwJ1kxgEVg75vwIXSFD8GHOnPwAAAAAYAAAA/PwA/AACAAAAAAAA8L8Cc2iR7Xw/xT8CQYLix5i78D8AAAAAIAAAAPz8APwAAgAAAAAAAPC/Atv5fmq8dAPAAv72deCcEd2/AAAAABgAAAD8/AD8AAIAAAAAAADwvwJnZmZmZmbmvwJBguLHmLv4PwAAAAAYAAAA/PwA/AACAAAAAAAA8L8CdZMYBFYO+b8CQYLix5i78D8AAAAAGAAAAPz8APwAAgAAAAAAAPC/Atv5fmq8dAPAAsB9HThnRPe/AAAAADwEAAFlBAAAAAAAAAAACAABZQQAAAAAAAAAAAwAAWUEAAAAAAAAAAAQAAFlBAAAAAAAAAAAFBABZQQAAAAAAAAAABgMAWUIAAAAAAAAAAAcDAFlBAAAAAAAAAAAIBQBZQgMAAAAAAAAACQQAWUIDAAAAAAAAAAoIAFlBAAAAAAAAAAALCQBZQQAAAAAAAAAADAsAWUICAAAAAAAAAA0KAFlBAAAAAAAAAAACAQBZQQAAAAAAAAAADAgAWUEAAAAAAAAAAAAAAAA</t>
        </r>
      </text>
    </comment>
    <comment ref="A446" authorId="0" shapeId="0" xr:uid="{0B50F419-1168-4AF6-A999-20F64506E6D2}">
      <text>
        <r>
          <rPr>
            <sz val="9"/>
            <color indexed="81"/>
            <rFont val="MS P ゴシック"/>
            <family val="3"/>
            <charset val="128"/>
          </rPr>
          <t>Insight iXlW00001C0000446R0585476093S00000890P01176LAocjBAQBF1NjaVRlZ2ljLmRhdGEuTW9sZWN1bGUBbwF/ARJTY2lUZWdpYy5Nb2xlY3VsZQAAAQFkAv5qAQAAAAIAAjwYAAAA/PwA/AACAAAAAAAA8L8CH4XrUbge7z8Cak3zjlN02L8AAAAAGAAAAPz8APwAAgAAAAAAAPC/ApDC9Shcj/c/ApwzorQ3+N4/AAAAABgAAAD8/AD8AAIAAAAAAADwvwLeJAaBlUO7PwJYyjLEsS6+PwAAAAAYAAAA/PwA/AACAAAAAAAA8L8C6Pup8dJN6L8Cak3zjlN02L8AAAAAIAAAAPz8APwAAgAAAAAAAPC/Ah+F61G4Hu8/AintDb4wmfU/AAAAACAAAAD8/AD8AAIAAAAAAADwvwJI4XoUrscDQAKcM6K0N/jePwAAAAAYAAAA/PwA/AACAAAAAAAA8L8CNl66SQwC+r8CWMoyxLEuvj8AAAAAGAAAAPz8APwAAgAAAAAAAPC/AkLPZtXnav0/ArWmeccpOuy/AAAAABgAAAD8/AD8AAIAAAAAAADwvwICvAUSFD/ePwIN4C2QoPjzvwAAAAAYAAAA/PwA/AACAAAAAAAA8L8C3iQGgZVDuz8CpixDHOvi8T8AAAAAIAAAAPz8APwAAgAAAAAAAPC/AjzfT42X7gPAAmpN845TdNi/AAAAABgAAAD8/AD8AAIAAAAAAADwvwLo+6nx0k3ovwKmLEMc6+L5PwAAAAAYAAAA/PwA/AACAAAAAAAA8L8CQs9m1edq9T8CDeAtkKD4+78AAAAAGAAAAPz8APwAAgAAAAAAAPC/AjZeukkMAvq/AqYsQxzr4vE/AAAAABgAAAD8/AD8AAIAAAAAAADwvwI830+Nl+4DwAJb07zjFB32vwAAAAABEAQAAWUEAAAAAAAAAAAIAAFlBAAAAAAAAAAADAgBZQQAAAAAAAAAABAEAWUIAAAAAAAAAAAUBAFlBAAAAAAAAAAAGAwBZQgMAAAAAAAAABwAAWUEAAAAAAAAAAAgAAFlBAAAAAAAAAAAJAgBZQgMAAAAAAAAACgYAWUEAAAAAAAAAAAsJAFlBAAAAAAAAAAAMCABZQQAAAAAAAAAADQsAWUICAAAAAAAAAA4KAFlBAAAAAAAAAAAMBwBZQQAAAAAAAAAADQYAWUEAAAAAAAAAAAAAAAA</t>
        </r>
      </text>
    </comment>
    <comment ref="A447" authorId="0" shapeId="0" xr:uid="{279D3619-7543-42B5-BF13-2DEF7B1B385A}">
      <text>
        <r>
          <rPr>
            <sz val="9"/>
            <color indexed="81"/>
            <rFont val="MS P ゴシック"/>
            <family val="3"/>
            <charset val="128"/>
          </rPr>
          <t>Insight iXlW00001C0000447R0585476093S00000892P01432LAocjBAQBF1NjaVRlZ2ljLmRhdGEuTW9sZWN1bGUBbwF/ARJTY2lUZWdpYy5Nb2xlY3VsZQAAAQFkAv5qAQAAAAIAAgETGAAAAPz8APwAAgAAAAAAAPC/Au/Jw0Kt6RBAAsDsnjws1MK/AAAAACAAAAD8/AD8AAIAAAAAAADwvwK94xQdyeUKQAKgibDh6ZXWPwAAAAAYAAAA/PwA/AACAAAAAAAA8L8CnDOitDf4A0ACwOyePCzUwr8AAAAAGAAAAPz8APwAAgAAAAAAAPC/ApwzorQ3+ANAApjdk4eFWvK/AAAAABgAAAD8/AD8AAIAAAAAAADwvwKGWtO84xT6PwKY3ZOHhVr6vwAAAAAYAAAA/PwA/AACAAAAAAAA8L8Cak3zjlN06D8CmN2Th4Va8r8AAAAAJAAAAPz8APwAAgAAAAAAAPC/Atlfdk8eFrq/AicxCKwcWvq/AAAAABgAAAD8/AD8AAIAAAAAAADwvwJqTfOOU3ToPwLA7J48LNTCvwAAAAAYAAAA/PwA/AACAAAAAAAA8L8C2V92Tx4Wur8CoImw4emV1j8AAAAAHAAAAPz8APwAAgAAAAAAAPC/An+MuWsJ+e6/AsDsnjws1MK/AAAAABgAAAD8/AD8AAIAAAAAAADwvwKBJsKGp1f9vwKgibDh6ZXWPwAAAAAYAAAA/PwA/AACAAAAAAAA8L8CYcPTK2WZBcACOIlBYOXQwr8AAAAAGAAAAPz8APwAAgAAAAAAAPC/ArtJDAIrhwzAAmU730+Nl9Y/AAAAABwAAAD8/AD8AAIAAAAAAADwvwK7SQwCK4cMwAJoImx4eqX1PwAAAAAYAAAA/PwA/AACAAAAAAAA8L8CmpmZmZmZBcACaCJseHql/T8AAAAAGAAAAPz8APwAAgAAAAAAAPC/AoEmwoanV/2/AmgibHh6pfU/AAAAABgAAAD8/AD8AAIAAAAAAADwvwL3Bl+YTBX6PwKgibDh6ZXWPwAAAAABEQAAAPz8APwAAgAAAAAAAPC/AiL99nXgHBRAAkXY8PRKWbY/AAAAAAERAAAA/PwA/AACAAAAAAAA8L8CsHJoke08GEACvXSTGARWvj8AAAAAARIABAFlBAAAAAAAAAAABAgBZQQAAAAAAAAAAAgMAWUIDAAAAAAAAAAMEAFlBAAAAAAAAAAAEBQBZQgMAAAAAAAAABQYAWUEAAAAAAAAAAAUHAFlBAAAAAAAAAAAHCABZQQAAAAAAAAAACAkAWUEAAAAAAAAAAAkKAFlBAAAAAAAAAAAKCwBZQQAAAAAAAAAACwwAWUEAAAAAAAAAAAwNAFlBAAAAAAAAAAANDgBZQQAAAAAAAAAADg8AWUEAAAAAAAAAAA8KAFlBAAAAAAAAAAAHAEQAWUICAAAAAAAAAABEAgBZQQAAAAAAAAAAAAAAAA=</t>
        </r>
      </text>
    </comment>
    <comment ref="A448" authorId="0" shapeId="0" xr:uid="{0287AD9E-7DEC-4EF0-AEC0-4BEC72037168}">
      <text>
        <r>
          <rPr>
            <sz val="9"/>
            <color indexed="81"/>
            <rFont val="MS P ゴシック"/>
            <family val="3"/>
            <charset val="128"/>
          </rPr>
          <t>Insight iXlW00001C0000448R0585476093S00000894P01020LAocjBAQBF1NjaVRlZ2ljLmRhdGEuTW9sZWN1bGUBbwF/ARJTY2lUZWdpYy5Nb2xlY3VsZQAAAQFkAv5qAQAAAAIAAjQcAAAA/PwA/AACAAAAAAAA8L8CokW28/3U+D8C5KWbxCCw4D8AAAAAGAAAAPz8APwAAgAAAAAAAPC/AqJFtvP91PA/AkA1XrpJDNa/AAAAABgAAAD8/AD8AAIAAAAAAADwvwJEi2zn+6nhPwKS7Xw/NV7zvwAAAAAgAAAA/PwA/AACAAAAAAAA8L8C5KWbxCCw9j8Cku18PzVe+78AAAAAGAAAAPz8APwAAgAAAAAAAPC/AuSlm8QgsP4/AqAaL90kBuu/AAAAABgAAAD8/AD8AAIAAAAAAADwvwICK4cW2c7HPwKBlUOLbOfDPwAAAAAYAAAA/PwA/AACAAAAAAAA8L8CAiuHFtnOxz8CsHJoke188j8AAAAAGAAAAPz8APwAAgAAAAAAAPC/AsP1KFyPwuW/ArByaJHtfPo/AAAAABgAAAD8/AD8AAIAAAAAAADwvwIj2/l+arz4vwKwcmiR7XzyPwAAAAAYAAAA/PwA/AACAAAAAAAA8L8CI9v5fmq8+L8CgZVDi2znwz8AAAAAJAAAAPz8APwAAgAAAAAAAPC/ArKd76fGSwPAAkA1XrpJDNa/AAAAABgAAAD8/AD8AAIAAAAAAADwvwLD9Shcj8LlvwJANV66SQzWvwAAAAABEQAAAPz8APwAAgAAAAAAAPC/Alg5tMh2vgVAAilcj8L1KJy/AAAAADQABAFlBAAAAAAAAAAABAgBZQQAAAAAAAAAAAgMAWUEAAAAAAAAAAAMEAFlBAAAAAAAAAAAEAQBZQQAAAAAAAAAAAQUAWUEAAAAAAAAAAAUGAFlCAwAAAAAAAAAGBwBZQQAAAAAAAAAABwgAWUICAAAAAAAAAAgJAFlBAAAAAAAAAAAJCgBZQQAAAAAAAAAACQsAWUICAAAAAAAAAAsFAFlBAAAAAAAAAAAAAAAAA==</t>
        </r>
      </text>
    </comment>
    <comment ref="A449" authorId="0" shapeId="0" xr:uid="{1E022170-866C-4484-8216-AA4AD3DF0067}">
      <text>
        <r>
          <rPr>
            <sz val="9"/>
            <color indexed="81"/>
            <rFont val="MS P ゴシック"/>
            <family val="3"/>
            <charset val="128"/>
          </rPr>
          <t>Insight iXlW00001C0000449R0585476093S00000896P01088LAocjBAQBF1NjaVRlZ2ljLmRhdGEuTW9sZWN1bGUBbwF/ARJTY2lUZWdpYy5Nb2xlY3VsZQAAAQFkAv5qAQAAAAIAAjgYAAAA/PwA/AACAAAAAAAA8L8C6wQ0ETa8AkACCKwcWmQ74T8AAAAAIAAAAPz8APwAAgAAAAAAAPC/ApOpglFJnfc/AoPAyqFFtqM/AAAAABgAAAD8/AD8AAIAAAAAAADwvwLBOSNKe4PjPwIIrBxaZDvhPwAAAAAYAAAA/PwA/AACAAAAAAAA8L8CwTkjSnuD4z8CBFYOLbKd+D8AAAAAGAAAAPz8APwAAgAAAAAAAPC/AoUNT6+UZdC/AgIrhxbZTgBAAAAAABgAAAD8/AD8AAIAAAAAAADwvwKjI7n8h/TxvwIEVg4tsp34PwAAAAAYAAAA/PwA/AACAAAAAAAA8L8CoyO5/If08b8CCKwcWmQ74T8AAAAAGAAAAPz8APwAAgAAAAAAAPC/AoUNT6+UZdC/AoPAyqFFtqM/AAAAABgAAAD8/AD8AAIAAAAAAADwvwKFDU+vlGXQvwL4U+Olm8TuvwAAAAAcAAAA/PwA/AACAAAAAAAA8L8CPnlYqDXN5z8C+FPjpZvE7r8AAAAAGAAAAPz8APwAAgAAAAAAAPC/AmHD0ytlGfS/AvhT46WbxO6/AAAAACAAAAD8/AD8AAIAAAAAAADwvwJhw9MrZRn0vwL8qfHSTWL/vwAAAAAYAAAA/PwA/AACAAAAAAAA8L8ChQ1Pr5Rl0L8C/Knx0k1i/78AAAAAAREAAAD8/AD8AAIAAAAAAADwvwJRa5p3nCIJQAKDwMqhRbajPwAAAAA4AAQBZQQAAAAAAAAAAAQIAWUEAAAAAAAAAAAIDAFlCAwAAAAAAAAADBABZQQAAAAAAAAAABAUAWUICAAAAAAAAAAUGAFlBAAAAAAAAAAAGBwBZQgIAAAAAAAAABwIAWUEAAAAAAAAAAAcIAFlBAAAAAAAAAAAICQBZQQAAAAAAAAAACAoAWUEAAAAAAAAAAAoLAFlBAAAAAAAAAAALDABZQQAAAAAAAAAADAgAWUEAAAAAAAAAAAAAAAA</t>
        </r>
      </text>
    </comment>
    <comment ref="A450" authorId="0" shapeId="0" xr:uid="{D98B791A-A662-4AB1-A2C5-A69863A0FBBB}">
      <text>
        <r>
          <rPr>
            <sz val="9"/>
            <color indexed="81"/>
            <rFont val="MS P ゴシック"/>
            <family val="3"/>
            <charset val="128"/>
          </rPr>
          <t>Insight iXlW00001C0000450R0585476093S00000898P01088LAocjBAQBF1NjaVRlZ2ljLmRhdGEuTW9sZWN1bGUBbwF/ARJTY2lUZWdpYy5Nb2xlY3VsZQAAAQFkAv5qAQAAAAIAAjgYAAAA/PwA/AACAAAAAAAA8L8CHVpkO9/PAcACswxxrIvb878AAAAAIAAAAPz8APwAAgAAAAAAAPC/Ah1aZDvfzwHAApVliGNd3M6/AAAAABgAAAD8/AD8AAIAAAAAAADwvwL4U+Olm8T1vwI2zTtO0ZHQPwAAAAAYAAAA/PwA/AACAAAAAAAA8L8C+FPjpZvE9b8CTvOOU3Qk9D8AAAAAGAAAAPz8APwAAgAAAAAAAPC/AtrO91Pjpd+/Ak7zjlN0JPw/AAAAABgAAAD8/AD8AAIAAAAAAADwvwItsp3vp8bXPwJO845TdCT0PwAAAAAYAAAA/PwA/AACAAAAAAAA8L8CLbKd76fG1z8CNs07TtGR0D8AAAAAGAAAAPz8APwAAgAAAAAAAPC/AtrO91Pjpd+/ApVliGNd3M6/AAAAABgAAAD8/AD8AAIAAAAAAADwvwI+eVioNc3zPwKVZYhjXdzOvwAAAAAcAAAA/PwA/AACAAAAAAAA8L8CPnlYqDXN+z8CAAAAAAAA5D8AAAAAGAAAAPz8APwAAgAAAAAAAPC/AnzysFBrmuc/AvRsVn2utvG/AAAAACAAAAD8/AD8AAIAAAAAAADwvwKA2T15WKj5PwL0bFZ9rrb5vwAAAAAYAAAA/PwA/AACAAAAAAAA8L8CwOyePCzUAEACZRniWBe3578AAAAAAREAAAD8/AD8AAIAAAAAAADwvwImUwWjkjoHQALLMsSxLm6zPwAAAAA4AAQBZQQAAAAAAAAAAAQIAWUEAAAAAAAAAAAIDAFlBAAAAAAAAAAADBABZQgIAAAAAAAAABAUAWUEAAAAAAAAAAAUGAFlCAgAAAAAAAAAGBwBZQQAAAAAAAAAABwIAWUIDAAAAAAAAAAYIAFlBAAAAAAAAAAAICQBZQQAAAAAAAAAACAoAWUEAAAAAAAAAAAoLAFlBAAAAAAAAAAALDABZQQAAAAAAAAAADAgAWUEAAAAAAAAAAAAAAAA</t>
        </r>
      </text>
    </comment>
    <comment ref="A451" authorId="0" shapeId="0" xr:uid="{8ACC5FF1-C6F9-42EE-ACC9-14C2E00496B3}">
      <text>
        <r>
          <rPr>
            <sz val="9"/>
            <color indexed="81"/>
            <rFont val="MS P ゴシック"/>
            <family val="3"/>
            <charset val="128"/>
          </rPr>
          <t>Insight iXlW00001C0000451R0585476093S00000900P01392LAocjBAQBF1NjaVRlZ2ljLmRhdGEuTW9sZWN1bGUBbwF/ARJTY2lUZWdpYy5Nb2xlY3VsZQAAAQFkAv5qAQAAAAIAAgESGAAAAPz8APwAAgAAAAAAAPC/Av7UeOkmMfa/AintDb4wmeQ/AAAAABwAAAD8/AD8AAIAAAAAAADwvwJ56SYxCKzgvwKitDf4wmTCPwAAAAAgAAAA/PwA/AACAAAAAAAA8L8CoBov3SQGAsACorQ3+MJkwj8AAAAAIAAAAPz8APwAAgAAAAAAAPC/Av7UeOkmMfa/ApX2Bl+YTPo/AAAAABgAAAD8/AD8AAIAAAAAAADwvwIVrkfhehTWPwJHlPYGX5jkPwAAAAAYAAAA/PwA/AACAAAAAAAA8L8CeekmMQis4L8C2BLyQc9m678AAAAAIAAAAPz8APwAAgAAAAAAAPC/Al3+Q/rtqxBAAvAWSFD8GMO/AAAAABwAAAD8/AD8AAIAAAAAAADwvwI9LNSa5p0AQAJsCfmgZ7P1vwAAAAAYAAAA/PwA/AACAAAAAAAA8L8C+aBns+rzCMACKe0NvjCZ5D8AAAAAGAAAAPz8APwAAgAAAAAAAPC/Ajj4wmSqYPM/AhpR2ht8YcI/AAAAABgAAAD8/AD8AAIAAAAAAADwvwLZX3ZPHhbWPwJsCfmgZ7P1vwAAAAAYAAAA/PwA/AACAAAAAAAA8L8CXtxGA3iLB0AC2BLyQc9m678AAAAAGAAAAPz8APwAAgAAAAAAAPC/Ajj4wmSqYPM/AtgS8kHPZuu/AAAAABgAAAD8/AD8AAIAAAAAAADwvwITg8DKoUUPQAK5/If029fxvwAAAAAYAAAA/PwA/AACAAAAAAAA8L8CzH9Iv32dCUAC5j+k374OvD8AAAAAGAAAAPz8APwAAgAAAAAAAPC/AvmgZ7Pq8wzAAvOwUGuad8y/AAAAABgAAAD8/AD8AAIAAAAAAADwvwIaUdobfOEPwAKV9gZfmEzyPwAAAAAYAAAA/PwA/AACAAAAAAAA8L8C+aBns+rzBMAC1lbsL7sn+D8AAAAAARMEAAFlBAAAAAAAAAAACAABZQQAAAAAAAAAAAwAAWUIAAAAAAAAAAAQBAFlBAAAAAAAAAAAFAQBZQQAAAAAAAAAABg4AWUEAAAAAAAAAAAcMAFlBAAAAAAAAAAAIAgBZQQAAAAAAAAAACQQAWUEAAAAAAAAAAAoFAFlBAAAAAAAAAAALBwBZQQAAAAAAAAAADAoAWUEAAAAAAAAAAA0LAFlBAAAAAAAAAAAOCwBZQQAAAAAAAAAADwgAWUEAAAAAAAAAAABECABZQQAAAAAAAAAAAERIAFlBAAAAAAAAAAAMCQBZQQAAAAAAAAAABg0AWUEAAAAAAAAAAAAAAAA</t>
        </r>
      </text>
    </comment>
    <comment ref="A452" authorId="0" shapeId="0" xr:uid="{D009113D-7B8B-4185-A3A4-423DF1CFF93F}">
      <text>
        <r>
          <rPr>
            <sz val="9"/>
            <color indexed="81"/>
            <rFont val="MS P ゴシック"/>
            <family val="3"/>
            <charset val="128"/>
          </rPr>
          <t>Insight iXlW00001C0000452R0585476093S00000902P01392LAocjBAQBF1NjaVRlZ2ljLmRhdGEuTW9sZWN1bGUBbwF/ARJTY2lUZWdpYy5Nb2xlY3VsZQAAAQFkAv5qAQAAAAIBAgESHAAAAPz8APwAAgAAAAAAAPC/Akm/fR04Z/m/An6MuWsJ+eI/AAAAABgAAAD8/AD8AAIAAAAAAADwvwJ8YTJVMCrwPwKCc0aU9gbtvwAAAAAcAAAA/PwA/AACAAAAAAAA8L8C1QloImx4wj8CwTkjSnuD9r8AAAAAGAAAAPz8APwAAgAAAAAAAPC/Akm/fR04Z/m/Aj/G3LWEfPk/AAAAABgAAAD8/AD8AAIAAAAAAADwvwIOvjCZKhjnvwLyY8xdS8i3PwAAAAAgAAAA/PwA/AACAAAAAAAA8L8CL26jAbwF/j8CwTkjSnuD9r8AAAAAIAAAAPz8APwAAgAAAAAAAPC/Akm/fR04Z/m/Aq5p3nGKDghAAAAAACAAAAD8/AD8AAIAAAAAAADwvwJ8YTJVMCrwPwLyY8xdS8i3PwAAAAAYDAAA/PwA/AACAAAAAAAA8L8CDr4wmSoY578CgnNGlPYG7b8AAAAAGAAAAPz8APwAAgAAAAAAAPC/AjhnRGlv8AVAAoJzRpT2Bu2/AAAAABgAAAD8/AD8AAIAAAAAAADwvwLFjzF3LaEDwALyY8xdS8i3PwAAAAAYAAAA/PwA/AACAAAAAAAA8L8CdnEbDeAt7L8CZ2ZmZmZmAkAAAAAAGAAAAPz8APwAAgAAAAAAAPC/AuviNhrAWwLAAmdmZmZmZgJAAAAAABgAAAD8/AD8AAIAAAAAAADwvwLFjzF3LaEDwAKCc0aU9gbtvwAAAAAYAAAA/PwA/AACAAAAAAAA8L8CSb99HThn+b8CwTkjSnuD9r8AAAAAGAAAAPz8APwAAgAAAAAAAPC/AjhnRGlv8AFAAu0vuycPC6W/AAAAABgAAAD8/AD8AAIAAAAAAADwvwJZF7fRAN4MQAIE54wo7Q3avwAAAAAYAAAA/PwA/AACAAAAAAAA8L8COGdEaW/wCUACA5oIG55e/L8AAAAAARMECAFlBAAAAAAAAAAAIAgBZQQQAAAAAAAAAAwAAWUEAAAAAAAAAAAQAAFlBAAAAAAAAAAAFAQBZQQAAAAAAAAAABgwAWUEAAAAAAAAAAAcBAFlCAAAAAAAAAAAIBABZQQAAAAAAAAAACQUAWUEAAAAAAAAAAAoAAFlBAAAAAAAAAAALAwBZQQAAAAAAAAAADAMAWUEAAAAAAAAAAA0KAFlBAAAAAAAAAAAODQBZQQAAAAAAAAAADwkAWUEAAAAAAAAAAABECQBZQQAAAAAAAAAAAERJAFlBAAAAAAAAAAAGCwBZQQAAAAAAAAAADggAWUEAAAAAAAAAAAAAAAA</t>
        </r>
      </text>
    </comment>
    <comment ref="A453" authorId="0" shapeId="0" xr:uid="{8F80532F-2EB2-47F9-ADFE-2EE66F69C6C0}">
      <text>
        <r>
          <rPr>
            <sz val="9"/>
            <color indexed="81"/>
            <rFont val="MS P ゴシック"/>
            <family val="3"/>
            <charset val="128"/>
          </rPr>
          <t>Insight iXlW00001C0000453R0585476093S00000904P01176LAocjBAQBF1NjaVRlZ2ljLmRhdGEuTW9sZWN1bGUBbwF/ARJTY2lUZWdpYy5Nb2xlY3VsZQAAAQFkAv5qAQAAAAIAAjwcAAAA/PwA/AACAAAAAAAA8L8CFNBE2PD06D8Cxv6ye/KwsL8AAAAAGAAAAPz8APwAAgAAAAAAAPC/AgajkjoBTew/AqMjufyH9PC/AAAAABwAAAD8/AD8AAIAAAAAAADwvwIOvjCZKhj7PwIGEhQ/xtzVPwAAAAAYAAAA/PwA/AACAAAAAAAA8L8CPnlYqDXN/T8CuY0G8BZI9L8AAAAAGAAAAPz8APwAAgAAAAAAAPC/AnyDL0ymCra/Ak9AE2HD09s/AAAAABgAAAD8/AD8AAIAAAAAAADwvwJnZmZmZuYCQALdtYR80LPZvwAAAAAYAAAA/PwA/AACAAAAAAAA8L8C87BQa5p37r8Cxv6ye/KwsL8AAAAAHAAAAPz8APwAAgAAAAAAAPC/AlH8GHPXEsI/AmIyVTAqqfu/AAAAABgAAAD8/AD8AAIAAAAAAADwvwK7uI0G8Bb9vwJPQBNhw9PbPwAAAAAYAAAA/PwA/AACAAAAAAAA8L8CfIMvTKYKtr8CFNBE2PD09j8AAAAAIAAAAPz8APwAAgAAAAAAAPC/An6MuWsJeQXAAsb+snvysLC/AAAAABgAAAD8/AD8AAIAAAAAAADwvwLzsFBrmnfuvwIU0ETY8PT+PwAAAAAYAAAA/PwA/AACAAAAAAAA8L8CejarPlfbCkACNl66SQwC078AAAAAGAAAAPz8APwAAgAAAAAAAPC/Aru4jQbwFv2/AhTQRNjw9PY/AAAAABgAAAD8/AD8AAIAAAAAAADwvwK3Yn/ZPXkFwALtL7snDwvxvwAAAAABEAQAAWUEAAAAAAAAAAAIAAFlBAAAAAAAAAAADAQBZQgIAAAAAAAAABAAAWUEAAAAAAAAAAAUCAFlCAwAAAAAAAAAGBABZQQAAAAAAAAAABwEAWUEAAAAAAAAAAAgGAFlCAwAAAAAAAAAJBABZQgMAAAAAAAAACggAWUEAAAAAAAAAAAsJAFlBAAAAAAAAAAAMBQBZQQAAAAAAAAAADQsAWUICAAAAAAAAAA4KAFlBAAAAAAAAAAADBQBZQQAAAAAAAAAADQgAWUEAAAAAAAAAAAAAAAA</t>
        </r>
      </text>
    </comment>
    <comment ref="A454" authorId="0" shapeId="0" xr:uid="{2E086A71-8EA8-4912-B3D7-ECF1DAB9F2B9}">
      <text>
        <r>
          <rPr>
            <sz val="9"/>
            <color indexed="81"/>
            <rFont val="MS P ゴシック"/>
            <family val="3"/>
            <charset val="128"/>
          </rPr>
          <t>Insight iXlW00001C0000454R0585476093S00000906P01908LAocjBAQBF1NjaVRlZ2ljLmRhdGEuTW9sZWN1bGUBbwF/ARJTY2lUZWdpYy5Nb2xlY3VsZQAAAQFkAv5qAQAAAAIAAgEZGAAAAPz8APwAAgAAAAAAAPC/AifChqdXShLAAnE9CtejcO0/AAAAABgAAAD8/AD8AAIAAAAAAADwvwJLWYY41sUJQAKQwvUoXI/ivwAAAAAcAAAA/PwA/AACAAAAAAAA8L8CC9ejcD0Kz78C4noUrkfh2j8AAAAAGAAAAPz8APwAAgAAAAAAAPC/Ai3UmuYdpw3AAuJ6FK5H4do/AAAAABwAAAD8/AD8AAIAAAAAAADwvwIqqRPQRNgCQAJI4XoUrkfxvwAAAAAgAAAA/PwA/AACAAAAAAAA8L8CtoR80LNZEEACSOF6FK5H8b8AAAAAIAAAAPz8APwAAgAAAAAAAPC/AktZhjjWxQlAAuJ6FK5H4do/AAAAABgAAAD8/AD8AAIAAAAAAADwvwIMJCh+jLkGwAJxPQrXo3DtPwAAAAAYAAAA/PwA/AACAAAAAAAA8L8C1udqK/aX/78C4noUrkfh2j8AAAAAGAAAAPz8APwAAgAAAAAAAPC/AiPb+X5qvPG/AnE9CtejcO0/AAAAABgAAAD8/AD8AAIAAAAAAADwvwLjx5i7ltATQAKQwvUoXI/ivwAAAAAkAAAA/PwA/AACAAAAAAAA8L8CJ8KGp1dKFMACuECC4seYqz8AAAAAJAAAAPz8APwAAgAAAAAAAPC/AjcawFsgwRXAArkehetRuPY/AAAAACQAAAD8/AD8AAIAAAAAAADwvwInwoanV0oQwAL6fmq8dJP8PwAAAAAYAAAA/PwA/AACAAAAAAAA8L8CokW28/3U9z8C4noUrkfh2j8AAAAAGAAAAPz8APwAAgAAAAAAAPC/AsHKoUW28+M/AkjhehSuR/G/AAAAABgAAAD8/AD8AAIAAAAAAADwvwIT8kHPZtX3PwKQwvUoXI/ivwAAAAAYAAAA/PwA/AACAAAAAAAA8L8CwcqhRbbz4z8CcT0K16Nw7T8AAAAAGAAAAPz8APwAAgAAAAAAAPC/AgvXo3A9Cs+/ApDC9Shcj+K/AAAAABgAAAD8/AD8AAIAAAAAAADwvwL0/dR46aYNwAKQwvUoXI/ivwAAAAAYAAAA/PwA/AACAAAAAAAA8L8C001iEFi5BsACSOF6FK5H8b8AAAAAGAAAAPz8APwAAgAAAAAAAPC/AmU730+Nl/+/ApDC9Shcj+K/AAAAABgAAAD8/AD8AAIAAAAAAADwvwLjx5i7ltARQALo+6nx0k3SPwAAAAAYAAAA/PwA/AACAAAAAAAA8L8C8x/Sb19HF0ACexSuR+F6tL8AAAAAGAAAAPz8APwAAgAAAAAAAPC/AuPHmLuW0BVAAopBYOXQIve/AAAAAAEaBBABZQQAAAAAAAAAAAgkAWUEAAAAAAAAAAAMAAFlBAAAAAAAAAAAEAEQAWUEAAAAAAAAAAAUBAFlBAAAAAAAAAAAGAQBZQgAAAAAAAAAABwMAWUEAAAAAAAAAAAgHAFlCAwAAAAAAAAAJCABZQQAAAAAAAAAACgUAWUEAAAAAAAAAAAsAAFlBAAAAAAAAAAAMAABZQQAAAAAAAAAADQAAWUEAAAAAAAAAAA4AREBZQQAAAAAAAAAADwBEgFlBAAAAAAAAAAAARA8AWUEAAAAAAAAAAABEQgBZQQAAAAAAAAAAAESCAFlBAAAAAAAAAAAARMMAWUIDAAAAAAAAAABFAETAWUEAAAAAAAAAAABFQEUAWUICAAAAAAAAAABFigBZQQAAAAAAAAAAAEXKAFlBAAAAAAAAAAAARgoAWUEAAAAAAAAAAAgARUBZQQAAAAAAAAAAAEQOAFlBAAAAAAAAAAAAAAAAA==</t>
        </r>
      </text>
    </comment>
    <comment ref="A455" authorId="0" shapeId="0" xr:uid="{E82DB216-F7B5-4D76-B0D9-9E842A3C76DE}">
      <text>
        <r>
          <rPr>
            <sz val="9"/>
            <color indexed="81"/>
            <rFont val="MS P ゴシック"/>
            <family val="3"/>
            <charset val="128"/>
          </rPr>
          <t>Insight iXlW00001C0000455R0585476093S00000908P01392LAocjBAQBF1NjaVRlZ2ljLmRhdGEuTW9sZWN1bGUBbwF/ARJTY2lUZWdpYy5Nb2xlY3VsZQAAAQFkAv5qAQAAAAIAAgESGAAAAPz8APwAAgAAAAAAAPC/AjnWxW00gPg/AtgS8kHPZuO/AAAAABwAAAD8/AD8AAIAAAAAAADwvwI/V1uxv+z+vwJR2ht8YTLZPwAAAAAcAAAA/PwA/AACAAAAAAAA8L8C7uvAOSNK5T8CbAn5oGez8b8AAAAAGAAAAPz8APwAAgAAAAAAAPC/AsBbIEHxYwbAAintDb4wmew/AAAAACAAAAD8/AD8AAIAAAAAAADwvwJ2cRsN4C0DQAJsCfmgZ7PxvwAAAAAYAAAA/PwA/AACAAAAAAAA8L8CjErqBDQR8b8CR5T2Bl+Y7D8AAAAAGAAAAPz8APwAAgAAAAAAAPC/As6qz9VW7P6/AtgS8kHPZuO/AAAAACAAAAD8/AD8AAIAAAAAAADwvwLy0k1iEBgQwAIi/fZ14Jz5PwAAAAAgAAAA/PwA/AACAAAAAAAA8L8COdbFbTSA+D8CUdobfGEy2T8AAAAAGAAAAPz8APwAAgAAAAAAAPC/ApchjnVxGwpAAtgS8kHPZuO/AAAAABgAAAD8/AD8AAIAAAAAAADwvwJVUiegibDJvwKNKO0NvjDZPwAAAAAYAAAA/PwA/AACAAAAAAAA8L8CjErqBDQR8b8CbAn5oGez8b8AAAAAGAAAAPz8APwAAgAAAAAAAPC/AlVSJ6CJsMm/AtgS8kHPZuO/AAAAABgAAAD8/AD8AAIAAAAAAADwvwIv/yH99nUIwAL/Q/rt68D9PwAAAAAYAAAA/PwA/AACAAAAAAAA8L8CdgKaCBseDsACjgbwFkhQ5D8AAAAAGAAAAPz8APwAAgAAAAAAAPC/ApchjnVxGwZAAldbsb/sntA/AAAAABgAAAD8/AD8AAIAAAAAAADwvwLcaABvgYQQQAK8lpAPeja7vwAAAAAYAAAA/PwA/AACAAAAAAAA8L8ClyGOdXEbDkACHxZqTfOO978AAAAAARMEGAFlBAAAAAAAAAAACAABZQQAAAAAAAAAAAwEAWUEAAAAAAAAAAAQAAFlBAAAAAAAAAAAFCgBZQQAAAAAAAAAABgsAWUEAAAAAAAAAAAcOAFlBAAAAAAAAAAAIAABZQgAAAAAAAAAACQQAWUEAAAAAAAAAAAoMAFlBAAAAAAAAAAALDABZQQAAAAAAAAAADAIAWUEAAAAAAAAAAA0DAFlBAAAAAAAAAAAOAwBZQQAAAAAAAAAADwkAWUEAAAAAAAAAAABECQBZQQAAAAAAAAAAAERJAFlBAAAAAAAAAAAFAQBZQQAAAAAAAAAABw0AWUEAAAAAAAAAAAAAAAA</t>
        </r>
      </text>
    </comment>
    <comment ref="A456" authorId="0" shapeId="0" xr:uid="{556B7309-C6A2-4F63-AE75-CB0DF835948D}">
      <text>
        <r>
          <rPr>
            <sz val="9"/>
            <color indexed="81"/>
            <rFont val="MS P ゴシック"/>
            <family val="3"/>
            <charset val="128"/>
          </rPr>
          <t>Insight iXlW00001C0000456R0585476093S00000910P00840LAocjBAQBF1NjaVRlZ2ljLmRhdGEuTW9sZWN1bGUBbwF/ARJTY2lUZWdpYy5Nb2xlY3VsZQAAAQFkAv5qAQAAAAIAAiwcAAAA/PwA/AACAAAAAAAA8L8CwH0dOGdEyb8AAAAAABgAAAD8/AD8AAIAAAAAAADwvwK4rwPnjCjzvwAAAAAAGAAAAPz8APwAAgAAAAAAAPC/AiFB8WPMXdM/AoPAyqFFtus/AAAAABgAAAD8/AD8AAIAAAAAAADwvwIhQfFjzF3TPwKDwMqhRbbrvwAAAAAgAAAA/PwA/AACAAAAAAAA8L8Cat5xio7kBMAAAAAAABgAAAD8/AD8AAIAAAAAAADwvwJIUPwYc9f0PwKDwMqhRbbrPwAAAAAYAAAA/PwA/AACAAAAAAAA8L8CSFD8GHPX9D8Cg8DKoUW2678AAAAAGAAAAPz8APwAAgAAAAAAAPC/AkhQ/Bhz1/w/AAAAAAAcAAAA/PwA/AACAAAAAAAA8L8CJCh+jLlrBkAAAAAAABgAAAD8/AD8AAIAAAAAAADwvwJGtvP91Hj+vwIcDeAtkKDmPwAAAAAYAAAA/PwA/AACAAAAAAAA8L8CRrbz/dR4/r8CHA3gLZCg5r8AAAAAMAQAAWUEAAAAAAAAAAAIAAFlBAAAAAAAAAAADAABZQQAAAAAAAAAABAoAWUEAAAAAAAAAAAUCAFlBAAAAAAAAAAAGAwBZQQAAAAAAAAAABwYAWUEAAAAAAAAAAAgHAFlBAAAAAAAAAAAJAQBZQQAAAAAAAAAACgEAWUEAAAAAAAAAAAQJAFlBAAAAAAAAAAAHBQBZQQAAAAAAAAAAAAAAAA=</t>
        </r>
      </text>
    </comment>
    <comment ref="A457" authorId="0" shapeId="0" xr:uid="{86E2A284-AC73-4F6B-AA67-54EBC649BE5F}">
      <text>
        <r>
          <rPr>
            <sz val="9"/>
            <color indexed="81"/>
            <rFont val="MS P ゴシック"/>
            <family val="3"/>
            <charset val="128"/>
          </rPr>
          <t>Insight iXlW00001C0000457R0585476093S00000912P01176LAocjBAQBF1NjaVRlZ2ljLmRhdGEuTW9sZWN1bGUBbwF/ARJTY2lUZWdpYy5Nb2xlY3VsZQAAAQFkAv5qAQAAAAIAAjwcAAQA/PwA/AACAAAAAAAA8L8CGuJYF7dRA8AC8mPMXUvI6T8AAAAAGAAAAPz8APwAAgAAAAAAAPC/AvJjzF1LyPi/AuPHmLuWkNM/AAAAABgAAAD8/AD8AAIAAAAAAADwvwJgB84ZUdrlvwLyY8xdS8jpPwAAAAAYAAAA/PwA/AACAAAAAAAA8L8Cj+TyH9Jvxz8C48eYu5aQ0z8AAAAAGAAAAPz8APwAAgAAAAAAAPC/Ao/k8h/Sb8c/Ag+cM6K0N+a/AAAAACAA/AD8/AD8AAIAAAAAAADwvwIa4lgXt1EDwAL5MeauJeT8PwAAAAAgAAAA/PwA/AACAAAAAAAA8L8C1LzjFB3J8D8CCM4ZUdob878AAAAAIAAAAPz8APwAAgAAAAAAAPC/AnNoke18PwrAAuPHmLuWkNM/AAAAACAAAAD8/AD8AAIAAAAAAADwvwLnriXkgx4JQAItQxzr4jaKPwAAAAAYAAAA/PwA/AACAAAAAAAA8L8C8mPMXUvI+L8CD5wzorQ35r8AAAAAGAAAAPz8APwAAgAAAAAAAPC/AmAHzhlR2uW/AgjOGVHaG/O/AAAAABgAAAD8/AD8AAIAAAAAAADwvwKGyVTBqKT+PwIPnDOitDfmvwAAAAAkAAAA/PwA/AACAAAAAAAA8L8C1LzjFB3J8D8C8mPMXUvI6T8AAAAAGAAAAPz8APwAAgAAAAAAAPC/AngLJCh+DAdAAsgpOpLLf+6/AAAAABgAAAD8/AD8AAIAAAAAAADwvwIxCKwcWmQBQAJPr5RliGPRPwAAAAABEAQAAWUEAAAAAAAAAAAIBAFlCAwAAAAAAAAADAgBZQQAAAAAAAAAABAMAWUIDAAAAAAAAAAUAAFlBAAAAAAAAAAAGBABZQQAAAAAAAAAABwAAWUIAAAAAAAAAAAgOAFlBAAAAAAAAAAAJAQBZQQAAAAAAAAAACgkAWUICAAAAAAAAAAsGAFlBAAAAAAAAAAAMAwBZQQAAAAAAAAAADQsAWUEAAAAAAAAAAA4LAFlBAAAAAAAAAAAECgBZQQAAAAAAAAAACA0AWUEAAAAAAAAAAAAAAAA</t>
        </r>
      </text>
    </comment>
    <comment ref="A458" authorId="0" shapeId="0" xr:uid="{ABD4EC50-2E94-495B-A47E-EEB66FF224EC}">
      <text>
        <r>
          <rPr>
            <sz val="9"/>
            <color indexed="81"/>
            <rFont val="MS P ゴシック"/>
            <family val="3"/>
            <charset val="128"/>
          </rPr>
          <t>Insight iXlW00001C0000458R0585476093S00000914P01104LAocjBAQBF1NjaVRlZ2ljLmRhdGEuTW9sZWN1bGUBbwF/ARJTY2lUZWdpYy5Nb2xlY3VsZQAAAQFkAv5qAQAAAAIAAjgcAAAA/PwA/AACAAAAAAAA8L8CKjqSy39I8D8CnFWfq63Yvz8AAAAAGAAAAPz8APwAAgAAAAAAAPC/Ai6QoPgx5v4/Ao9TdCSX/+A/AAAAABwAAAD8/AD8AAIAAAAAAADwvwKjI7n8h/TxPwK6/If029frvwAAAAAYAAAA/PwA/AACAAAAAAAA8L8CryXkg57NBEACikFg5dAiy78AAAAAGAAAAPz8APwAAgAAAAAAAPC/AkLPZtXnasM/ArTqc7UV++M/AAAAABgAAAD8/AD8AAIAAAAAAADwvwKzDHGsi9vmvwKcVZ+rrdi/PwAAAAAYAAAA/PwA/AACAAAAAAAA8L8CryXkg57NAEACc2iR7Xw/8b8AAAAAGAAAAPz8APwAAgAAAAAAAPC/ApvmHafoSPm/ArTqc7UV++M/AAAAABwAAAD8/AD8AAIAAAAAAADwvwLqJjEIrBwBQAISpb3BFyb4PwAAAAAkAAAA/PwA/AACAAAAAAAA8L8CDJOpglFJ+b8CWvW52or9+T8AAAAAGAAAAPz8APwAAgAAAAAAAPC/ArMMcayL2+a/Ak0VjErqBOy/AAAAABgAAAD8/AD8AAIAAAAAAADwvwKneccpOpIDwAKcVZ+rrdi/PwAAAAAYAAAA/PwA/AACAAAAAAAA8L8CDJOpglFJ+b8CpwpGJXUC9r8AAAAAGAAAAPz8APwAAgAAAAAAAPC/Aqd5xyk6kgPAAk0VjErqBOy/AAAAADwEAAFlBAAAAAAAAAAACAABZQQAAAAAAAAAAAwEAWUICAAAAAAAAAAQAAFlBAAAAAAAAAAAFBABZQQAAAAAAAAAABgIAWUICAAAAAAAAAAcFAFlBAAAAAAAAAAAIAQBZQQAAAAAAAAAACQcAWUEAAAAAAAAAAAoFAFlCAwAAAAAAAAALBwBZQgIAAAAAAAAADAoAWUEAAAAAAAAAAA0MAFlCAgAAAAAAAAADBgBZQQAAAAAAAAAADQsAWUEAAAAAAAAAAAAAAAA</t>
        </r>
      </text>
    </comment>
    <comment ref="A459" authorId="0" shapeId="0" xr:uid="{9B8E623F-A5A9-4897-8F0C-42D19C7F0CA3}">
      <text>
        <r>
          <rPr>
            <sz val="9"/>
            <color indexed="81"/>
            <rFont val="MS P ゴシック"/>
            <family val="3"/>
            <charset val="128"/>
          </rPr>
          <t>Insight iXlW00001C0000459R0585476093S00000916P01036LAocjBAQBF1NjaVRlZ2ljLmRhdGEuTW9sZWN1bGUBbwF/ARJTY2lUZWdpYy5Nb2xlY3VsZQAAAQFkAv5qAQAAAAIAAjQcAAAA/PwA/AACAAAAAAAA8L8CmP+Qfvs67D8Cam/whclUwb8AAAAAGAAAAPz8APwAAgAAAAAAAPC/AhQ/xty1hPc/Aj29UpYhjuU/AAAAABwAAAD8/AD8AAIAAAAAAADwvwIUP8bctYT3PwLx9EpZhjjuvwAAAAAYAAAA/PwA/AACAAAAAAAA8L8Cku18PzVeA0ACTMgHPZtV1z8AAAAAGAAAAPz8APwAAgAAAAAAAPC/AkcDeAskKL6/Ampv8IXJVMG/AAAAABgAAAD8/AD8AAIAAAAAAADwvwKS7Xw/NV4DQALbG3xhMlXkvwAAAAAcAAAA/PwA/AACAAAAAAAA8L8CGCZTBaOS8j8CrfpcbcX++T8AAAAAGAAAAPz8APwAAgAAAAAAAPC/AmkAb4EExeO/AqmkTkATYec/AAAAABgAAAD8/AD8AAIAAAAAAADwvwJpAG+BBMXjvwIvbqMBvAXwvwAAAAAYAAAA/PwA/AACAAAAAAAA8L8CGsBbIEHxAMACam/whclUwb8AAAAAGAAAAPz8APwAAgAAAAAAAPC/AjWAt0CC4vm/Ai9uowG8BfC/AAAAABgAAAD8/AD8AAIAAAAAAADwvwI1gLdAguL5vwKppE5AE2HnPwAAAAAkAAAA/PwA/AACAAAAAAAA8L8CG8BbIEHxCMACam/whclUwb8AAAAAOAQAAWUEAAAAAAAAAAAIAAFlBAAAAAAAAAAADAQBZQgIAAAAAAAAABAAAWUEAAAAAAAAAAAUCAFlCAgAAAAAAAAAGAQBZQQAAAAAAAAAABwQAWUEAAAAAAAAAAAgEAFlCAwAAAAAAAAAJCgBZQgMAAAAAAAAACggAWUEAAAAAAAAAAAsHAFlCAgAAAAAAAAAMCQBZQQAAAAAAAAAAAwUAWUEAAAAAAAAAAAkLAFlBAAAAAAAAAAAAAAAAA==</t>
        </r>
      </text>
    </comment>
    <comment ref="A460" authorId="0" shapeId="0" xr:uid="{2B6E2524-7BFD-4B36-AED6-4DB0CCD3BBE2}">
      <text>
        <r>
          <rPr>
            <sz val="9"/>
            <color indexed="81"/>
            <rFont val="MS P ゴシック"/>
            <family val="3"/>
            <charset val="128"/>
          </rPr>
          <t>Insight iXlW00001C0000460R0585476093S00000918P01108LAocjBAQBF1NjaVRlZ2ljLmRhdGEuTW9sZWN1bGUBbwF/ARJTY2lUZWdpYy5Nb2xlY3VsZQAAAQFkAv5qAQAAAAIAAjgcAAAA/PwA/AACAAAAAAAA8L8CtOpztRX72z8CqaROQBNhs78AAAAAGAAAAPz8APwAAgAAAAAAAPC/Ava52or9ZfA/Aqyt2F92T+y/AAAAABwAAAD8/AD8AAIAAAAAAADwvwL2udqK/WXwPwKCBMWPMXfnPwAAAAAYAAAA/PwA/AACAAAAAAAA8L8CBVYOLbKd/z8CldQJaCJs4r8AAAAAGAAAAPz8APwAAgAAAAAAAPC/AqcKRiV1AuK/AqmkTkATYbO/AAAAABgAAAD8/AD8AAIAAAAAAADwvwIFVg4tsp3/PwLWVuwvuyfbPwAAAAAYAAAA/PwA/AACAAAAAAAA8L8CUwWjkjoB8b8C7uvAOSNK6T8AAAAAHAAAAPz8APwAAgAAAAAAAPC/AvJBz2bV5+Y/AnRGlPYGX/2/AAAAAAERAAAA/PwA/AACAAAAAAAA8L8CpwpGJXUC4r8COdbFbTSA+j8AAAAAGAAAAPz8APwAAgAAAAAAAPC/AlMFo5I6AfG/AhmV1AloIu6/AAAAABgAAAD8/AD8AAIAAAAAAADwvwJI4XoUrkcGQAJvgQTFjzHwPwAAAAAYAAAA/PwA/AACAAAAAAAA8L8CqoJRSZ2AAMAC7uvAOSNK6T8AAAAAGAAAAPz8APwAAgAAAAAAAPC/AqqCUUmdgADAAhmV1AloIu6/AAAAABgAAAD8/AD8AAIAAAAAAADwvwKqglFJnYAEwAKppE5AE2GzvwAAAAA8BAABZQQAAAAAAAAAAAgAAWUEAAAAAAAAAAAMBAFlCAgAAAAAAAAAEAABZQQAAAAAAAAAABQIAWUIDAAAAAAAAAAYEAFlBAAAAAAAAAAAHAQBZQQAAAAAAAAAACAYAWUEAAAAAAAAAAAkEAFlCAwAAAAAAAAAKBQBZQQAAAAAAAAAACwYAWUICAAAAAAAAAAwJAFlBAAAAAAAAAAANDABZQgIAAAAAAAAAAwUAWUEAAAAAAAAAAA0LAFlBAAAAAAAAAAAAAAAAA==</t>
        </r>
      </text>
    </comment>
    <comment ref="A461" authorId="0" shapeId="0" xr:uid="{20A53FFF-C27A-4D70-A2B7-04D9D54618E9}">
      <text>
        <r>
          <rPr>
            <sz val="9"/>
            <color indexed="81"/>
            <rFont val="MS P ゴシック"/>
            <family val="3"/>
            <charset val="128"/>
          </rPr>
          <t>Insight iXlW00001C0000461R0585476093S00000920P01108LAocjBAQBF1NjaVRlZ2ljLmRhdGEuTW9sZWN1bGUBbwF/ARJTY2lUZWdpYy5Nb2xlY3VsZQAAAQFkAv5qAQAAAAIAAjgcAAAA/PwA/AACAAAAAAAA8L8C/DpwzojS4j8C2V92Tx4Wwr8AAAAAGAAAAPz8APwAAgAAAAAAAPC/Au0NvjCZKuY/ArK/7J48LPK/AAAAABwAAAD8/AD8AAIAAAAAAADwvwIRx7q4jQb4PwLLoUW28/3QPwAAAAAYAAAA/PwA/AACAAAAAAAA8L8CQYLix5i7+j8CyCk6kst/9b8AAAAAGAAAAPz8APwAAgAAAAAAAPC/Ag8LtaZ5x9G/AhTQRNjw9NY/AAAAABgAAAD8/AD8AAIAAAAAAADwvwIhQfFjzF0BQAIYJlMFo5LevwAAAAAYAAAA/PwA/AACAAAAAAAA8L8CBqOSOgFN8r8C2V92Tx4Wwr8AAAAAHAAAAPz8APwAAgAAAAAAAPC/AkJg5dAi26m/AnHOiNLe4Py/AAAAABgAAAD8/AD8AAIAAAAAAADwvwKkAbwFEhQAwAIU0ETY8PTWPwAAAAABEQAAAPz8APwAAgAAAAAAAPC/Av2H9NvXAQfAAtlfdk8eFsK/AAAAABgAAAD8/AD8AAIAAAAAAADwvwIPC7WmecfRvwIFNBE2PL31PwAAAAAYAAAA/PwA/AACAAAAAAAA8L8CBqOSOgFN8r8CBTQRNjy9/T8AAAAAGAAAAPz8APwAAgAAAAAAAPC/Avw6cM6IUglAAnHOiNLe4Ne/AAAAABgAAAD8/AD8AAIAAAAAAADwvwKkAbwFEhQAwAIFNBE2PL31PwAAAAA8BAABZQQAAAAAAAAAAAgAAWUEAAAAAAAAAAAMBAFlCAgAAAAAAAAAEAABZQQAAAAAAAAAABQIAWUIDAAAAAAAAAAYEAFlBAAAAAAAAAAAHAQBZQQAAAAAAAAAACAYAWUIDAAAAAAAAAAkIAFlBAAAAAAAAAAAKBABZQgMAAAAAAAAACwoAWUEAAAAAAAAAAAwFAFlBAAAAAAAAAAANCwBZQgIAAAAAAAAAAwUAWUEAAAAAAAAAAA0IAFlBAAAAAAAAAAAAAAAAA==</t>
        </r>
      </text>
    </comment>
    <comment ref="A462" authorId="0" shapeId="0" xr:uid="{A146987D-0752-4200-85AE-EB7D8853A951}">
      <text>
        <r>
          <rPr>
            <sz val="9"/>
            <color indexed="81"/>
            <rFont val="MS P ゴシック"/>
            <family val="3"/>
            <charset val="128"/>
          </rPr>
          <t>Insight iXlW00001C0000462R0585476093S00000922P01176LAocjBAQBF1NjaVRlZ2ljLmRhdGEuTW9sZWN1bGUBbwF/ARJTY2lUZWdpYy5Nb2xlY3VsZQAAAQFkAv5qAQAAAAIAAjwcAAAA/PwA/AACAAAAAAAA8L8C2/l+arx0k78C7MA5I0p7wz8AAAAAGAAAAPz8APwAAgAAAAAAAPC/AtxoAG+BBPk/AqLWNO84Rd8/AAAAABwAAAD8/AD8AAIAAAAAAADwvwIX2c73U+O1PwJjf9k9eVjyPwAAAAAYAAAA/PwA/AACAAAAAAAA8L8COrTIdr6f7D8CQfFjzF1L0L8AAAAAGAAAAPz8APwAAgAAAAAAAPC/AlK4HoXrUey/AoofY+5aQta/AAAAABgAAAD8/AD8AAIAAAAAAADwvwKCBMWPMXcEQAL6fmq8dJPYPwAAAAAYAAAA/PwA/AACAAAAAAAA8L8C3GgAb4EE8T8C6pWyDHGs9T8AAAAAGAAAAPz8APwAAgAAAAAAAPC/Amu8dJMYBPy/AmRd3EYDeMM/AAAAACAAAAD8/AD8AAIAAAAAAADwvwJfukkMAisJQAJKDAIrhxbzPwAAAAAgAAAA/PwA/AACAAAAAAAA8L8CgEi/fR24B0ACi2zn+6nx4L8AAAAAJAAAAPz8APwAAgAAAAAAAPC/Amu8dJMYBPy/Aq2L22gAb/I/AAAAABgAAAD8/AD8AAIAAAAAAADwvwJSuB6F61HsvwLjx5i7lpD1vwAAAAAYAAAA/PwA/AACAAAAAAAA8L8Cj+TyH9LvBMACT9GRXP5D1r8AAAAAGAAAAPz8APwAAgAAAAAAAPC/AtxoAG+BBPy/AuPHmLuWkP2/AAAAABgAAAD8/AD8AAIAAAAAAADwvwKP5PIf0u8EwALjx5i7lpD1vwAAAAABEAQMAWUIDAAAAAAAAAAIAAFlBAAAAAAAAAAADAABZQQAAAAAAAAAABAAAWUEAAAAAAAAAAAUBAFlBAAAAAAAAAAAGAgBZQgIAAAAAAAAABwQAWUEAAAAAAAAAAAgFAFlCAAAAAAAAAAAJBQBZQQAAAAAAAAAACgcAWUEAAAAAAAAAAAsEAFlCAwAAAAAAAAAMBwBZQgIAAAAAAAAADQsAWUEAAAAAAAAAAA4NAFlCAgAAAAAAAAABBgBZQQAAAAAAAAAADgwAWUEAAAAAAAAAAAAAAAA</t>
        </r>
      </text>
    </comment>
    <comment ref="A463" authorId="0" shapeId="0" xr:uid="{01B7F0F9-74A7-4DA1-A175-30C3443E132B}">
      <text>
        <r>
          <rPr>
            <sz val="9"/>
            <color indexed="81"/>
            <rFont val="MS P ゴシック"/>
            <family val="3"/>
            <charset val="128"/>
          </rPr>
          <t>Insight iXlW00001C0000463R0585476093S00000924P01176LAocjBAQBF1NjaVRlZ2ljLmRhdGEuTW9sZWN1bGUBbwF/ARJTY2lUZWdpYy5Nb2xlY3VsZQAAAQFkAv5qAQAAAAIAAjwYAAAA/PwA/AACAAAAAAAA8L8C6Gor9pfd+r8C1XjpJjEI5r8AAAAAHAAAAPz8APwAAgAAAAAAAPC/Ak5iEFg5tLi/AkOtad5xita/AAAAABwAAAD8/AD8AAIAAAAAAADwvwJmGeJYF7fJvwKWsgxxrIv1vwAAAAAYAAAA/PwA/AACAAAAAAAA8L8CuK8D54wo8L8CoyO5/If0qz8AAAAAGAAAAPz8APwAAgAAAAAAAPC/Ak+vlGWIYwXAAuSlm8QgsOK/AAAAABgAAAD8/AD8AAIAAAAAAADwvwLoaiv2l93yvwIdyeU/pN/4vwAAAAAYAAAA/PwA/AACAAAAAAAA8L8CHA3gLZCg6D8Ce6UsQxzrwj8AAAAAIAAAAPz8APwAAgAAAAAAAPC/AixlGeJYFwrAAn0/NV66Sfa/AAAAABgAAAD8/AD8AAIAAAAAAADwvwLQZtXnaiv6PwJDrWnecYrWvwAAAAAYAAAA/PwA/AACAAAAAAAA8L8CHA3gLZCg6D8CsJRliGNd8j8AAAAAIAAAAPz8APwAAgAAAAAAAPC/Ak7zjlN0pAjAAg6+MJkqGNU/AAAAABgAAAD8/AD8AAIAAAAAAADwvwKJY13cRgMEQAKwlGWIY13yPwAAAAAYAAAA/PwA/AACAAAAAAAA8L8C0GbV52or+j8CsJRliGNd+j8AAAAAGAAAAPz8APwAAgAAAAAAAPC/AoljXdxGAwRAAnulLEMc68I/AAAAACQAAAD8/AD8AAIAAAAAAADwvwKqE9BE2PAKQAKwlGWIY136PwAAAAABEAQMAWUEAAAAAAAAAAAIFAFlCAgAAAAAAAAADAABZQgMAAAAAAAAABAAAWUEAAAAAAAAAAAUAAFlBAAAAAAAAAAAGAQBZQQAAAAAAAAAABwQAWUIAAAAAAAAAAAgGAFlBAAAAAAAAAAAJBgBZQgMAAAAAAAAACgQAWUEAAAAAAAAAAAsMAFlCAwAAAAAAAAAMCQBZQQAAAAAAAAAADQgAWUICAAAAAAAAAA4LAFlBAAAAAAAAAAACAQBZQQAAAAAAAAAACw0AWUEAAAAAAAAAAAAAAAA</t>
        </r>
      </text>
    </comment>
    <comment ref="A464" authorId="0" shapeId="0" xr:uid="{EC9B6C7A-17BB-42D6-BCE4-CB596AC7061A}">
      <text>
        <r>
          <rPr>
            <sz val="9"/>
            <color indexed="81"/>
            <rFont val="MS P ゴシック"/>
            <family val="3"/>
            <charset val="128"/>
          </rPr>
          <t>Insight iXlW00001C0000464R0585476093S00000926P01248LAocjBAQBF1NjaVRlZ2ljLmRhdGEuTW9sZWN1bGUBbwF/ARJTY2lUZWdpYy5Nb2xlY3VsZQAAAQFkAv5qAQAAAAIAAgEQGAAAAPz8APwAAgAAAAAAAPC/Amiz6nO1Ffo/At21hHzQs+2/AAAAABwAAAD8/AD8AAIAAAAAAADwvwJnRGlv8IXhPwJ4CyQofozRPwAAAAAcAAAA/PwA/AACAAAAAAAA8L8COPjCZKpg9z8CmG4Sg8DK5T8AAAAAGAAAAPz8APwAAgAAAAAAAPC/AlkXt9EA3uQ/As+I0t7gC+e/AAAAABgAAAD8/AD8AAIAAAAAAADwvwKyne+nxksAQALzsFBrmnf9vwAAAAAYAAAA/PwA/AACAAAAAAAA8L8CtFn1udoKAUACescpOpLLr78AAAAAGAAAAPz8APwAAgAAAAAAAPC/Ajj4wmSqYNS/ArwFEhQ/xug/AAAAABgAAAD8/AD8AAIAAAAAAADwvwJQHhZqTfPyvwJ4CyQofozRPwAAAAAgAAAA/PwA/AACAAAAAAAA8L8CjpduEoNACEACbJp3nKIj/78AAAAAGAAAAPz8APwAAgAAAAAAAPC/Akm/fR04ZwDAArwFEhQ/xug/AAAAACAAAAD8/AD8AAIAAAAAAADwvwKrz9VW7C/3PwK/DpwzojQFwAAAAAAgAAAA/PwA/AACAAAAAAAA8L8Cam/whclUB8ACeAskKH6M0T8AAAAAGAAAAPz8APwAAgAAAAAAAPC/Ajj4wmSqYNS/At4CCYofY/w/AAAAABgAAAD8/AD8AAIAAAAAAADwvwJQHhZqTfPyvwJvgQTFjzECQAAAAAAYAAAA/PwA/AACAAAAAAAA8L8CSb99HThnAMAC3gIJih9j/D8AAAAAGAAAAPz8APwAAgAAAAAAAPC/Ampv8IXJVAfAAkT67evAOee/AAAAAAERBAwBZQQAAAAAAAAAAAgUAWUICAAAAAAAAAAMAAFlCAwAAAAAAAAAEAABZQQAAAAAAAAAABQAAWUEAAAAAAAAAAAYBAFlBAAAAAAAAAAAHBgBZQQAAAAAAAAAACAQAWUIAAAAAAAAAAAkHAFlCAwAAAAAAAAAKBABZQQAAAAAAAAAACwkAWUEAAAAAAAAAAAwGAFlCAwAAAAAAAAANDABZQQAAAAAAAAAADg0AWUICAAAAAAAAAA8LAFlBAAAAAAAAAAACAQBZQQAAAAAAAAAADgkAWUEAAAAAAAAAAAAAAAA</t>
        </r>
      </text>
    </comment>
    <comment ref="A465" authorId="0" shapeId="0" xr:uid="{1A1A5B32-EA80-4DAF-A431-C4E8D94DD0E3}">
      <text>
        <r>
          <rPr>
            <sz val="9"/>
            <color indexed="81"/>
            <rFont val="MS P ゴシック"/>
            <family val="3"/>
            <charset val="128"/>
          </rPr>
          <t>Insight iXlW00001C0000465R0585476093S00000928P01248LAocjBAQBF1NjaVRlZ2ljLmRhdGEuTW9sZWN1bGUBbwF/ARJTY2lUZWdpYy5Nb2xlY3VsZQAAAQFkAv5qAQAAAAIAAgEQGAAAAPz8APwAAgAAAAAAAPC/AnpYqDXNO/4/AsdLN4lBYLW/AAAAABwAAAD8/AD8AAIAAAAAAADwvwLZzvdT46XTPwJZF7fRAN7avwAAAAAcAAAA/PwA/AACAAAAAAAA8L8C+cJkqmBU2j8C3gIJih9j4j8AAAAAGAAAAPz8APwAAgAAAAAAAPC/AkqdgCbChvM/Aoj029eBc+q/AAAAABgAAAD8/AD8AAIAAAAAAADwvwIYJlMFoxIHQAKq8dJNYhDIvwAAAAAYAAAA/PwA/AACAAAAAAAA8L8CelioNc079j8C7S+7Jw8L6T8AAAAAGAAAAPz8APwAAgAAAAAAAPC/Aj55WKg1zfa/AlkXt9EA3tq/AAAAABgAAAD8/AD8AAIAAAAAAADwvwL5MeauJeThvwKti9toAG/tvwAAAAAYAAAA/PwA/AACAAAAAAAA8L8CPnlYqDXN9r8CchsN4C2Q4j8AAAAAIAAAAPz8APwAAgAAAAAAAPC/AvXb14FzxgtAAqwcWmQ73+M/AAAAACAAAAD8/AD8AAIAAAAAAADwvwIWak3zjlMKQAI6tMh2vp/xvwAAAAAkAAAA/PwA/AACAAAAAAAA8L8C+THmriXk4b8CuY0G8BZI8T8AAAAAGAAAAPz8APwAAgAAAAAAAPC/AsDsnjwsVALAAq2L22gAb+2/AAAAABgAAAD8/AD8AAIAAAAAAADwvwLA7J48LFQCwAK5jQbwFkjxPwAAAAAYAAAA/PwA/AACAAAAAAAA8L8C4ZwRpb1BCcACWRe30QDe2r8AAAAAGAAAAPz8APwAAgAAAAAAAPC/AuGcEaW9QQnAAlR0JJf/kOI/AAAAAAERBAwBZQQAAAAAAAAAAAgUAWUICAAAAAAAAAAMAAFlCAwAAAAAAAAAEAABZQQAAAAAAAAAABQAAWUEAAAAAAAAAAAYHAFlBAAAAAAAAAAAHAQBZQQAAAAAAAAAACAYAWUEAAAAAAAAAAAkEAFlCAAAAAAAAAAAKBABZQQAAAAAAAAAACwgAWUEAAAAAAAAAAAwGAFlCAwAAAAAAAAANCABZQgIAAAAAAAAADgwAWUEAAAAAAAAAAA8OAFlCAgAAAAAAAAACAQBZQQAAAAAAAAAADw0AWUEAAAAAAAAAAAAAAAA</t>
        </r>
      </text>
    </comment>
    <comment ref="A466" authorId="0" shapeId="0" xr:uid="{3A6F1F29-7F47-40F8-A4D9-7E295428CD38}">
      <text>
        <r>
          <rPr>
            <sz val="9"/>
            <color indexed="81"/>
            <rFont val="MS P ゴシック"/>
            <family val="3"/>
            <charset val="128"/>
          </rPr>
          <t>Insight iXlW00001C0000466R0585476093S00000930P01248LAocjBAQBF1NjaVRlZ2ljLmRhdGEuTW9sZWN1bGUBbwF/ARJTY2lUZWdpYy5Nb2xlY3VsZQAAAQFkAv5qAQAAAAIAAgEQGAAAAPz8APwAAgAAAAAAAPC/AkXY8PRK2QBAApX2Bl+YTKU/AAAAABwAAAD8/AD8AAIAAAAAAADwvwKOl24Sg8DgPwJZF7fRAN7SvwAAAAAcAAAA/PwA/AACAAAAAAAA8L8CnRGlvcEX5D8C3gIJih9j5j8AAAAAGAAAAPz8APwAAgAAAAAAAPC/Alr1udqK/fY/Aoj029eBc+a/AAAAABgAAAD8/AD8AAIAAAAAAADwvwIg0m9fB84IQAJU46WbxCCwvwAAAAAYAAAA/PwA/AACAAAAAAAA8L8CirDh6ZWy+T8C7S+7Jw8L7T8AAAAAIAAAAPz8APwAAgAAAAAAAPC/Av2H9NvXgQ1AAqwcWmQ73+c/AAAAABgAAAD8/AD8AAIAAAAAAADwvwKwA+eMKO3VvwKti9toAG/pvwAAAAAYAAAA/PwA/AACAAAAAAAA8L8CLiEf9GxW878CHcnlP6Tf0r8AAAAAIAAAAPz8APwAAgAAAAAAAPC/Ah8Wak3zDgxAAnNoke18P++/AAAAABgAAAD8/AD8AAIAAAAAAADwvwK4QILix5gAwAKP5PIf0m/pvwAAAAAYAAAA/PwA/AACAAAAAAAA8L8C2fD0SlmGB8ACHcnlP6Tf0r8AAAAAJAAAAPz8APwAAgAAAAAAAPC/AvmgZ7Pqcw7AAq2L22gAb+m/AAAAABgAAAD8/AD8AAIAAAAAAADwvwK4QILix5gAwAK5jQbwFkjzPwAAAAAYAAAA/PwA/AACAAAAAAAA8L8CLiEf9GxW878CchsN4C2Q5j8AAAAAGAAAAPz8APwAAgAAAAAAAPC/Atnw9EpZhgfAAnIbDeAtkOY/AAAAAAERBAwBZQQAAAAAAAAAAAgUAWUICAAAAAAAAAAMAAFlCAwAAAAAAAAAEAABZQQAAAAAAAAAABQAAWUEAAAAAAAAAAAYEAFlCAAAAAAAAAAAHAQBZQQAAAAAAAAAACAcAWUEAAAAAAAAAAAkEAFlBAAAAAAAAAAAKCABZQQAAAAAAAAAACwoAWUIDAAAAAAAAAAwLAFlBAAAAAAAAAAANDgBZQQAAAAAAAAAADggAWUIDAAAAAAAAAA8NAFlCAgAAAAAAAAACAQBZQQAAAAAAAAAADwsAWUEAAAAAAAAAAAAAAAA</t>
        </r>
      </text>
    </comment>
    <comment ref="A467" authorId="0" shapeId="0" xr:uid="{AB328D1D-E0F4-4074-AAC0-DCF278769B82}">
      <text>
        <r>
          <rPr>
            <sz val="9"/>
            <color indexed="81"/>
            <rFont val="MS P ゴシック"/>
            <family val="3"/>
            <charset val="128"/>
          </rPr>
          <t>Insight iXlW00001C0000467R0585476093S00000932P00964LAocjBAQBF1NjaVRlZ2ljLmRhdGEuTW9sZWN1bGUBbwF/ARJTY2lUZWdpYy5Nb2xlY3VsZQAAAQFkAv5qAQAAAAIAAjAYAAAA/PwA/AACAAAAAAAA8L8CcoqO5PIfyj8CACL99nXg3D8AAAAAHAAAAPz8APwAAgAAAAAAAPC/ApAxdy0hH/E/AgCRfvs6cO4/AAAAABwAAAD8/AD8AAIAAAAAAADwvwJyio7k8h/KPwIBb4EExY/hvwAAAAAgAAAA/PwA/AACAAAAAAAA8L8C5x2n6Egu5b8CAJF++zpw7j8AAAAAIAAAAPz8APwAAgAAAAAAAPC/AvaX3ZOHBQbAAjj4wmSqYNC/AAAAABgAAAD8/AD8AAIAAAAAAADwvwLSkVz+Q/r+PwIBb4EExY/hvwAAAAAYAAAA/PwA/AACAAAAAAAA8L8C0pFc/kP6/j8CACL99nXg3D8AAAAAGAAAAPz8APwAAgAAAAAAAPC/ApAxdy0hH/E/AoC3QILix/C/AAAAABgAAAD8/AD8AAIAAAAAAADwvwI17zhFR3L4vwIAIv32deDcPwAAAAAcAAAA/PwA/AACAAAAAAAA8L8CQs9m1edqBkACgLdAguLH8L8AAAAAGAAAAPz8APwAAgAAAAAAAPC/AlAeFmpN8wPAArkehetRuOY/AAAAABgAAAD8/AD8AAIAAAAAAADwvwISNjy9Upb8vwLVCWgibHjgvwAAAAA0BAABZQgIAAAAAAAAAAgAAWUEAAAAAAAAAAAMAAFlBAAAAAAAAAAAECwBZQQAAAAAAAAAABQcAWUEAAAAAAAAAAAYBAFlBAAAAAAAAAAAHAgBZQgIAAAAAAAAACAMAWUEAAAAAAAAAAAkFAFlBAAAAAAAAAAAKCABZQQAAAAAAAAAACwgAWUEAAAAAAAAAAAYFAFlCAgAAAAAAAAAECgBZQQAAAAAAAAAAAAAAAA=</t>
        </r>
      </text>
    </comment>
    <comment ref="A468" authorId="0" shapeId="0" xr:uid="{7B1BF7F8-94E0-4798-9B99-DC14418DA121}">
      <text>
        <r>
          <rPr>
            <sz val="9"/>
            <color indexed="81"/>
            <rFont val="MS P ゴシック"/>
            <family val="3"/>
            <charset val="128"/>
          </rPr>
          <t>Insight iXlW00001C0000468R0585476093S00000934P00964LAocjBAQBF1NjaVRlZ2ljLmRhdGEuTW9sZWN1bGUBbwF/ARJTY2lUZWdpYy5Nb2xlY3VsZQAAAQFkAv5qAQAAAAIAAjAYAAAA/PwA/AACAAAAAAAA8L8C0gDeAgmK378CACL99nXg3L8AAAAAIAAAAPz8APwAAgAAAAAAAPC/AjWAt0CC4tc/AgCRfvs6cO6/AAAAACAAAAD8/AD8AAIAAAAAAADwvwKDwMqhRbYDQAI4+MJkqmDQPwAAAAAYAAAA/PwA/AACAAAAAAAA8L8C0gDeAgmK378CAW+BBMWP4T8AAAAAGAAAAPz8APwAAgAAAAAAAPC/AsDsnjws1PM/AgAi/fZ14Ny/AAAAABwAAAD8/AD8AAIAAAAAAADwvwI1gLdAguLXPwKAt0CC4sfwPwAAAAAYAAAA/PwA/AACAAAAAAAA8L8CFR3J5T+kAUACuR6F61G45r8AAAAAGAAAAPz8APwAAgAAAAAAAPC/ApwzorQ3+Pc/AtUJaCJseOA/AAAAABgAAAD8/AD8AAIAAAAAAADwvwJ24JwRpb31vwIAkX77OnDuvwAAAAAYAAAA/PwA/AACAAAAAAAA8L8CduCcEaW99b8CgLdAguLH8D8AAAAAGAAAAPz8APwAAgAAAAAAAPC/AlwgQfFjzAHAAgAi/fZ14Ny/AAAAABgAAAD8/AD8AAIAAAAAAADwvwJcIEHxY8wBwAIBb4EExY/hPwAAAAA0BAABZQQAAAAAAAAAAAgcAWUEAAAAAAAAAAAMAAFlBAAAAAAAAAAAEAQBZQQAAAAAAAAAABQMAWUEAAAAAAAAAAAYEAFlBAAAAAAAAAAAHBABZQQAAAAAAAAAACAAAWUIDAAAAAAAAAAkDAFlCAgAAAAAAAAAKCABZQQAAAAAAAAAACwoAWUICAAAAAAAAAAkLAFlBAAAAAAAAAAACBgBZQQAAAAAAAAAAAAAAAA=</t>
        </r>
      </text>
    </comment>
    <comment ref="A469" authorId="0" shapeId="0" xr:uid="{F10383CB-8EFF-406A-90E7-63544F66CF4B}">
      <text>
        <r>
          <rPr>
            <sz val="9"/>
            <color indexed="81"/>
            <rFont val="MS P ゴシック"/>
            <family val="3"/>
            <charset val="128"/>
          </rPr>
          <t>Insight iXlW00001C0000469R0585476093S00000936P01320LAocjBAQBF1NjaVRlZ2ljLmRhdGEuTW9sZWN1bGUBbwF/ARJTY2lUZWdpYy5Nb2xlY3VsZQAAAQFkAv5qAQAAAAIBAgERGAAAAPz8APwAAgAAAAAAAPC/AmPuWkI+6PO/AlfsL7snD+k/AAAAABwAAAD8/AD8AAIAAAAAAADwvwJSSZ2AJsLSvwKBJsKGp1fePwAAAAAgAAAA/PwA/AACAAAAAAAA8L8C63O1FfvL/78CyXa+nxovvT8AAAAAGAAAAPz8APwAAgAAAAAAAPC/AnZxGw3gLZA/AveX3ZOHhd6/AAAAABgAAAD8/AD8AAIAAAAAAADwvwKM22gAb4HgPwJa9bnaiv3wPwAAAAAgAAAA/PwA/AACAAAAAAAA8L8CelioNc07978C5x2n6Egu/D8AAAAAHAAAAPz8APwAAgAAAAAAAPC/AoDZPXlYqPk/AonS3uALk/S/AAAAACAAAAD8/AD8AAIAAAAAAADwvwIUP8bctQQQQAJhVFInoInwvwAAAAAYDAAA/PwA/AACAAAAAAAA8L8Cxm00gLdA8D8C95fdk4eF3r8AAAAAGAAAAPz8APwAAgAAAAAAAPC/Av2H9NvXgQfAAuBPjZduEts/AAAAABgAAAD8/AD8AAIAAAAAAADwvwLChqdXyjL1PwKBJsKGp1fePwAAAAAYAAAA/PwA/AACAAAAAAAA8L8Cm+Ydp+jIBEACEOm3rwPn8r8AAAAAGAAAAPz8APwAAgAAAAAAAPC/AqqCUUmdAAtAAn+MuWsJ+fy/AAAAABgAAAD8/AD8AAIAAAAAAADwvwJSuB6F69EJQAKOdXEbDeDZvwAAAAAYAAAA/PwA/AACAAAAAAAA8L8CQz7o2az6CcACTDeJQWDl4L8AAAAAGAAAAPz8APwAAgAAAAAAAPC/AgVWDi2yHQ/AAunZrPpcbec/AAAAABgAAAD8/AD8AAIAAAAAAADwvwK30QDeAgkFwAIH8BZIUPz1PwAAAAABEgQAAWUEAAAAAAAAAAAIAAFlBAAAAAAAAAAADAQBZQQAAAAAAAAAABAEAWUEAAAAAAAAAAAUAAFlCAAAAAAAAAAAIBgBZQQUAAAAAAAAABw0AWUEAAAAAAAAAAAgDAFlBAAAAAAAAAAAJAgBZQQAAAAAAAAAACgQAWUEAAAAAAAAAAAsGAFlBAAAAAAAAAAAMCwBZQQAAAAAAAAAADQsAWUEAAAAAAAAAAA4JAFlBAAAAAAAAAAAPCQBZQQAAAAAAAAAAAEQJAFlBAAAAAAAAAAAKCABZQQAAAAAAAAAABwwAWUEAAAAAAAAAAAAAAAA</t>
        </r>
      </text>
    </comment>
    <comment ref="A470" authorId="0" shapeId="0" xr:uid="{4E769397-3584-47CE-BBF5-9361B678D733}">
      <text>
        <r>
          <rPr>
            <sz val="9"/>
            <color indexed="81"/>
            <rFont val="MS P ゴシック"/>
            <family val="3"/>
            <charset val="128"/>
          </rPr>
          <t>Insight iXlW00001C0000470R0585476093S00000938P01320LAocjBAQBF1NjaVRlZ2ljLmRhdGEuTW9sZWN1bGUBbwF/ARJTY2lUZWdpYy5Nb2xlY3VsZQAAAQFkAv5qAQAAAAIBAgERHAAAAPz8APwAAgAAAAAAAPC/AoPAyqFFtv0/Amsr9pfdk88/AAAAABgAAAD8/AD8AAIAAAAAAADwvwIqOpLLf0j3vwJkzF1LyAe9vwAAAAAcAAAA/PwA/AACAAAAAAAA8L8CRWlv8IXJ5r8C1LzjFB3J4T8AAAAAGAAAAPz8APwAAgAAAAAAAPC/AhFYObTIdgZAAvFjzF1LyOE/AAAAABgAAAD8/AD8AAIAAAAAAADwvwL4U+Olm8TwPwJOYhBYObTqPwAAAAAgAAAA/PwA/AACAAAAAAAA8L8CHeviNhpAA8ACseHplbIMyT8AAAAAGAAAAPz8APwAAgAAAAAAAPC/AvhT46WbxPg/AmFUUiegiea/AAAAACAAAAD8/AD8AAIAAAAAAADwvwLqJjEIrJwQQAJpAG+BBMXvPwAAAAAgAAAA/PwA/AACAAAAAAAA8L8ChXzQs1n1878CEVg5tMh28b8AAAAAGAgAAPz8APwAAgAAAAAAAPC/AmU730+Nl84/Amsr9pfdk88/AAAAABgAAAD8/AD8AAIAAAAAAADwvwLwp8ZLN4nhPwJhVFInoInmvwAAAAAYAAAA/PwA/AACAAAAAAAA8L8CGQRWDi0yCcACJEp7gy9M3r8AAAAAGAAAAPz8APwAAgAAAAAAAPC/AmU730+Nlw1AArfRAN4CCbo/AAAAABgAAAD8/AD8AAIAAAAAAADwvwJ/arx0kxgKQAKh+DHmriX3PwAAAAAYAAAA/PwA/AACAAAAAAAA8L8CgSbChqfXA8ACggTFjzF3878AAAAAGAAAAPz8APwAAgAAAAAAAPC/At1GA3gLJA/AArmNBvAWSPK/AAAAABgAAAD8/AD8AAIAAAAAAADwvwJ4CyQofowOwAL7y+7Jw0LRPwAAAAABEgQIAWUEAAAAAAAAAAAkCAFlBBAAAAAAAAAADAABZQQAAAAAAAAAABAAAWUEAAAAAAAAAAAUBAFlBAAAAAAAAAAAGAABZQQAAAAAAAAAABw0AWUEAAAAAAAAAAAgBAFlCAAAAAAAAAAAJBABZQQAAAAAAAAAACgYAWUEAAAAAAAAAAAsFAFlBAAAAAAAAAAAMAwBZQQAAAAAAAAAADQMAWUEAAAAAAAAAAA4LAFlBAAAAAAAAAAAPCwBZQQAAAAAAAAAAAEQLAFlBAAAAAAAAAAAKCQBZQQAAAAAAAAAABwwAWUEAAAAAAAAAAAAAAAA</t>
        </r>
      </text>
    </comment>
    <comment ref="A471" authorId="0" shapeId="0" xr:uid="{6C71D86C-C599-45C4-9A94-80A1B6DB95C5}">
      <text>
        <r>
          <rPr>
            <sz val="9"/>
            <color indexed="81"/>
            <rFont val="MS P ゴシック"/>
            <family val="3"/>
            <charset val="128"/>
          </rPr>
          <t>Insight iXlW00001C0000471R0585476093S00000940P01104LAocjBAQBF1NjaVRlZ2ljLmRhdGEuTW9sZWN1bGUBbwF/ARJTY2lUZWdpYy5Nb2xlY3VsZQAAAQFkAv5qAQAAAAIAAjgYAAAA/PwA/AACAAAAAAAA8L8CuR6F61G4AkACq2BUUieg678AAAAAGAAAAPz8APwAAgAAAAAAAPC/Ai/dJAaBlfc/ApEPejarPte/AAAAACAAAAD8/AD8AAIAAAAAAADwvwJIcvkP6bcJwAIvbqMBvAWyvwAAAAAgAAAA/PwA/AACAAAAAAAA8L8C2c73U+OlCUACVcGopE5A178AAAAAIAAAAPz8APwAAgAAAAAAAPC/AgfwFkhQ/PG/AqvP1VbsL/I/AAAAABgAAAD8/AD8AAIAAAAAAADwvwIv3SQGgZX3PwJWn6ut2F/kPwAAAAAYAAAA/PwA/AACAAAAAAAA8L8C2/l+arx04z8CyQc9m1Wf678AAAAAGAAAAPz8APwAAgAAAAAAAPC/AklQ/Bhz1/+/Alafq63YX+Q/AAAAABgAAAD8/AD8AAIAAAAAAADwvwJQjZduEoPQvwJWn6ut2F/kPwAAAAAgAAAA/PwA/AACAAAAAAAA8L8CuR6F61G4AkACVjAqqRPQ/b8AAAAAGAAAAPz8APwAAgAAAAAAAPC/AlCNl24Sg9C/AlXBqKROQNe/AAAAABgAAAD8/AD8AAIAAAAAAADwvwLb+X5qvHTjPwKrz9VW7C/yPwAAAAAYAAAA/PwA/AACAAAAAAAA8L8C2c73U+OlB8ACDy2yne+n7D8AAAAAGAAAAPz8APwAAgAAAAAAAPC/ApLLf0i//QHAAv32deCcEdW/AAAAADwEAAFlBAAAAAAAAAAACDQBZQQAAAAAAAAAAAwAAWUIAAAAAAAAAAAQIAFlBAAAAAAAAAAAFAQBZQQAAAAAAAAAABgEAWUIDAAAAAAAAAAcEAFlBAAAAAAAAAAAICgBZQgMAAAAAAAAACQAAWUEAAAAAAAAAAAoGAFlBAAAAAAAAAAALBQBZQgIAAAAAAAAADAcAWUEAAAAAAAAAAA0HAFlBAAAAAAAAAAAICwBZQQAAAAAAAAAAAgwAWUEAAAAAAAAAAAAAAAA</t>
        </r>
      </text>
    </comment>
    <comment ref="A472" authorId="0" shapeId="0" xr:uid="{7227D4CE-11B7-4138-95A8-0B173553BABE}">
      <text>
        <r>
          <rPr>
            <sz val="9"/>
            <color indexed="81"/>
            <rFont val="MS P ゴシック"/>
            <family val="3"/>
            <charset val="128"/>
          </rPr>
          <t>Insight iXlW00001C0000472R0585476093S00000942P01396LAocjBAQBF1NjaVRlZ2ljLmRhdGEuTW9sZWN1bGUBbwF/ARJTY2lUZWdpYy5Nb2xlY3VsZQAAAQFkAv5qAQAAAAIAAgESGAAAAPz8APwAAgAAAAAAAPC/AlqGONbFbaS/AqK0N/jCZMI/AAAAABgAAAD8/AD8AAIAAAAAAADwvwIAkX77OnDqPwIp7Q2+MJnkPwAAAAAYAAAA/PwA/AACAAAAAAAA8L8CWoY41sVtpL8C2BLyQc9m678AAAAAGAAAAPz8APwAAgAAAAAAAPC/AulILv8h/ey/AkeU9gZfmOQ/AAAAABgAAAD8/AD8AAIAAAAAAADwvwK2hHzQs1n8vwIaUdobfGHCPwAAAAAYAAAA/PwA/AACAAAAAAAA8L8CfPKwUGsaBcACR5T2Bl+Y5D8AAAAAIAAAAPz8APwAAgAAAAAAAPC/AgCRfvs6cOo/AmwJ+aBns/W/AAAAACAAAAD8/AD8AAIAAAAAAADwvwKEns2qz1UHQALwFkhQ/BjDvwAAAAAYAAAA/PwA/AACAAAAAAAA8L8C6Ugu/yH97L8CbAn5oGez9b8AAAAAIAAAAPz8APwAAgAAAAAAAPC/Ap2iI7n8BwzAAhpR2ht8YcI/AAAAABgAAAD8/AD8AAIAAAAAAADwvwK2hHzQs1n8vwLYEvJBz2brvwAAAAAkAAAA/PwA/AACAAAAAAAA8L8C/yH99nXg1D8C1lbsL7sn+D8AAAAAJAAAAPz8APwAAgAAAAAAAPC/AsKopE5AE/s/ApX2Bl+YTPI/AAAAACQAAAD8/AD8AAIAAAAAAADwvwKASL99HTj1PwLzsFBrmnfMvwAAAAAYAAAA/PwA/AACAAAAAAAA8L8CwqikTkAT+z8C2BLyQc9m678AAAAAIAAAAPz8APwAAgAAAAAAAPC/AnzysFBrGgXAAiRKe4MvTPo/AAAAABgAAAD8/AD8AAIAAAAAAADwvwIW+8vuyUMFQAK5/If029fxvwAAAAAYAAAA/PwA/AACAAAAAAAA8L8Cnu+nxks3/z8C5j+k374OvD8AAAAAARMEAAFlBAAAAAAAAAAACAABZQgIAAAAAAAAAAwAAWUEAAAAAAAAAAAQDAFlCAwAAAAAAAAAFBABZQQAAAAAAAAAABgIAWUEAAAAAAAAAAAcAREBZQQAAAAAAAAAACAIAWUEAAAAAAAAAAAkFAFlCAAAAAAAAAAAKBABZQQAAAAAAAAAACwEAWUEAAAAAAAAAAAwBAFlBAAAAAAAAAAANAQBZQQAAAAAAAAAADgYAWUEAAAAAAAAAAA8FAFlBAAAAAAAAAAAARA4AWUEAAAAAAAAAAABETgBZQQAAAAAAAAAACAoAWUICAAAAAAAAAAcARABZQQAAAAAAAAAAAAAAAA=</t>
        </r>
      </text>
    </comment>
    <comment ref="A473" authorId="0" shapeId="0" xr:uid="{368E54B3-F90A-4C07-8999-D1281AD49A6B}">
      <text>
        <r>
          <rPr>
            <sz val="9"/>
            <color indexed="81"/>
            <rFont val="MS P ゴシック"/>
            <family val="3"/>
            <charset val="128"/>
          </rPr>
          <t>Insight iXlW00001C0000473R0585476093S00000944P01392LAocjBAQBF1NjaVRlZ2ljLmRhdGEuTW9sZWN1bGUBbwF/ARJTY2lUZWdpYy5Nb2xlY3VsZQAAAQFkAv5qAQAAAAIBAgESGAAAAPz8APwAAgAAAAAAAPC/AhTQRNjw9O6/AiBj7lpCPtw/AAAAABwAAAD8/AD8AAIAAAAAAADwvwIooImw4endvwKrz9VW7C/bvwAAAAAgAAAA/PwA/AACAAAAAAAA8L8CCmgibHh6/78CIGPuWkI+3D8AAAAAGAAAAPz8APwAAgAAAAAAAPC/AgrXo3A9CuE/AqvP1VbsL9u/AAAAACAAAAD8/AD8AAIAAAAAAADwvwIooImw4endvwIK+aBns+r0PwAAAAAcAAAA/PwA/AACAAAAAAAA8L8Cw/UoXI9CAEACLdSa5h2n9L8AAAAAIAAAAPz8APwAAgAAAAAAAPC/Agr5oGez6glAApqZmZmZmek/AAAAABgAAAD8/AD8AAIAAAAAAADwvwIFNBE2PL0DwAIK+aBns+r0PwAAAAAYDAAA/PwA/AACAAAAAAAA8L8ChetRuB6F8D8CLdSa5h2n9L8AAAAAGAAAAPz8APwAAgAAAAAAAPC/AsP1KFyPQgRAAqvP1VbsL9u/AAAAABgAAAD8/AD8AAIAAAAAAADwvwIU0ETY8PTuvwIt1JrmHaf0vwAAAAAYAAAA/PwA/AACAAAAAAAA8L8CeJyiI7n8C0AC6wQ0ETY8xb8AAAAAGAAAAPz8APwAAgAAAAAAAPC/AlVSJ6CJMAJAAuELk6mCUeE/AAAAABgAAAD8/AD8AAIAAAAAAADwvwIooImw4endvwI3GsBbIEEBwAAAAAAYAAAA/PwA/AACAAAAAAAA8L8C7S+7Jw8L4T8CNxrAWyBBAcAAAAAAGAAAAPz8APwAAgAAAAAAAPC/Al+6SQwCqwrAAhPyQc9m1ek/AAAAABgAAAD8/AD8AAIAAAAAAADwvwIFNBE2PL0HwAKmLEMc62IBQAAAAAAYAAAA/PwA/AACAAAAAAAA8L8CyQc9m1Wf+b8CCvmgZ7Pq/D8AAAAAARMEAAFlBAAAAAAAAAAACAABZQQAAAAAAAAAAAwEAWUEAAAAAAAAAAAQAAFlCAAAAAAAAAAAIBQBZQQQAAAAAAAAABgwAWUEAAAAAAAAAAAcCAFlBAAAAAAAAAAAIAwBZQQAAAAAAAAAACQUAWUEAAAAAAAAAAAoBAFlBAAAAAAAAAAALCQBZQQAAAAAAAAAADAkAWUEAAAAAAAAAAA0KAFlBAAAAAAAAAAAODQBZQQAAAAAAAAAADwcAWUEAAAAAAAAAAABEBwBZQQAAAAAAAAAAAERHAFlBAAAAAAAAAAAOCABZQQAAAAAAAAAABgsAWUEAAAAAAAAAAAAAAAA</t>
        </r>
      </text>
    </comment>
    <comment ref="A474" authorId="0" shapeId="0" xr:uid="{19351BE2-E42B-4AD2-869D-495B1AED9656}">
      <text>
        <r>
          <rPr>
            <sz val="9"/>
            <color indexed="81"/>
            <rFont val="MS P ゴシック"/>
            <family val="3"/>
            <charset val="128"/>
          </rPr>
          <t>Insight iXlW00001C0000474R0585476093S00000946P01464LAocjBAQBF1NjaVRlZ2ljLmRhdGEuTW9sZWN1bGUBbwF/ARJTY2lUZWdpYy5Nb2xlY3VsZQAAAQFkAv5qAQAAAAIBAgETGAAAAPz8APwAAgAAAAAAAPC/Ai2yne+nxv2/AngLJCh+jNk/AAAAABwAAAD8/AD8AAIAAAAAAADwvwL1SlmGONbvvwK8BRIUP8bsPwAAAAAgAAAA/PwA/AACAAAAAAAA8L8COIlBYOXQBcACvAUSFD/G7D8AAAAAIAAAAPz8APwAAgAAAAAAAPC/AiEf9GxWPRJAAs1dS8gHPbs/AAAAACAAAAD8/AD8AAIAAAAAAADwvwItsp3vp8b9vwJE+u3rwDnjvwAAAAAcAAAA/PwA/AACAAAAAAAA8L8Cxm00gLfAA0ACsVBrmnec8b8AAAAAGAAAAPz8APwAAgAAAAAAAPC/Alg5tMh2vgzAAngLJCh+jNk/AAAAABgAAAD8/AD8AAIAAAAAAADwvwIf9GxWfa4KQAJiodY07zjjvwAAAAAYCAAA/PwA/AACAAAAAAAA8L8CyCk6kst/wL8CeAskKH6M2T8AAAAAGAwAAPz8APwAAgAAAAAAAPC/Akp7gy9Mpvk/AmKh1jTvOOO/AAAAABgAAAD8/AD8AAIAAAAAAADwvwLIKTqSy3/AvwJiodY07zjjvwAAAAAYAAAA/PwA/AACAAAAAAAA8L8CEjY8vVKW5z8CsVBrmnec8b8AAAAAGAAAAPz8APwAAgAAAAAAAPC/AhI2PL1Sluc/ArwFEhQ/xuw/AAAAABgAAAD8/AD8AAIAAAAAAADwvwJKe4MvTKb5PwI9vVKWIY7ZPwAAAAAYAAAA/PwA/AACAAAAAAAA8L8Cak3zjlM0EUAC/Yf029eB678AAAAAGAAAAPz8APwAAgAAAAAAAPC/Ao6XbhKDwAxAAuXyH9JvX9c/AAAAABgAAAD8/AD8AAIAAAAAAADwvwJYObTIdr4IwAKPdXEbDeDdvwAAAAAYAAAA/PwA/AACAAAAAAAA8L8CvXSTGATWEcACEAu1pnnHub8AAAAAGAAAAPz8APwAAgAAAAAAAPC/AqwcWmQ7XxDAApEPejarPvQ/AAAAAAEUBAABZQQAAAAAAAAAAAgAAWUEAAAAAAAAAAAMPAFlBAAAAAAAAAAAEAABZQgAAAAAAAAAACQUAWUEEAAAAAAAAAAYCAFlBAAAAAAAAAAAHBQBZQQAAAAAAAAAACAEAWUEFAAAAAAAAAAkNAFlBAAAAAAAAAAAKCABZQQAAAAAAAAAACwoAWUEAAAAAAAAAAAwIAFlBAAAAAAAAAAANDABZQQAAAAAAAAAADgcAWUEAAAAAAAAAAA8HAFlBAAAAAAAAAAAARAYAWUEAAAAAAAAAAABERgBZQQAAAAAAAAAAAESGAFlBAAAAAAAAAAAJCwBZQQAAAAAAAAAAAw4AWUEAAAAAAAAAAAAAAAA</t>
        </r>
      </text>
    </comment>
    <comment ref="A475" authorId="0" shapeId="0" xr:uid="{6F4C576A-7760-43E0-A7AE-B90DD133C4C2}">
      <text>
        <r>
          <rPr>
            <sz val="9"/>
            <color indexed="81"/>
            <rFont val="MS P ゴシック"/>
            <family val="3"/>
            <charset val="128"/>
          </rPr>
          <t>Insight iXlW00001C0000475R0585476093S00000948P01104LAocjBAQBF1NjaVRlZ2ljLmRhdGEuTW9sZWN1bGUBbwF/ARJTY2lUZWdpYy5Nb2xlY3VsZQAAAQFkAv5qAQAAAAIAAjgcAAAA/PwA/AACAAAAAAAA8L8CYqHWNO84578CBHgLJCh+2D8AAAAAGAAAAPz8APwAAgAAAAAAAPC/ArWmeccpOvq/AvvL7snDQuk/AAAAABwAAAD8/AD8AAIAAAAAAADwvwJUdCSX/5DqvwJrK/aX3ZPjvwAAAAAYAAAA/PwA/AACAAAAAAAA8L8C87BQa5p3AsACvw6cM6K0pz8AAAAAGAAAAPz8APwAAgAAAAAAAPC/AuVhodY07/y/Apf/kH77Ouq/AAAAABgAAAD8/AD8AAIAAAAAAADwvwKFfNCzWfXBPwICvAUSFD/sPwAAAAAcAAAA/PwA/AACAAAAAAAA8L8C0m9fB84Z8D8C/0P67evA478AAAAAHAAAAPz8APwAAgAAAAAAAPC/AswQx7q4jf2/ArmNBvAWSPw/AAAAABgAAAD8/AD8AAIAAAAAAADwvwLSb18HzhnwPwIEeAskKH7YPwAAAAAYAAAA/PwA/AACAAAAAAAA8L8C8fRKWYa4AcACQYLix5i7+78AAAAAGAAAAPz8APwAAgAAAAAAAPC/AhTQRNjw9P0/Av8h/fZ14PG/AAAAABgAAAD8/AD8AAIAAAAAAADwvwIU0ETY8PT9PwICvAUSFD/sPwAAAAAYAAAA/PwA/AACAAAAAAAA8L8CKxiV1AnoBUAC/0P67evA478AAAAAGAAAAPz8APwAAgAAAAAAAPC/AisYldQJ6AVAAgR4CyQoftg/AAAAADwEAAFlBAAAAAAAAAAACAABZQQAAAAAAAAAAAwEAWUICAAAAAAAAAAQCAFlCAwAAAAAAAAAFAABZQQAAAAAAAAAABggAWUEAAAAAAAAAAAcBAFlBAAAAAAAAAAAIBQBZQQAAAAAAAAAACQQAWUEAAAAAAAAAAAoGAFlCAgAAAAAAAAALCABZQgIAAAAAAAAADA0AWUICAAAAAAAAAA0LAFlBAAAAAAAAAAADBABZQQAAAAAAAAAADAoAWUEAAAAAAAAAAAAAAAA</t>
        </r>
      </text>
    </comment>
    <comment ref="A476" authorId="0" shapeId="0" xr:uid="{0D360A49-D0A1-41D6-B555-F10730D49FF2}">
      <text>
        <r>
          <rPr>
            <sz val="9"/>
            <color indexed="81"/>
            <rFont val="MS P ゴシック"/>
            <family val="3"/>
            <charset val="128"/>
          </rPr>
          <t>Insight iXlW00001C0000476R0585476093S00000950P01104LAocjBAQBF1NjaVRlZ2ljLmRhdGEuTW9sZWN1bGUBbwF/ARJTY2lUZWdpYy5Nb2xlY3VsZQAAAQFkAv5qAQAAAAIAAjgcAAAA/PwA/AACAAAAAAAA8L8CYqHWNO845z8CBHgLJCh+2L8AAAAAGAAAAPz8APwAAgAAAAAAAPC/ArWmeccpOvo/AvvL7snDQum/AAAAABwAAAD8/AD8AAIAAAAAAADwvwJUdCSX/5DqPwJrK/aX3ZPjPwAAAAAYAAAA/PwA/AACAAAAAAAA8L8C87BQa5p3AkACvw6cM6K0p78AAAAAGAAAAPz8APwAAgAAAAAAAPC/AuVhodY07/w/Apf/kH77Ouo/AAAAABgAAAD8/AD8AAIAAAAAAADwvwKFfNCzWfXBvwICvAUSFD/svwAAAAAcAAAA/PwA/AACAAAAAAAA8L8CKxiV1AnoBcACBHgLJCh+2L8AAAAAHAAAAPz8APwAAgAAAAAAAPC/AswQx7q4jf0/ArmNBvAWSPy/AAAAABgAAAD8/AD8AAIAAAAAAADwvwLSb18HzhnwvwIEeAskKH7YvwAAAAAYAAAA/PwA/AACAAAAAAAA8L8CFNBE2PD0/b8CArwFEhQ/7L8AAAAAGAAAAPz8APwAAgAAAAAAAPC/AvH0SlmGuAFAAkGC4seYu/s/AAAAABgAAAD8/AD8AAIAAAAAAADwvwIrGJXUCegFwAL/Q/rt68DjPwAAAAAYAAAA/PwA/AACAAAAAAAA8L8C0m9fB84Z8L8C/0P67evA4z8AAAAAGAAAAPz8APwAAgAAAAAAAPC/AhTQRNjw9P2/Av8h/fZ14PE/AAAAADwEAAFlBAAAAAAAAAAACAABZQQAAAAAAAAAAAwEAWUICAAAAAAAAAAQCAFlCAwAAAAAAAAAFAABZQQAAAAAAAAAABgkAWUICAAAAAAAAAAcBAFlBAAAAAAAAAAAIBQBZQQAAAAAAAAAACQgAWUEAAAAAAAAAAAoEAFlBAAAAAAAAAAALDQBZQgIAAAAAAAAADAgAWUIDAAAAAAAAAA0MAFlBAAAAAAAAAAADBABZQQAAAAAAAAAACwYAWUEAAAAAAAAAAAAAAAA</t>
        </r>
      </text>
    </comment>
    <comment ref="A477" authorId="0" shapeId="0" xr:uid="{597E319C-362E-4406-890F-D45498864CDB}">
      <text>
        <r>
          <rPr>
            <sz val="9"/>
            <color indexed="81"/>
            <rFont val="MS P ゴシック"/>
            <family val="3"/>
            <charset val="128"/>
          </rPr>
          <t>Insight iXlW00001C0000477R0585476093S00000952P01104LAocjBAQBF1NjaVRlZ2ljLmRhdGEuTW9sZWN1bGUBbwF/ARJTY2lUZWdpYy5Nb2xlY3VsZQAAAQFkAv5qAQAAAAIAAjgcAAAA/PwA/AACAAAAAAAA8L8CDQIrhxbZ5D8C+n5qvHSTqD8AAAAAGAAAAPz8APwAAgAAAAAAAPC/Ak9AE2HD0/M/AicxCKwcWui/AAAAABwAAAD8/AD8AAIAAAAAAADwvwJPQBNhw9PzPwIHgZVDi2zrPwAAAAAYAAAA/PwA/AACAAAAAAAA8L8CL26jAbyFAUACIbByaJHt3L8AAAAAGAAAAPz8APwAAgAAAAAAAPC/Ai9uowG8hQFAAvCnxks3ieE/AAAAABgAAAD8/AD8AAIAAAAAAADwvwLo+6nx0k3WvwL6fmq8dJOoPwAAAAAcAAAA/PwA/AACAAAAAAAA8L8CpU5AE2HD7T8CMgisHFpk+78AAAAAGAAAAPz8APwAAgAAAAAAAPC/AvT91HjpJuu/AnNoke18P+0/AAAAABgAAAD8/AD8AAIAAAAAAADwvwL0/dR46SbrvwKUGARWDi3qvwAAAAAYAAAA/PwA/AACAAAAAAAA8L8CfT81XrrJAsAC+n5qvHSTqD8AAAAAGAAAAPz8APwAAgAAAAAAAPC/Avp+arx0k/2/ApQYBFYOLeq/AAAAABgAAAD8/AD8AAIAAAAAAADwvwL6fmq8dJP9vwJzaJHtfD/tPwAAAAAkAAAA/PwA/AACAAAAAAAA8L8CfT81XrrJCsAC+n5qvHSTqD8AAAAAGAAAAPz8APwAAgAAAAAAAPC/AnUkl/+Q/gdAArK/7J48LPI/AAAAADwEAAFlBAAAAAAAAAAACAABZQQAAAAAAAAAAAwEAWUICAAAAAAAAAAQCAFlCAwAAAAAAAAAFAABZQQAAAAAAAAAABgEAWUEAAAAAAAAAAAcFAFlCAwAAAAAAAAAIBQBZQQAAAAAAAAAACQoAWUEAAAAAAAAAAAoIAFlCAgAAAAAAAAALBwBZQQAAAAAAAAAADAkAWUEAAAAAAAAAAA0EAFlBAAAAAAAAAAADBABZQQAAAAAAAAAACQsAWUICAAAAAAAAAAAAAAA</t>
        </r>
      </text>
    </comment>
    <comment ref="A478" authorId="0" shapeId="0" xr:uid="{A823EA7E-A3C8-4108-A475-8B1C68E2E3AB}">
      <text>
        <r>
          <rPr>
            <sz val="9"/>
            <color indexed="81"/>
            <rFont val="MS P ゴシック"/>
            <family val="3"/>
            <charset val="128"/>
          </rPr>
          <t>Insight iXlW00001C0000478R0585476093S00000954P00948LAocjBAQBF1NjaVRlZ2ljLmRhdGEuTW9sZWN1bGUBbwF/ARJTY2lUZWdpYy5Nb2xlY3VsZQAAAQFkAv5qAQAAAAIAAjAYAAAA/PwA/AACAAAAAAAA8L8CjpduEoPA8j8Cj1N0JJf/0L8AAAAAHAAAAPz8APwAAgAAAAAAAPC/AjnWxW00gOU/AuXyH9JvX/Q/AAAAABgAAAD8/AD8AAIAAAAAAADwvwLiWBe30QDGPwLLoUW28/3QvwAAAAAcAAAA/PwA/AACAAAAAAAA8L8C8KfGSzeJwb8CVg4tsp3v5T8AAAAAGAAAAPz8APwAAgAAAAAAAPC/AkcDeAskKPw/Am+BBMWPMfG/AAAAABgAAAD8/AD8AAIAAAAAAADwvwIZBFYOLbL3PwJWDi2yne/lPwAAAAAgAAAA/PwA/AACAAAAAAAA8L8Cf/s6cM4IBkAC7S+7Jw8L778AAAAAGAAAAPz8APwAAgAAAAAAAPC/Ag1xrIvbaPG/Am3n+6nx0u8/AAAAACAAAAD8/AD8AAIAAAAAAADwvwLZzvdT46X1PwJ01xLyQc//vwAAAAAgAAAA/PwA/AACAAAAAAAA8L8CUkmdgCZCBsACBqOSOgFN5D8AAAAAGAAAAPz8APwAAgAAAAAAAPC/ApX2Bl+YTP2/At6Th4Va09Q/AAAAABgAAAD8/AD8AAIAAAAAAADwvwIWjErqBDQMwAKHp1fKMsShvwAAAAAwBBQBZQgIAAAAAAAAAAgAAWUIDAAAAAAAAAAMCAFlBAAAAAAAAAAAEAABZQQAAAAAAAAAABQAAWUEAAAAAAAAAAAYEAFlCAAAAAAAAAAAHAwBZQQAAAAAAAAAACAQAWUEAAAAAAAAAAAkKAFlBAAAAAAAAAAAKBwBZQQAAAAAAAAAACwkAWUEAAAAAAAAAAAEDAFlBAAAAAAAAAAAAAAAAA==</t>
        </r>
      </text>
    </comment>
    <comment ref="A479" authorId="0" shapeId="0" xr:uid="{CEFDFB4F-817F-49D8-8EBD-498CE3532874}">
      <text>
        <r>
          <rPr>
            <sz val="9"/>
            <color indexed="81"/>
            <rFont val="MS P ゴシック"/>
            <family val="3"/>
            <charset val="128"/>
          </rPr>
          <t>Insight iXlW00001C0000479R0585476093S00000956P00772LAocjBAQBF1NjaVRlZ2ljLmRhdGEuTW9sZWN1bGUBbwF/ARJTY2lUZWdpYy5Nb2xlY3VsZQAAAQFkAv5qAQAAAAIAAigcAAAA/PwA/AACAAAAAAAA8L8CAAAAAAAA/z8C5BQdyeU/6D8AAAAAHAAAAPz8APwAAgAAAAAAAPC/AgAAAAAAAPc/AgwkKH6Mubu/AAAAABgAAAD8/AD8AAIAAAAAAADwvwIAAAAAAADcPwIMJCh+jLm7vwAAAAAYAAAA/PwA/AACAAAAAAAA8L8CAAAAAAAAsL8CBcWPMXct778AAAAAGAAAAPz8APwAAgAAAAAAAPC/AgAAAAAAAPG/AgXFjzF3Le+/AAAAACAAAAD8/AD8AAIAAAAAAADwvwIAAAAAAAD5vwIMJCh+jLm7vwAAAAAYAAAA/PwA/AACAAAAAAAA8L8CAAAAAAAA8b8CArwFEhQ/6D8AAAAAGAAAAPz8APwAAgAAAAAAAPC/AgAAAAAAALC/AgK8BRIUP+g/AAAAAAERAAAA/PwA/AACAAAAAAAA8L8CZ2ZmZmbmBUACSHL5D+m3v78AAAAAAREAAAD8/AD8AAIAAAAAAADwvwKDUUmdgCYOQAK/DpwzorS3vwAAAAAgAAQBZQQAAAAAAAAAAAQIAWUEAAAAAAAAAAAIDAFlBAAAAAAAAAAADBABZQQAAAAAAAAAABAUAWUEAAAAAAAAAAAUGAFlBAAAAAAAAAAAGBwBZQQAAAAAAAAAABwIAWUEAAAAAAAAAAAAAAAA</t>
        </r>
      </text>
    </comment>
    <comment ref="A480" authorId="0" shapeId="0" xr:uid="{51255BFC-F441-4031-98CD-E7CADF5AE249}">
      <text>
        <r>
          <rPr>
            <sz val="9"/>
            <color indexed="81"/>
            <rFont val="MS P ゴシック"/>
            <family val="3"/>
            <charset val="128"/>
          </rPr>
          <t>Insight iXlW00001C0000480R0585476093S00000958P00824LAocjBAQBF1NjaVRlZ2ljLmRhdGEuTW9sZWN1bGUBbwF/ARJTY2lUZWdpYy5Nb2xlY3VsZQAAAQFkAv5qAQAAAAIBAiggAAAA/PwA/AACAAAAAAAA8L8C4zYawFsgAkACC7Wmeccp4r8AAAAAHAAAAPz8APwAAgAAAAAAAPC/AlmoNc07TsG/Aj4K16NwPeq/AAAAABwAAAD8/AD8AAIAAAAAAADwvwLFILByaJHzvwLEQq1p3nH4PwAAAAAYAAAA/PwA/AACAAAAAAAA8L8CV32utmJ/6z8Cat5xio7k5r8AAAAAGAwAAPz8APwAAgAAAAAAAPC/AopBYOXQIue/ArtJDAIrh4a/AAAAABgAAAD8/AD8AAIAAAAAAADwvwLJdr6fGi/6PwKjkjoBTYT1vwAAAAAYAAAA/PwA/AACAAAAAAAA8L8CqTXNO07R9z8C9I5TdCSXrz8AAAAAGAAAAPz8APwAAgAAAAAAAPC/AsUgsHJokfu/ArtJDAIrh4a/AAAAABgAAAD8/AD8AAIAAAAAAADwvwKoxks3iUEAwAL3Bl+YTBXuPwAAAAAYAAAA/PwA/AACAAAAAAAA8L8C5tAi2/l+2r8C9wZfmEwV7j8AAAAALAQMAWUEAAAAAAAAAAAIJAFlBAAAAAAAAAAADBgBZQQAAAAAAAAAABAEAWUEFAAAAAAAAAAUAAFlBAAAAAAAAAAAGAABZQQAAAAAAAAAABwQAWUEAAAAAAAAAAAgHAFlBAAAAAAAAAAAJBABZQQAAAAAAAAAABQMAWUEAAAAAAAAAAAIIAFlBAAAAAAAAAAAAAAAAA==</t>
        </r>
      </text>
    </comment>
    <comment ref="A481" authorId="0" shapeId="0" xr:uid="{217CFFAC-838D-4C20-94D5-22D16B1D9897}">
      <text>
        <r>
          <rPr>
            <sz val="9"/>
            <color indexed="81"/>
            <rFont val="MS P ゴシック"/>
            <family val="3"/>
            <charset val="128"/>
          </rPr>
          <t>Insight iXlW00001C0000481R0585476093S00000960P00824LAocjBAQBF1NjaVRlZ2ljLmRhdGEuTW9sZWN1bGUBbwF/ARJTY2lUZWdpYy5Nb2xlY3VsZQAAAQFkAv5qAQAAAAIBAiggAAAA/PwA/AACAAAAAAAA8L8C4zYawFsgAkACC7Wmeccp4r8AAAAAHAAAAPz8APwAAgAAAAAAAPC/AlmoNc07TsG/Aj4K16NwPeq/AAAAABwAAAD8/AD8AAIAAAAAAADwvwLFILByaJHzvwLEQq1p3nH4PwAAAAAYAAAA/PwA/AACAAAAAAAA8L8CV32utmJ/6z8Cat5xio7k5r8AAAAAGAgAAPz8APwAAgAAAAAAAPC/AopBYOXQIue/ArtJDAIrh4a/AAAAABgAAAD8/AD8AAIAAAAAAADwvwLJdr6fGi/6PwKjkjoBTYT1vwAAAAAYAAAA/PwA/AACAAAAAAAA8L8CqTXNO07R9z8C9I5TdCSXrz8AAAAAGAAAAPz8APwAAgAAAAAAAPC/AsUgsHJokfu/ArtJDAIrh4a/AAAAABgAAAD8/AD8AAIAAAAAAADwvwKoxks3iUEAwAL3Bl+YTBXuPwAAAAAYAAAA/PwA/AACAAAAAAAA8L8C5tAi2/l+2r8C9wZfmEwV7j8AAAAALAQMAWUEAAAAAAAAAAAIJAFlBAAAAAAAAAAADBgBZQQAAAAAAAAAABAEAWUEEAAAAAAAAAAUAAFlBAAAAAAAAAAAGAABZQQAAAAAAAAAABwQAWUEAAAAAAAAAAAgHAFlBAAAAAAAAAAAJBABZQQAAAAAAAAAABQMAWUEAAAAAAAAAAAIIAFlBAAAAAAAAAAAAAAAAA==</t>
        </r>
      </text>
    </comment>
    <comment ref="A482" authorId="0" shapeId="0" xr:uid="{8C4377A8-46E6-4A62-9D99-D7B742EF1A08}">
      <text>
        <r>
          <rPr>
            <sz val="9"/>
            <color indexed="81"/>
            <rFont val="MS P ゴシック"/>
            <family val="3"/>
            <charset val="128"/>
          </rPr>
          <t>Insight iXlW00001C0000482R0585476093S00000962P00892LAocjBAQBF1NjaVRlZ2ljLmRhdGEuTW9sZWN1bGUBbwF/ARJTY2lUZWdpYy5Nb2xlY3VsZQAAAQFkAv5qAQAAAAIBAiwgAAAA/PwA/AACAAAAAAAA8L8CXW3F/rL7A0ACXW3F/rJ71j8AAAAAHAAAAPz8APwAAgAAAAAAAPC/AgTnjCjtDdo/Am1Wfa62Yuu/AAAAABwAAAD8/AD8AAIAAAAAAADwvwKCc0aU9oYBwALarPpcbcXWvwAAAAAYAAAA/PwA/AACAAAAAAAA8L8CdEaU9gZf9D8C2qz6XG3F1r8AAAAAGAwAAPz8APwAAgAAAAAAAPC/AgOaCBueXt2/Atqs+lxtxda/AAAAABgAAAD8/AD8AAIAAAAAAADwvwLvycNCrekBQAIIPZtVn6vjvwAAAAAYAAAA/PwA/AACAAAAAAAA8L8CUI2XbhKD+D8CZ0Rpb/CF4z8AAAAAGAAAAPz8APwAAgAAAAAAAPC/AsKGp1fKMvW/Am1Wfa62Yuu/AAAAABgAAAD8/AD8AAIAAAAAAADwvwKCc0aU9oYBwAKxUGuad5zkPwAAAAAYAAAA/PwA/AACAAAAAAAA8L8CA5oIG55e3b8Ck6mCUUmd5D8AAAAAGAAAAPz8APwAAgAAAAAAAPC/AsKGp1fKMvW/AlmoNc07TvI/AAAAADAEDAFlBAAAAAAAAAAACBwBZQQAAAAAAAAAAAwYAWUEAAAAAAAAAAAQBAFlBBQAAAAAAAAAFAABZQQAAAAAAAAAABgAAWUEAAAAAAAAAAAcEAFlBAAAAAAAAAAAICgBZQQAAAAAAAAAACQQAWUEAAAAAAAAAAAoJAFlBAAAAAAAAAAAFAwBZQQAAAAAAAAAAAggAWUEAAAAAAAAAAAAAAAA</t>
        </r>
      </text>
    </comment>
    <comment ref="A483" authorId="0" shapeId="0" xr:uid="{E919CD3C-B967-4DA9-8403-9CECD739468E}">
      <text>
        <r>
          <rPr>
            <sz val="9"/>
            <color indexed="81"/>
            <rFont val="MS P ゴシック"/>
            <family val="3"/>
            <charset val="128"/>
          </rPr>
          <t>Insight iXlW00001C0000483R0585476093S00000964P00892LAocjBAQBF1NjaVRlZ2ljLmRhdGEuTW9sZWN1bGUBbwF/ARJTY2lUZWdpYy5Nb2xlY3VsZQAAAQFkAv5qAQAAAAIBAiwcAAAA/PwA/AACAAAAAAAA8L8C3iQGgZVDu78CKVyPwvUoxL8AAAAAGAAAAPz8APwAAgAAAAAAAPC/Ak5iEFg5tPG/Ailcj8L1KMS/AAAAABgAAAD8/AD8AAIAAAAAAADwvwLJdr6fGi/ZPwJ56SYxCKzmPwAAAAAgAAAA/PwA/AACAAAAAAAA8L8CtTf4wmQqBMACKVyPwvUoxL8AAAAAGAAAAPz8APwAAgAAAAAAAPC/Asl2vp8aL9k/AsdLN4lBYPC/AAAAABgMAAD8/AD8AAIAAAAAAADwvwKyne+nxkv2PwJ56SYxCKzmPwAAAAAYAAAA/PwA/AACAAAAAAAA8L8C3GgAb4EE/b8CETY8vVKW4T8AAAAAGAAAAPz8APwAAgAAAAAAAPC/AtxoAG+BBP2/Aibkg57Nquu/AAAAABwAAAD8/AD8AAIAAAAAAADwvwKzne+nxkv+PwJvgQTFjzH5PwAAAAAYAAAA/PwA/AACAAAAAAAA8L8Csp3vp8ZL9j8Cx0s3iUFg8L8AAAAAGAAAAPz8APwAAgAAAAAAAPC/ArOd76fGS/4/Ailcj8L1KMS/AAAAADAEAAFlBAAAAAAAAAAACAABZQQAAAAAAAAAAAwcAWUEAAAAAAAAAAAQAAFlBAAAAAAAAAAAFAgBZQQAAAAAAAAAABgEAWUEAAAAAAAAAAAcBAFlBAAAAAAAAAAAFCABZQQUAAAAAAAAACQQAWUEAAAAAAAAAAAoJAFlBAAAAAAAAAAADBgBZQQAAAAAAAAAACgUAWUEAAAAAAAAAAAAAAAA</t>
        </r>
      </text>
    </comment>
    <comment ref="A484" authorId="0" shapeId="0" xr:uid="{5EA888CE-94DC-47ED-80D4-14BDD9B3CA1F}">
      <text>
        <r>
          <rPr>
            <sz val="9"/>
            <color indexed="81"/>
            <rFont val="MS P ゴシック"/>
            <family val="3"/>
            <charset val="128"/>
          </rPr>
          <t>Insight iXlW00001C0000484R0585476093S00000966P00964LAocjBAQBF1NjaVRlZ2ljLmRhdGEuTW9sZWN1bGUBbwF/ARJTY2lUZWdpYy5Nb2xlY3VsZQAAAQFkAv5qAQAAAAIBAjAgAAAA/PwA/AACAAAAAAAA8L8C9pfdk4cFBkACOPjCZKpg0D8AAAAAHAAAAPz8APwAAgAAAAAAAPC/Aucdp+hILuU/AgCRfvs6cO6/AAAAABgAAAD8/AD8AAIAAAAAAADwvwI17zhFR3L4PwIAIv32deDcvwAAAAAYDAAA/PwA/AACAAAAAAAA8L8CcoqO5PIfyr8CACL99nXg3L8AAAAAHAAAAPz8APwAAgAAAAAAAPC/AkLPZtXnagbAAoC3QILix/A/AAAAABgIAAD8/AD8AAIAAAAAAADwvwJDPujZrPr+vwIBb4EExY/hPwAAAAAYAAAA/PwA/AACAAAAAAAA8L8CcoqO5PIfyr8CAW+BBMWP4T8AAAAAGAAAAPz8APwAAgAAAAAAAPC/AgHeAgmKH/G/AgCRfvs6cO6/AAAAABgAAAD8/AD8AAIAAAAAAADwvwJQHhZqTfMDQAK5HoXrUbjmvwAAAAAYAAAA/PwA/AACAAAAAAAA8L8CEjY8vVKW/D8Ct2J/2T154D8AAAAAGAAAAPz8APwAAgAAAAAAAPC/AkM+6Nms+v6/AgAi/fZ14Ny/AAAAABgAAAD8/AD8AAIAAAAAAADwvwKQMXctIR/xvwKAt0CC4sfwPwAAAAA0BAgBZQQAAAAAAAAAAAgkAWUEAAAAAAAAAAAMBAFlBBAAAAAAAAAAFBABZQQUAAAAAAAAABQoAWUEAAAAAAAAAAAYDAFlBAAAAAAAAAAAHAwBZQQAAAAAAAAAACAAAWUEAAAAAAAAAAAkAAFlBAAAAAAAAAAAKBwBZQQAAAAAAAAAACwYAWUEAAAAAAAAAAAgCAFlBAAAAAAAAAAAFCwBZQQAAAAAAAAAAAAAAAA=</t>
        </r>
      </text>
    </comment>
    <comment ref="A485" authorId="0" shapeId="0" xr:uid="{BD871F60-8647-430E-AE34-E985F9E971D6}">
      <text>
        <r>
          <rPr>
            <sz val="9"/>
            <color indexed="81"/>
            <rFont val="MS P ゴシック"/>
            <family val="3"/>
            <charset val="128"/>
          </rPr>
          <t>Insight iXlW00001C0000485R0585476093S00000968P00824LAocjBAQBF1NjaVRlZ2ljLmRhdGEuTW9sZWN1bGUBbwF/ARJTY2lUZWdpYy5Nb2xlY3VsZQAAAQFkAv5qAQAAAAIAAigcAAAA/PwA/AACAAAAAAAA8L8Cy6FFtvP9xD8CMuauJeSDzr8AAAAAGAAAAPz8APwAAgAAAAAAAPC/AopBYOXQIu8/As47TtGRXNY/AAAAABwAAAD8/AD8AAIAAAAAAADwvwITg8DKoUXePwJkzF1LyAfzvwAAAAAYAAAA/PwA/AACAAAAAAAA8L8CUI2XbhKD/D8CMuauJeSDzr8AAAAAGAAAAPz8APwAAgAAAAAAAPC/AsUgsHJokfc/AmTMXUvIB/O/AAAAABgAAAD8/AD8AAIAAAAAAADwvwLJdr6fGi/pvwJhw9MrZRmyPwAAAAAcAAAA/PwA/AACAAAAAAAA8L8CqOhILv8h7z8C9I5TdCSX9T8AAAAAGAAAAPz8APwAAgAAAAAAAPC/AnWTGARWDgHAAgK8BRIUP+A/AAAAABgAAAD8/AD8AAIAAAAAAADwvwINAiuHFtn6vwKdoiO5/IfYvwAAAAAYAAAA/PwA/AACAAAAAAAA8L8CQmDl0CLb878CvAUSFD/G7j8AAAAALAQAAWUEAAAAAAAAAAAIAAFlBAAAAAAAAAAADAQBZQgIAAAAAAAAABAIAWUICAAAAAAAAAAUAAFlBAAAAAAAAAAAGAQBZQQAAAAAAAAAABwkAWUEAAAAAAAAAAAgFAFlBAAAAAAAAAAAJBQBZQQAAAAAAAAAABwgAWUEAAAAAAAAAAAMEAFlBAAAAAAAAAAAAAAAAA==</t>
        </r>
      </text>
    </comment>
    <comment ref="A486" authorId="0" shapeId="0" xr:uid="{4C26920B-4CCE-4504-AE8D-75B55F0EC7CD}">
      <text>
        <r>
          <rPr>
            <sz val="9"/>
            <color indexed="81"/>
            <rFont val="MS P ゴシック"/>
            <family val="3"/>
            <charset val="128"/>
          </rPr>
          <t>Insight iXlW00001C0000486R0585476093S00000970P00824LAocjBAQBF1NjaVRlZ2ljLmRhdGEuTW9sZWN1bGUBbwF/ARJTY2lUZWdpYy5Nb2xlY3VsZQAAAQFkAv5qAQAAAAIAAigcAAAA/PwA/AACAAAAAAAA8L8Cy6FFtvP9xD8CMuauJeSDzr8AAAAAGAAAAPz8APwAAgAAAAAAAPC/AopBYOXQIu8/As47TtGRXNY/AAAAABwAAAD8/AD8AAIAAAAAAADwvwITg8DKoUXePwJkzF1LyAfzvwAAAAAYAAAA/PwA/AACAAAAAAAA8L8CUI2XbhKD/D8CMuauJeSDzr8AAAAAGAAAAPz8APwAAgAAAAAAAPC/Asl2vp8aL+m/AmHD0ytlGbI/AAAAABgAAAD8/AD8AAIAAAAAAADwvwLFILByaJH3PwJkzF1LyAfzvwAAAAAgAAAA/PwA/AACAAAAAAAA8L8CdZMYBFYOAcACArwFEhQ/4D8AAAAAHAAAAPz8APwAAgAAAAAAAPC/AqjoSC7/Ie8/AvSOU3Qkl/U/AAAAABgAAAD8/AD8AAIAAAAAAADwvwJCYOXQItvzvwK8BRIUP8buPwAAAAAYAAAA/PwA/AACAAAAAAAA8L8CDQIrhxbZ+r8CnaIjufyH2L8AAAAALAQAAWUEAAAAAAAAAAAIAAFlBAAAAAAAAAAADAQBZQgIAAAAAAAAABAAAWUEAAAAAAAAAAAUCAFlCAgAAAAAAAAAGCQBZQQAAAAAAAAAABwEAWUEAAAAAAAAAAAgEAFlBAAAAAAAAAAAJBABZQQAAAAAAAAAABggAWUEAAAAAAAAAAAMFAFlBAAAAAAAAAAAAAAAAA==</t>
        </r>
      </text>
    </comment>
    <comment ref="A487" authorId="0" shapeId="0" xr:uid="{CF301312-71FA-48E2-A073-83CB83F829AB}">
      <text>
        <r>
          <rPr>
            <sz val="9"/>
            <color indexed="81"/>
            <rFont val="MS P ゴシック"/>
            <family val="3"/>
            <charset val="128"/>
          </rPr>
          <t>Insight iXlW00001C0000487R0585476093S00000972P01036LAocjBAQBF1NjaVRlZ2ljLmRhdGEuTW9sZWN1bGUBbwF/ARJTY2lUZWdpYy5Nb2xlY3VsZQAAAQFkAv5qAQAAAAIAAjQcAAAA/PwA/AACAAAAAAAA8L8CGy/dJAaB8L8C2IFzRpT23j8AAAAAGAAAAPz8APwAAgAAAAAAAPC/ApQYBFYOLfK/Ap/Nqs/VVuC/AAAAABwAAAD8/AD8AAIAAAAAAADwvwIfhetRuB7/vwLIKTqSy3/sPwAAAAAYAAAA/PwA/AACAAAAAAAA8L8CKKCJsOHpAMACrfpcbcX+5r8AAAAAGAAAAPz8APwAAgAAAAAAAPC/Asl2vp8aL8W/AuzAOSNKe+8/AAAAABgAAAD8/AD8AAIAAAAAAADwvwIooImw4ekEwALiehSuR+HCPwAAAAAcAAAA/PwA/AACAAAAAAAA8L8C0SLb+X5q5j8CMuauJeSD4L8AAAAAHAAAAPz8APwAAgAAAAAAAPC/Amyad5yiI9m/Ao51cRsN4PK/AAAAABgAAAD8/AD8AAIAAAAAAADwvwLRItv5fmrmPwLYgXNGlPbePwAAAAAYAAAA/PwA/AACAAAAAAAA8L8CqvHSTWIQ+T8CGXPXEvJB8L8AAAAAGAAAAPz8APwAAgAAAAAAAPC/Aqrx0k1iEPk/AuzAOSNKe+8/AAAAABgAAAD8/AD8AAIAAAAAAADwvwL2KFyPwnUDQAIy5q4l5IPgvwAAAAAYAAAA/PwA/AACAAAAAAAA8L8CL/8h/fZ1A0ACnDOitDf43j8AAAAAOAQAAWUEAAAAAAAAAAAIAAFlBAAAAAAAAAAADAQBZQgIAAAAAAAAABAAAWUEAAAAAAAAAAAUCAFlCAgAAAAAAAAAGCABZQQAAAAAAAAAABwEAWUEAAAAAAAAAAAgEAFlBAAAAAAAAAAAJBgBZQgIAAAAAAAAACggAWUICAAAAAAAAAAsMAFlCAgAAAAAAAAAMCgBZQQAAAAAAAAAAAwUAWUEAAAAAAAAAAAsJAFlBAAAAAAAAAAAAAAAAA==</t>
        </r>
      </text>
    </comment>
    <comment ref="A488" authorId="0" shapeId="0" xr:uid="{25FBDA1B-35D2-4D73-8A4E-E1C2B6373A4F}">
      <text>
        <r>
          <rPr>
            <sz val="9"/>
            <color indexed="81"/>
            <rFont val="MS P ゴシック"/>
            <family val="3"/>
            <charset val="128"/>
          </rPr>
          <t>Insight iXlW00001C0000488R0585476093S00000974P01176LAocjBAQBF1NjaVRlZ2ljLmRhdGEuTW9sZWN1bGUBbwF/ARJTY2lUZWdpYy5Nb2xlY3VsZQAAAQFkAv5qAQAAAAIAAjwcAAAA/PwA/AACAAAAAAAA8L8C9dvXgXNG+D8CdnEbDeAtoL8AAAAAGAAAAPz8APwAAgAAAAAAAPC/AvhT46WbxPE/Ag+cM6K0N+w/AAAAABwAAAD8/AD8AAIAAAAAAADwvwLW52or9hcEQALCFyZTBaOyPwAAAAAYAAAA/PwA/AACAAAAAAAA8L8CgNk9eVio/T8COIlBYOXQ+D8AAAAAGAAAAPz8APwAAgAAAAAAAPC/AuGcEaW9wQVAAjiJQWDl0PA/AAAAABgAAAD8/AD8AAIAAAAAAADwvwL129eBc0bwPwKbd5yiI7nsvwAAAAAYAAAA/PwA/AACAAAAAAAA8L8CIv32deCckT8Cm3ecoiO57L8AAAAAHAAAAPz8APwAAgAAAAAAAPC/AuVhodY078A/Ah44Z0Rpb/E/AAAAABgAAAD8/AD8AAIAAAAAAADwvwIukKD4MebevwJ2cRsN4C2gvwAAAAAYAAAA/PwA/AACAAAAAAAA8L8Cm3ecoiO5978CdnEbDeAtoL8AAAAAIAAAAPz8APwAAgAAAAAAAPC/AgwkKH6Muf+/AmwJ+aBns+o/AAAAABgAAAD8/AD8AAIAAAAAAADwvwIMJCh+jLn3vwKASL99HTj8vwAAAAAYAAAA/PwA/AACAAAAAAAA8L8CLpCg+DHm3r8CgEi/fR04/L8AAAAAGAAAAPz8APwAAgAAAAAAAPC/Apt3nKIjuf+/An3Qs1n1uey/AAAAABgAAAD8/AD8AAIAAAAAAADwvwIGEhQ/xtwHwAJsCfmgZ7PqPwAAAAABEAQAAWUEAAAAAAAAAAAIAAFlBAAAAAAAAAAADAQBZQgIAAAAAAAAABAIAWUICAAAAAAAAAAUAAFlBAAAAAAAAAAAGBQBZQQAAAAAAAAAABwEAWUEAAAAAAAAAAAgGAFlBAAAAAAAAAAAJCABZQgMAAAAAAAAACgkAWUEAAAAAAAAAAAsMAFlBAAAAAAAAAAAMBgBZQgMAAAAAAAAADQsAWUICAAAAAAAAAA4KAFlBAAAAAAAAAAADBABZQQAAAAAAAAAADQkAWUEAAAAAAAAAAAAAAAA</t>
        </r>
      </text>
    </comment>
    <comment ref="A489" authorId="0" shapeId="0" xr:uid="{B5C0E8DC-2D63-4E0C-B0CE-89A5578BC499}">
      <text>
        <r>
          <rPr>
            <sz val="9"/>
            <color indexed="81"/>
            <rFont val="MS P ゴシック"/>
            <family val="3"/>
            <charset val="128"/>
          </rPr>
          <t>Insight iXlW00001C0000489R0585476093S00000976P00964LAocjBAQBF1NjaVRlZ2ljLmRhdGEuTW9sZWN1bGUBbwF/ARJTY2lUZWdpYy5Nb2xlY3VsZQAAAQFkAv5qAQAAAAIAAjAcAAAA/PwA/AACAAAAAAAA8L8CCvmgZ7Pq478Cnl4pyxDHwj8AAAAAGAAAAPz8APwAAgAAAAAAAPC/As07TtGRXPO/Am+BBMWPMeW/AAAAABwAAAD8/AD8AAIAAAAAAADwvwJcj8L1KFzzvwK+MJkqGJXuPwAAAAAYAAAA/PwA/AACAAAAAAAA8L8C7uvAOSNKAcACsVBrmnec1r8AAAAAGAAAAPz8APwAAgAAAAAAAPC/Au0NvjCZKtg/Ap5eKcsQx8I/AAAAABgAAAD8/AD8AAIAAAAAAADwvwK2FfvL7kkBwAKoV8oyxLHkPwAAAAAcAAAA/PwA/AACAAAAAAAA8L8C9wZfmEwV7D8CvsEXJlMF578AAAAAHAAAAPz8APwAAgAAAAAAAPC/AqJFtvP91Oy/AsfctYR80Pm/AAAAABgAAAD8/AD8AAIAAAAAAADwvwL3Bl+YTBXsPwIWjErqBDTwPwAAAAAYAAAA/PwA/AACAAAAAAAA8L8CfIMvTKYK/j8C3GgAb4EE578AAAAAGAAAAPz8APwAAgAAAAAAAPC/AnyDL0ymCv4/AhaMSuoENPA/AAAAABgAAAD8/AD8AAIAAAAAAADwvwK+wRcmUwUDQAKeXinLEMfCPwAAAAA0BAABZQQAAAAAAAAAAAgAAWUEAAAAAAAAAAAMBAFlCAgAAAAAAAAAEAABZQQAAAAAAAAAABQIAWUICAAAAAAAAAAYEAFlBAAAAAAAAAAAHAQBZQQAAAAAAAAAACAQAWUIDAAAAAAAAAAkGAFlCAgAAAAAAAAAKCABZQQAAAAAAAAAACwoAWUICAAAAAAAAAAMFAFlBAAAAAAAAAAALCQBZQQAAAAAAAAAAAAAAAA=</t>
        </r>
      </text>
    </comment>
    <comment ref="A490" authorId="0" shapeId="0" xr:uid="{96FA09D4-8962-4C58-A41F-5980E0E538E7}">
      <text>
        <r>
          <rPr>
            <sz val="9"/>
            <color indexed="81"/>
            <rFont val="MS P ゴシック"/>
            <family val="3"/>
            <charset val="128"/>
          </rPr>
          <t>Insight iXlW00001C0000490R0585476093S00000978P01036LAocjBAQBF1NjaVRlZ2ljLmRhdGEuTW9sZWN1bGUBbwF/ARJTY2lUZWdpYy5Nb2xlY3VsZQAAAQFkAv5qAQAAAAIAAjQcAAAA/PwA/AACAAAAAAAA8L8CuY0G8BZI5j8CF9nO91Pj2b8AAAAAGAAAAPz8APwAAgAAAAAAAPC/AnDwhclUwfk/AkhQ/Bhz12I/AAAAABwAAAD8/AD8AAIAAAAAAADwvwKrYFRSJ6DpPwL8qfHSTWL2vwAAAAAYAAAA/PwA/AACAAAAAAAA8L8CKssQx7q4xb8CppvEILByuD8AAAAAGAAAAPz8APwAAgAAAAAAAPC/AtDVVuwvOwJAAqFns+pztee/AAAAABgAAAD8/AD8AAIAAAAAAADwvwKneccpOpLwvwIX2c73U+PZvwAAAAAYAAAA/PwA/AACAAAAAAAA8L8CoKut2F92/D8CEhQ/xty1+b8AAAAAHAAAAPz8APwAAgAAAAAAAPC/AoZa07zjFP0/AuXyH9JvX+8/AAAAABgAAAD8/AD8AAIAAAAAAADwvwLp2az6XG3+vwKmm8QgsHK4PwAAAAAkAAAA/PwA/AACAAAAAAAA8L8CTvOOU3QkBsACF9nO91Pj2b8AAAAAGAAAAPz8APwAAgAAAAAAAPC/AirLEMe6uMW/ArtJDAIrh/E/AAAAABgAAAD8/AD8AAIAAAAAAADwvwKneccpOpLwvwK7SQwCK4f5PwAAAAAYAAAA/PwA/AACAAAAAAAA8L8C6dms+lxt/r8Cu0kMAiuH8T8AAAAAOAQAAWUEAAAAAAAAAAAIAAFlBAAAAAAAAAAADAABZQQAAAAAAAAAABAEAWUICAAAAAAAAAAUDAFlBAAAAAAAAAAAGAgBZQgIAAAAAAAAABwEAWUEAAAAAAAAAAAgFAFlCAwAAAAAAAAAJCABZQQAAAAAAAAAACgMAWUIDAAAAAAAAAAsKAFlBAAAAAAAAAAAMCwBZQgIAAAAAAAAABAYAWUEAAAAAAAAAAAwIAFlBAAAAAAAAAAAAAAAAA==</t>
        </r>
      </text>
    </comment>
    <comment ref="A491" authorId="0" shapeId="0" xr:uid="{133E8F98-FEA5-43F1-9F8F-F006934EC32D}">
      <text>
        <r>
          <rPr>
            <sz val="9"/>
            <color indexed="81"/>
            <rFont val="MS P ゴシック"/>
            <family val="3"/>
            <charset val="128"/>
          </rPr>
          <t>Insight iXlW00001C0000491R0585476093S00000980P01036LAocjBAQBF1NjaVRlZ2ljLmRhdGEuTW9sZWN1bGUBbwF/ARJTY2lUZWdpYy5Nb2xlY3VsZQAAAQFkAv5qAQAAAAIAAjQcAAAA/PwA/AACAAAAAAAA8L8CKqkT0ETY5D8CjSjtDb4w0b8AAAAAGAAAAPz8APwAAgAAAAAAAPC/At6Th4Va0/M/AtBE2PD0SuE/AAAAABgAAAD8/AD8AAIAAAAAAADwvwKsrdhfdk/WvwKNKO0NvjDRvwAAAAAcAAAA/PwA/AACAAAAAAAA8L8C3pOHhVrT8z8Cr7Zif9k98b8AAAAAGAAAAPz8APwAAgAAAAAAAPC/AvaX3ZOHhQFAAueuJeSDns0/AAAAABgAAAD8/AD8AAIAAAAAAADwvwL2l92Th4UBQAJHlPYGX5jovwAAAAAYAAAA/PwA/AACAAAAAAAA8L8C1lbsL7sn678CPSzUmuYd4z8AAAAAHAAAAPz8APwAAgAAAAAAAPC/AqVOQBNhw+0/AgYSFD/G3Pc/AAAAAAERAAAA/PwA/AACAAAAAAAA8L8CrK3YX3ZP1r8CYHZPHhZq9z8AAAAAGAAAAPz8APwAAgAAAAAAAPC/AtZW7C+7J+u/AmWqYFRSJ/K/AAAAABgAAAD8/AD8AAIAAAAAAADwvwJrK/aX3ZP9vwI9LNSa5h3jPwAAAAAYAAAA/PwA/AACAAAAAAAA8L8Cayv2l92T/b8CZapgVFIn8r8AAAAAGAAAAPz8APwAAgAAAAAAAPC/ArYV+8vuyQLAAo0o7Q2+MNG/AAAAADgEAAFlBAAAAAAAAAAACAABZQQAAAAAAAAAAAwAAWUEAAAAAAAAAAAQBAFlCAgAAAAAAAAAFAwBZQgIAAAAAAAAABgIAWUEAAAAAAAAAAAcBAFlBAAAAAAAAAAAIBgBZQQAAAAAAAAAACQIAWUIDAAAAAAAAAAoGAFlCAgAAAAAAAAALCQBZQQAAAAAAAAAADAsAWUICAAAAAAAAAAQFAFlBAAAAAAAAAAAMCgBZQQAAAAAAAAAAAAAAAA=</t>
        </r>
      </text>
    </comment>
    <comment ref="A492" authorId="0" shapeId="0" xr:uid="{C8429579-D95C-4D78-A732-3489BB300F0C}">
      <text>
        <r>
          <rPr>
            <sz val="9"/>
            <color indexed="81"/>
            <rFont val="MS P ゴシック"/>
            <family val="3"/>
            <charset val="128"/>
          </rPr>
          <t>Insight iXlW00001C0000492R0585476093S00000982P01036LAocjBAQBF1NjaVRlZ2ljLmRhdGEuTW9sZWN1bGUBbwF/ARJTY2lUZWdpYy5Nb2xlY3VsZQAAAQFkAv5qAQAAAAIAAjQcAAAA/PwA/AACAAAAAAAA8L8CuY0G8BZI5j8CF9nO91Pj2b8AAAAAGAAAAPz8APwAAgAAAAAAAPC/AnDwhclUwfk/AkhQ/Bhz12I/AAAAABwAAAD8/AD8AAIAAAAAAADwvwKrYFRSJ6DpPwL8qfHSTWL2vwAAAAAYAAAA/PwA/AACAAAAAAAA8L8CKssQx7q4xb8CppvEILByuD8AAAAAGAAAAPz8APwAAgAAAAAAAPC/AtDVVuwvOwJAAqFns+pztee/AAAAABgAAAD8/AD8AAIAAAAAAADwvwKneccpOpLwvwIX2c73U+PZvwAAAAAYAAAA/PwA/AACAAAAAAAA8L8CoKut2F92/D8CEhQ/xty1+b8AAAAAHAAAAPz8APwAAgAAAAAAAPC/AoZa07zjFP0/AuXyH9JvX+8/AAAAABgAAAD8/AD8AAIAAAAAAADwvwLp2az6XG3+vwKmm8QgsHK4PwAAAAABEQAAAPz8APwAAgAAAAAAAPC/Ak7zjlN0JAbAAhfZzvdT49m/AAAAABgAAAD8/AD8AAIAAAAAAADwvwIqyxDHurjFvwK7SQwCK4fxPwAAAAAYAAAA/PwA/AACAAAAAAAA8L8Cp3nHKTqS8L8Cu0kMAiuH+T8AAAAAGAAAAPz8APwAAgAAAAAAAPC/AunZrPpcbf6/ArtJDAIrh/E/AAAAADgEAAFlBAAAAAAAAAAACAABZQQAAAAAAAAAAAwAAWUEAAAAAAAAAAAQBAFlCAgAAAAAAAAAFAwBZQQAAAAAAAAAABgIAWUICAAAAAAAAAAcBAFlBAAAAAAAAAAAIBQBZQgMAAAAAAAAACQgAWUEAAAAAAAAAAAoDAFlCAwAAAAAAAAALCgBZQQAAAAAAAAAADAsAWUICAAAAAAAAAAQGAFlBAAAAAAAAAAAMCABZQQAAAAAAAAAAAAAAAA=</t>
        </r>
      </text>
    </comment>
    <comment ref="A493" authorId="0" shapeId="0" xr:uid="{E577FA25-D794-4A79-8008-E86B3E29CC49}">
      <text>
        <r>
          <rPr>
            <sz val="9"/>
            <color indexed="81"/>
            <rFont val="MS P ゴシック"/>
            <family val="3"/>
            <charset val="128"/>
          </rPr>
          <t>Insight iXlW00001C0000493R0585476093S00000984P01036LAocjBAQBF1NjaVRlZ2ljLmRhdGEuTW9sZWN1bGUBbwF/ARJTY2lUZWdpYy5Nb2xlY3VsZQAAAQFkAv5qAQAAAAIAAjQcAAAA/PwA/AACAAAAAAAA8L8CuY0G8BZI5j8CF9nO91Pj2b8AAAAAGAAAAPz8APwAAgAAAAAAAPC/AnDwhclUwfk/AkhQ/Bhz12I/AAAAABwAAAD8/AD8AAIAAAAAAADwvwKrYFRSJ6DpPwL8qfHSTWL2vwAAAAAYAAAA/PwA/AACAAAAAAAA8L8CKssQx7q4xb8CppvEILByuD8AAAAAGAAAAPz8APwAAgAAAAAAAPC/AtDVVuwvOwJAAqFns+pztee/AAAAABgAAAD8/AD8AAIAAAAAAADwvwKneccpOpLwvwIX2c73U+PZvwAAAAAYAAAA/PwA/AACAAAAAAAA8L8CoKut2F92/D8CEhQ/xty1+b8AAAAAHAAAAPz8APwAAgAAAAAAAPC/AoZa07zjFP0/AuXyH9JvX+8/AAAAABgAAAD8/AD8AAIAAAAAAADwvwLp2az6XG3+vwKmm8QgsHK4PwAAAAABIwAAAPz8APwAAgAAAAAAAPC/Ak7zjlN0JAbAAhfZzvdT49m/AAAAABgAAAD8/AD8AAIAAAAAAADwvwIqyxDHurjFvwK7SQwCK4fxPwAAAAAYAAAA/PwA/AACAAAAAAAA8L8Cp3nHKTqS8L8Cu0kMAiuH+T8AAAAAGAAAAPz8APwAAgAAAAAAAPC/AunZrPpcbf6/ArtJDAIrh/E/AAAAADgEAAFlBAAAAAAAAAAACAABZQQAAAAAAAAAAAwAAWUEAAAAAAAAAAAQBAFlCAgAAAAAAAAAFAwBZQQAAAAAAAAAABgIAWUICAAAAAAAAAAcBAFlBAAAAAAAAAAAIBQBZQgMAAAAAAAAACQgAWUEAAAAAAAAAAAoDAFlCAwAAAAAAAAALCgBZQQAAAAAAAAAADAsAWUICAAAAAAAAAAQGAFlBAAAAAAAAAAAMCABZQQAAAAAAAAAAAAAAAA=</t>
        </r>
      </text>
    </comment>
    <comment ref="A494" authorId="0" shapeId="0" xr:uid="{B75AF60C-3FCF-40CB-B189-39EF0898A470}">
      <text>
        <r>
          <rPr>
            <sz val="9"/>
            <color indexed="81"/>
            <rFont val="MS P ゴシック"/>
            <family val="3"/>
            <charset val="128"/>
          </rPr>
          <t>Insight iXlW00001C0000494R0585476093S00000986P01104LAocjBAQBF1NjaVRlZ2ljLmRhdGEuTW9sZWN1bGUBbwF/ARJTY2lUZWdpYy5Nb2xlY3VsZQAAAQFkAv5qAQAAAAIAAjgcAAAA/PwA/AACAAAAAAAA8L8CYxBYObTI5j8C16NwPQrX278AAAAAGAAAAPz8APwAAgAAAAAAAPC/AnrHKTqSy/Q/AlYOLbKd79c/AAAAABgAAAD8/AD8AAIAAAAAAADwvwI830+Nl27SvwLXo3A9CtfbvwAAAAAcAAAA/PwA/AACAAAAAAAA8L8CescpOpLL9D8CgZVDi2zn878AAAAAGAAAAPz8APwAAgAAAAAAAPC/AsSxLm6jAQJAAqRwPQrXo7A/AAAAABgAAAD8/AD8AAIAAAAAAADwvwLEsS5uowECQALsUbgehevtvwAAAAAYAAAA/PwA/AACAAAAAAAA8L8Cnu+nxks36b8CL90kBoGV2z8AAAAAHAAAAPz8APwAAgAAAAAAAPC/At21hHzQs+8/AjMzMzMzM/U/AAAAABgAAAD8/AD8AAIAAAAAAADwvwKe76fGSzfpvwI4iUFg5dD0vwAAAAAgAAAA/PwA/AACAAAAAAAA8L8CPN9PjZdu0r8CjpduEoPA9D8AAAAAGAAAAPz8APwAAgAAAAAAAPC/As/3U+Olm/y/Ai/dJAaBlds/AAAAABgAAAD8/AD8AAIAAAAAAADwvwKe76fGSzfpvwLo+6nx0k0BQAAAAAAYAAAA/PwA/AACAAAAAAAA8L8Cz/dT46Wb/L8COIlBYOXQ9L8AAAAAGAAAAPz8APwAAgAAAAAAAPC/Auj7qfHSTQLAAtejcD0K19u/AAAAADwEAAFlBAAAAAAAAAAACAABZQQAAAAAAAAAAAwAAWUEAAAAAAAAAAAQBAFlCAgAAAAAAAAAFAwBZQgIAAAAAAAAABgIAWUEAAAAAAAAAAAcBAFlBAAAAAAAAAAAIAgBZQgMAAAAAAAAACQYAWUEAAAAAAAAAAAoGAFlCAgAAAAAAAAALCQBZQQAAAAAAAAAADAgAWUEAAAAAAAAAAA0MAFlCAgAAAAAAAAAEBQBZQQAAAAAAAAAADQoAWUEAAAAAAAAAAAAAAAA</t>
        </r>
      </text>
    </comment>
    <comment ref="A495" authorId="0" shapeId="0" xr:uid="{A7CA2D66-2BCA-4ED5-B0E6-A0C75AE2A3AE}">
      <text>
        <r>
          <rPr>
            <sz val="9"/>
            <color indexed="81"/>
            <rFont val="MS P ゴシック"/>
            <family val="3"/>
            <charset val="128"/>
          </rPr>
          <t>Insight iXlW00001C0000495R0585476093S00000988P01248LAocjBAQBF1NjaVRlZ2ljLmRhdGEuTW9sZWN1bGUBbwF/ARJTY2lUZWdpYy5Nb2xlY3VsZQAAAQFkAv5qAQAAAAIAAgEQHAAAAPz8APwAAgAAAAAAAPC/AmTMXUvIB+k/Aj/G3LWEfJC/AAAAABgAAAD8/AD8AAIAAAAAAADwvwKjtDf4wmTuvwKC4seYu5aQvwAAAAAYAAAA/PwA/AACAAAAAAAA8L8C+aBns+pztb8C2IFzRpT23j8AAAAAGAAAAPz8APwAAgAAAAAAAPC/AqO0N/jCZO6/AoofY+5aQvC/AAAAABgAAAD8/AD8AAIAAAAAAADwvwI2PL1SliH7PwKPU3Qkl//YPwAAAAAcAAAA/PwA/AACAAAAAAAA8L8CVp+rrdhf7D8Cz2bV52or8L8AAAAAGAAAAPz8APwAAgAAAAAAAPC/ArN78rBQ6wJAApDC9Shcj9a/AAAAABgAAAD8/AD8AAIAAAAAAADwvwJm9+Rhodb9PwJXfa62Yn/zvwAAAAAkAAAA/PwA/AACAAAAAAAA8L8C3bWEfNCzqT8Cih9j7lpC8L8AAAAAJAAAAPz8APwAAgAAAAAAAPC/AqO0N/jCZO6/AsWPMXctIQDAAAAAACQAAAD8/AD8AAIAAAAAAADwvwJS2ht8YTL/vwKKH2PuWkLwvwAAAAAcAAAA/PwA/AACAAAAAAAA8L8CTaYKRiV1/j8Cnzws1Jrm9T8AAAAAGAAAAPz8APwAAgAAAAAAAPC/ApM6AU2EDf2/AtiBc0aU9t4/AAAAABgAAAD8/AD8AAIAAAAAAADwvwL5oGez6nO1vwJ24JwRpb33PwAAAAAYAAAA/PwA/AACAAAAAAAA8L8CkzoBTYQN/b8CduCcEaW99z8AAAAAGAAAAPz8APwAAgAAAAAAAPC/AqO0N/jCZO6/AnbgnBGlvf8/AAAAAAERBAgBZQQAAAAAAAAAAAgAAWUEAAAAAAAAAAAMBAFlBAAAAAAAAAAAEAABZQQAAAAAAAAAABQAAWUEAAAAAAAAAAAYEAFlCAgAAAAAAAAAHBQBZQgIAAAAAAAAACAMAWUEAAAAAAAAAAAkDAFlBAAAAAAAAAAAKAwBZQQAAAAAAAAAACwQAWUEAAAAAAAAAAAwBAFlCAgAAAAAAAAANAgBZQgIAAAAAAAAADg8AWUICAAAAAAAAAA8NAFlBAAAAAAAAAAAGBwBZQQAAAAAAAAAADgwAWUEAAAAAAAAAAAAAAAA</t>
        </r>
      </text>
    </comment>
    <comment ref="A496" authorId="0" shapeId="0" xr:uid="{9A378EF0-4F27-4F9F-B18C-4520BAB3A47B}">
      <text>
        <r>
          <rPr>
            <sz val="9"/>
            <color indexed="81"/>
            <rFont val="MS P ゴシック"/>
            <family val="3"/>
            <charset val="128"/>
          </rPr>
          <t>Insight iXlW00001C0000496R0585476093S00000990P01248LAocjBAQBF1NjaVRlZ2ljLmRhdGEuTW9sZWN1bGUBbwF/ARJTY2lUZWdpYy5Nb2xlY3VsZQAAAQFkAv5qAQAAAAIAAgEQHAAAAPz8APwAAgAAAAAAAPC/Am6jAbwFEva/AiFB8WPMXbu/AAAAABgAAAD8/AD8AAIAAAAAAADwvwJ24JwRpb33vwJXW7G/7J7xvwAAAAAYAAAA/PwA/AACAAAAAAAA8L8CBcWPMXetAEACIUHxY8xdu78AAAAAHAAAAPz8APwAAgAAAAAAAPC/AoEmwoanVwLAAm+BBMWPMdM/AAAAABgAAAD8/AD8AAIAAAAAAADwvwJ3LSEf9GzgvwK4rwPnjCjZPwAAAAAYAAAA/PwA/AACAAAAAAAA8L8CGQRWDi2yA8AC33GKjuTy9L8AAAAAGAAAAPz8APwAAgAAAAAAAPC/AsgpOpLLf/M/ArivA+eMKNk/AAAAABgAAAD8/AD8AAIAAAAAAADwvwIYJlMFo5LWPwIhQfFjzF27vwAAAAAYAAAA/PwA/AACAAAAAAAA8L8CGQRWDi2yB8ACsJRliGNd3L8AAAAAHAAAAPz8APwAAgAAAAAAAPC/At21hHzQs+e/AhdqTfOOU/y/AAAAACQAAAD8/AD8AAIAAAAAAADwvwIFxY8xd60EQAJB8WPMXUvoPwAAAAAkAAAA/PwA/AACAAAAAAAA8L8CJnUCmgibB0ACJCh+jLlr478AAAAAJAAAAPz8APwAAgAAAAAAAPC/AgmKH2PuWvk/AqjoSC7/Ie+/AAAAABgAAAD8/AD8AAIAAAAAAADwvwJ3LSEf9GzgvwLu68A5I0r2PwAAAAAYAAAA/PwA/AACAAAAAAAA8L8CyCk6kst/8z8C7uvAOSNK9j8AAAAAGAAAAPz8APwAAgAAAAAAAPC/AhgmUwWjktY/Au7rwDkjSv4/AAAAAAERBAABZQQAAAAAAAAAAAgYAWUEAAAAAAAAAAAMAAFlBAAAAAAAAAAAEAABZQQAAAAAAAAAABQEAWUICAAAAAAAAAAYHAFlCAwAAAAAAAAAHBABZQQAAAAAAAAAACAMAWUICAAAAAAAAAAkBAFlBAAAAAAAAAAAKAgBZQQAAAAAAAAAACwIAWUEAAAAAAAAAAAwCAFlBAAAAAAAAAAANBABZQgMAAAAAAAAADg8AWUICAAAAAAAAAA8NAFlBAAAAAAAAAAAFCABZQQAAAAAAAAAADgYAWUEAAAAAAAAAAAAAAAA</t>
        </r>
      </text>
    </comment>
    <comment ref="A497" authorId="0" shapeId="0" xr:uid="{D685B302-60FE-4061-BDEF-0BCDDA34C4EE}">
      <text>
        <r>
          <rPr>
            <sz val="9"/>
            <color indexed="81"/>
            <rFont val="MS P ゴシック"/>
            <family val="3"/>
            <charset val="128"/>
          </rPr>
          <t>Insight iXlW00001C0000497R0585476093S00000992P01248LAocjBAQBF1NjaVRlZ2ljLmRhdGEuTW9sZWN1bGUBbwF/ARJTY2lUZWdpYy5Nb2xlY3VsZQAAAQFkAv5qAQAAAAIAAgEQHAAAAPz8APwAAgAAAAAAAPC/AmRd3EYDePi/Ailcj8L1KLw/AAAAABgAAAD8/AD8AAIAAAAAAADwvwJWDi2yne8AwAKS7Xw/NV7mvwAAAAAYAAAA/PwA/AACAAAAAAAA8L8CT9GRXP7DA0ACKVyPwvUovD8AAAAAHAAAAPz8APwAAgAAAAAAAPC/Ah44Z0Rp7wDAApzEILByaO0/AAAAABgAAAD8/AD8AAIAAAAAAADwvwJe3EYDeIsIwAL2KFyPwvXYvwAAAAAYAAAA/PwA/AACAAAAAAAA8L8Cx7q4jQbw4L8CKVyPwvUovD8AAAAAGAAAAPz8APwAAgAAAAAAAPC/Ap2iI7n8h/c/Ailcj8L1KLw/AAAAABgAAAD8/AD8AAIAAAAAAADwvwJe3EYDeIsIwAKF61G4HoXjPwAAAAAYAAAA/PwA/AACAAAAAAAA8L8C41gXt9EAnr8C/tR46SYx6L8AAAAAGAAAAPz8APwAAgAAAAAAAPC/AuNYF7fRAJ6/AgmsHFpkO+8/AAAAABgAAAD8/AD8AAIAAAAAAADwvwI5RUdy+Q/vPwIJrBxaZDvvPwAAAAAYAAAA/PwA/AACAAAAAAAA8L8COUVHcvkP7z8C/tR46SYx6L8AAAAAHAAAAPz8APwAAgAAAAAAAPC/ArAD54wo7fy/AmdmZmZmZvq/AAAAACQAAAD8/AD8AAIAAAAAAADwvwJP0ZFc/sMDQALD9Shcj8LxPwAAAAAkAAAA/PwA/AACAAAAAAAA8L8CT9GRXP7DC0ACKVyPwvUovD8AAAAAJAAAAPz8APwAAgAAAAAAAPC/Ak/RkVz+wwNAAnsUrkfheuy/AAAAAAERBAABZQQAAAAAAAAAAAgYAWUEAAAAAAAAAAAMAAFlBAAAAAAAAAAAEAQBZQgIAAAAAAAAABQAAWUEAAAAAAAAAAAYKAFlCAwAAAAAAAAAHAwBZQgIAAAAAAAAACAUAWUEAAAAAAAAAAAkFAFlCAwAAAAAAAAAKCQBZQQAAAAAAAAAACwgAWUICAAAAAAAAAAwBAFlBAAAAAAAAAAANAgBZQQAAAAAAAAAADgIAWUEAAAAAAAAAAA8CAFlBAAAAAAAAAAAEBwBZQQAAAAAAAAAABgsAWUEAAAAAAAAAAAAAAAA</t>
        </r>
      </text>
    </comment>
    <comment ref="A498" authorId="0" shapeId="0" xr:uid="{1767126E-B1EC-4250-AA2B-FE70ABE7D5E5}">
      <text>
        <r>
          <rPr>
            <sz val="9"/>
            <color indexed="81"/>
            <rFont val="MS P ゴシック"/>
            <family val="3"/>
            <charset val="128"/>
          </rPr>
          <t>Insight iXlW00001C0000498R0585476093S00000994P00892LAocjBAQBF1NjaVRlZ2ljLmRhdGEuTW9sZWN1bGUBbwF/ARJTY2lUZWdpYy5Nb2xlY3VsZQAAAQFkAv5qAQAAAAIAAiwcAAAA/PwA/AACAAAAAAAA8L8CGQRWDi2yjT8CMuauJeSDrj8AAAAAGAAAAPz8APwAAgAAAAAAAPC/Aoqw4emVstQ/ArtJDAIrh+y/AAAAABwAAAD8/AD8AAIAAAAAAADwvwJF2PD0SlnqPwLXxW00gLfkPwAAAAAYAAAA/PwA/AACAAAAAAAA8L8ClBgEVg4t9T8Cu0kMAiuH7L8AAAAAGAAAAPz8APwAAgAAAAAAAPC/Ah+F61G4Hvo/AjLmriXkg64/AAAAABgAAAD8/AD8AAIAAAAAAADwvwIO4C2QoPjtvwL0jlN0JJfXPwAAAAAcAAAA/PwA/AACAAAAAAAA8L8CXf5D+u3r0L8C+ORhodY0+78AAAAAGAAAAPz8APwAAgAAAAAAAPC/Al66SQwCqwRAAvSOU3Qkl9c/AAAAABgAAAD8/AD8AAIAAAAAAADwvwLGbTSAt0ACwAIQC7WmecfpPwAAAAAYAAAA/PwA/AACAAAAAAAA8L8Cr7Zif9k9/b8CBhIUP8bctb8AAAAAGAAAAPz8APwAAgAAAAAAAPC/AuQUHcnlP/a/AmWqYFRSJ/Q/AAAAADAEAAFlBAAAAAAAAAAACAABZQQAAAAAAAAAAAwEAWUICAAAAAAAAAAQCAFlCAwAAAAAAAAAFAABZQQAAAAAAAAAABgEAWUEAAAAAAAAAAAcEAFlBAAAAAAAAAAAICgBZQQAAAAAAAAAACQUAWUEAAAAAAAAAAAoFAFlBAAAAAAAAAAAICQBZQQAAAAAAAAAAAwQAWUEAAAAAAAAAAAAAAAA</t>
        </r>
      </text>
    </comment>
    <comment ref="A499" authorId="0" shapeId="0" xr:uid="{E26BC3CF-D40F-4767-AEBB-297625243969}">
      <text>
        <r>
          <rPr>
            <sz val="9"/>
            <color indexed="81"/>
            <rFont val="MS P ゴシック"/>
            <family val="3"/>
            <charset val="128"/>
          </rPr>
          <t>Insight iXlW00001C0000499R0585476093S00000996P00804LAocjBAQBF1NjaVRlZ2ljLmRhdGEuTW9sZWN1bGUBbwF/ARJTY2lUZWdpYy5Nb2xlY3VsZQAAAQFkAv5qAQAAAAIAAigcAAAA/PwA/AACAAAAAAAA8L8CfdCzWfW5ur8CRdjw9EpZ0j8AAAAAGAAAAPz8APwAAgAAAAAAAPC/ApQYBFYOLco/Ahlz1xLyQeW/AAAAABwAAAD8/AD8AAIAAAAAAADwvwIlBoGVQ4vmPwKWQ4ts5/vrPwAAAAAYAAAA/PwA/AACAAAAAAAA8L8CE4PAyqFF8z8CGXPXEvJB5b8AAAAAGAAAAPz8APwAAgAAAAAAAPC/Ap7vp8ZLN/g/AgmKH2PuWtI/AAAAABwAAAD8/AD8AAIAAAAAAADwvwKdoiO5/IfYvwIYJlMFo5L3vwAAAAAYAAAA/PwA/AACAAAAAAAA8L8CF9nO91Pj8L8CG55eKcsQ4z8AAAAAIAAAAPz8APwAAgAAAAAAAPC/Ald9rrZi/wXAAkcDeAskKM4/AAAAABgAAAD8/AD8AAIAAAAAAADwvwLWxW00gLcDQAIbnl4pyxDjPwAAAAAYAAAA/PwA/AACAAAAAAAA8L8CEAu1pnnH/L8CJ8KGp1fKsr8AAAAAKAQAAWUEAAAAAAAAAAAIAAFlBAAAAAAAAAAADAQBZQgIAAAAAAAAABAIAWUIDAAAAAAAAAAUBAFlBAAAAAAAAAAAGAABZQQAAAAAAAAAABwkAWUEAAAAAAAAAAAgEAFlBAAAAAAAAAAAJBgBZQQAAAAAAAAAAAwQAWUEAAAAAAAAAAAAAAAA</t>
        </r>
      </text>
    </comment>
    <comment ref="A500" authorId="0" shapeId="0" xr:uid="{6C2731D3-19D1-4A20-9C5C-01A494306BCE}">
      <text>
        <r>
          <rPr>
            <sz val="9"/>
            <color indexed="81"/>
            <rFont val="MS P ゴシック"/>
            <family val="3"/>
            <charset val="128"/>
          </rPr>
          <t>Insight iXlW00001C0000500R0585476093S00000998P00876LAocjBAQBF1NjaVRlZ2ljLmRhdGEuTW9sZWN1bGUBbwF/ARJTY2lUZWdpYy5Nb2xlY3VsZQAAAQFkAv5qAQAAAAIAAiwcAAAA/PwA/AACAAAAAAAA8L8CZohjXdxGyz8CO3DOiNLe1D8AAAAAGAAAAPz8APwAAgAAAAAAAPC/Ak5iEFg5tOA/Ah6n6Egu/+O/AAAAABwAAAD8/AD8AAIAAAAAAADwvwInMQisHFrwPwKRD3o2qz7tPwAAAAAYAAAA/PwA/AACAAAAAAAA8L8CmN2Th4Va+D8CHqfoSC7/478AAAAAGAAAAPz8APwAAgAAAAAAAPC/AiRKe4MvTP0/Av8h/fZ14NQ/AAAAABwAAAD8/AD8AAIAAAAAAADwvwIqqRPQRNiwvwIbwFsgQfH2vwAAAAAYAAAA/PwA/AACAAAAAAAA8L8CBFYOLbKd578CFmpN845T5D8AAAAAGAAAAPz8APwAAgAAAAAAAPC/AuGcEaW9QQZAAhZqTfOOU+Q/AAAAACAAAAD8/AD8AAIAAAAAAADwvwJMpgpGJXUDwAJeS8gHPZvRPwAAAAAYAAAA/PwA/AACAAAAAAAA8L8CirDh6ZWy978CnMQgsHJoob8AAAAAGAAAAPz8APwAAgAAAAAAAPC/AhDpt68DZwnAAmKh1jTvONm/AAAAACwEAAFlBAAAAAAAAAAACAABZQQAAAAAAAAAAAwEAWUICAAAAAAAAAAQCAFlCAwAAAAAAAAAFAQBZQQAAAAAAAAAABgAAWUEAAAAAAAAAAAcEAFlBAAAAAAAAAAAICQBZQQAAAAAAAAAACQYAWUEAAAAAAAAAAAoIAFlBAAAAAAAAAAADBABZQQAAAAAAAAAAAAAAAA=</t>
        </r>
      </text>
    </comment>
    <comment ref="A501" authorId="0" shapeId="0" xr:uid="{B2A07E2D-18CD-48DC-A3E8-B7ABD2333957}">
      <text>
        <r>
          <rPr>
            <sz val="9"/>
            <color indexed="81"/>
            <rFont val="MS P ゴシック"/>
            <family val="3"/>
            <charset val="128"/>
          </rPr>
          <t>Insight iXlW00001C0000501R0585476093S00001000P00892LAocjBAQBF1NjaVRlZ2ljLmRhdGEuTW9sZWN1bGUBbwF/ARJTY2lUZWdpYy5Nb2xlY3VsZQAAAQFkAv5qAQAAAAIAAiwcAAAA/PwA/AACAAAAAAAA8L8Cx7q4jQbwtj8Cw2SqYFRS2z8AAAAAGAAAAPz8APwAAgAAAAAAAPC/At/gC5Opgtk/ArwFEhQ/xuC/AAAAABwAAAD8/AD8AAIAAAAAAADwvwKOl24Sg8DsPwLrBDQRNjzwPwAAAAAYAAAA/PwA/AACAAAAAAAA8L8COPjCZKpg9j8CvAUSFD/G4L8AAAAAGAAAAPz8APwAAgAAAAAAAPC/AsNkqmBUUvs/AsNkqmBUUts/AAAAABgAAAD8/AD8AAIAAAAAAADwvwLjx5i7lpDrvwJ4CyQofoznPwAAAAAYAAAA/PwA/AACAAAAAAAA8L8C6pWyDHGs+b8C0m9fB84ZsT8AAAAAGAAAAPz8APwAAgAAAAAAAPC/ApoIG55eqQTAAlH8GHPXEsK/AAAAABgAAAD8/AD8AAIAAAAAAADwvwJ2ApoIG57+vwIkSnuDL0zsvwAAAAAcAAAA/PwA/AACAAAAAAAA8L8Cl/+Qfvs6yL8C+cJkqmBU9b8AAAAAGAAAAPz8APwAAgAAAAAAAPC/AmkAb4EERQVAAngLJCh+jOc/AAAAADAEAAFlBAAAAAAAAAAACAABZQQAAAAAAAAAAAwEAWUICAAAAAAAAAAQCAFlCAwAAAAAAAAAFAABZQQAAAAAAAAAABgUAWUEAAAAAAAAAAAcGAFlBAAAAAAAAAAAIBgBZQQAAAAAAAAAACQEAWUEAAAAAAAAAAAoEAFlBAAAAAAAAAAADBABZQQAAAAAAAAAABwgAWUEAAAAAAAAAAAAAAAA</t>
        </r>
      </text>
    </comment>
    <comment ref="A502" authorId="0" shapeId="0" xr:uid="{03B12039-720D-4568-A487-6A82BDD9EF57}">
      <text>
        <r>
          <rPr>
            <sz val="9"/>
            <color indexed="81"/>
            <rFont val="MS P ゴシック"/>
            <family val="3"/>
            <charset val="128"/>
          </rPr>
          <t>Insight iXlW00001C0000502R0585476093S00001002P01104LAocjBAQBF1NjaVRlZ2ljLmRhdGEuTW9sZWN1bGUBbwF/ARJTY2lUZWdpYy5Nb2xlY3VsZQAAAQFkAv5qAQAAAAIAAjgcAAAA/PwA/AACAAAAAAAA8L8CRPrt68A55z8CBHgLJCh+2L8AAAAAGAAAAPz8APwAAgAAAAAAAPC/ArWmeccpOvo/AvvL7snDQum/AAAAABwAAAD8/AD8AAIAAAAAAADwvwJUdCSX/5DqPwJrK/aX3ZPjPwAAAAAYAAAA/PwA/AACAAAAAAAA8L8C87BQa5p3AkACvw6cM6K0p78AAAAAGAAAAPz8APwAAgAAAAAAAPC/AuVhodY07/w/Apf/kH77Ouo/AAAAABgAAAD8/AD8AAIAAAAAAADwvwKFfNCzWfXBvwICvAUSFD/svwAAAAAcAAAA/PwA/AACAAAAAAAA8L8CzBDHuriN/T8CuY0G8BZI/L8AAAAAHAAAAPz8APwAAgAAAAAAAPC/AisYldQJ6AXAAv9D+u3rwOM/AAAAABgAAAD8/AD8AAIAAAAAAADwvwLSb18HzhnwvwIEeAskKH7YvwAAAAAYAAAA/PwA/AACAAAAAAAA8L8C8fRKWYa4AUACQYLix5i7+z8AAAAAGAAAAPz8APwAAgAAAAAAAPC/AisYldQJ6AXAAgR4CyQofti/AAAAABgAAAD8/AD8AAIAAAAAAADwvwIU0ETY8PT9vwL/If32deDxPwAAAAAYAAAA/PwA/AACAAAAAAAA8L8CFNBE2PD0/b8CArwFEhQ/7L8AAAAAGAAAAPz8APwAAgAAAAAAAPC/AtJvXwfOGfC/Av9D+u3rwOM/AAAAADwEAAFlBAAAAAAAAAAACAABZQQAAAAAAAAAAAwEAWUICAAAAAAAAAAQCAFlCAwAAAAAAAAAFAABZQQAAAAAAAAAABgEAWUEAAAAAAAAAAAcLAFlBAAAAAAAAAAAIBQBZQQAAAAAAAAAACQQAWUEAAAAAAAAAAAoMAFlBAAAAAAAAAAALDQBZQgIAAAAAAAAADAgAWUIDAAAAAAAAAA0IAFlBAAAAAAAAAAADBABZQQAAAAAAAAAABwoAWUICAAAAAAAAAAAAAAA</t>
        </r>
      </text>
    </comment>
    <comment ref="A503" authorId="0" shapeId="0" xr:uid="{55616301-88EA-46A8-AB37-190AA78E384B}">
      <text>
        <r>
          <rPr>
            <sz val="9"/>
            <color indexed="81"/>
            <rFont val="MS P ゴシック"/>
            <family val="3"/>
            <charset val="128"/>
          </rPr>
          <t>Insight iXlW00001C0000503R0585476093S00001004P01176LAocjBAQBF1NjaVRlZ2ljLmRhdGEuTW9sZWN1bGUBbwF/ARJTY2lUZWdpYy5Nb2xlY3VsZQAAAQFkAv5qAQAAAAIAAjwcAAAA/PwA/AACAAAAAAAA8L8Ct/P91Hjp7j8C+8vuycNC3b8AAAAAGAAAAPz8APwAAgAAAAAAAPC/AuBPjZduEv4/Avd14JwRpeu/AAAAABwAAAD8/AD8AAIAAAAAAADwvwJU46WbxCDxPwJvgQTFjzHhPwAAAAAYAAAA/PwA/AACAAAAAAAA8L8CiIVa07xjBEACP1dbsb/svr8AAAAAGAAAAPz8APwAAgAAAAAAAPC/AoiFWtO8YwBAApxVn6ut2Oc/AAAAABgAAAD8/AD8AAIAAAAAAADwvwKamZmZmZm5PwL+ZffkYaHuvwAAAAAcAAAA/PwA/AACAAAAAAAA8L8C+1xtxf6yAEACt2J/2T15/b8AAAAAGAAAAPz8APwAAgAAAAAAAPC/AlCNl24Sg+i/AvvL7snDQt2/AAAAABgAAAD8/AD8AAIAAAAAAADwvwKWQ4ts5/sDwAIDmggbnl7hPwAAAAAkAAAA/PwA/AACAAAAAAAA8L8C78nDQq3pCsACAU2EDU+v8D8AAAAAGAAAAPz8APwAAgAAAAAAAPC/AlCNl24Sg+i/AgOaCBueXuE/AAAAABgAAAD8/AD8AAIAAAAAAADwvwLqJjEIrBz6vwL+ZffkYaHuvwAAAAAYAAAA/PwA/AACAAAAAAAA8L8ClkOLbOf7A8AC+8vuycNC3b8AAAAAGAAAAPz8APwAAgAAAAAAAPC/AuomMQisHPq/AgFNhA1Pr/A/AAAAABgAAAD8/AD8AAIAAAAAAADwvwKGyVTBqKQDQAJDrWnecYr6PwAAAAABEAQAAWUEAAAAAAAAAAAIAAFlBAAAAAAAAAAADAQBZQgIAAAAAAAAABAIAWUIDAAAAAAAAAAUAAFlBAAAAAAAAAAAGAQBZQQAAAAAAAAAABwUAWUEAAAAAAAAAAAgMAFlBAAAAAAAAAAAJCABZQQAAAAAAAAAACgcAWUIDAAAAAAAAAAsHAFlBAAAAAAAAAAAMCwBZQgIAAAAAAAAADQoAWUEAAAAAAAAAAA4EAFlBAAAAAAAAAAADBABZQQAAAAAAAAAACA0AWUICAAAAAAAAAAAAAAA</t>
        </r>
      </text>
    </comment>
    <comment ref="A504" authorId="0" shapeId="0" xr:uid="{C79A1847-808D-43CE-9A87-FBC8620B2727}">
      <text>
        <r>
          <rPr>
            <sz val="9"/>
            <color indexed="81"/>
            <rFont val="MS P ゴシック"/>
            <family val="3"/>
            <charset val="128"/>
          </rPr>
          <t>Insight iXlW00001C0000504R0585476093S00001006P01396LAocjBAQBF1NjaVRlZ2ljLmRhdGEuTW9sZWN1bGUBbwF/ARJTY2lUZWdpYy5Nb2xlY3VsZQAAAQFkAv5qAQAAAAIAAgESHAAAAPz8APwAAgAAAAAAAPC/An3Qs1n1ufW/ArTIdr6fGuG/AAAAABgAAAD8/AD8AAIAAAAAAADwvwKEns2qz1UBwAKjI7n8h/TxvwAAAAAcAAAA/PwA/AACAAAAAAAA8L8C48eYu5aQ4b8CoyO5/If08b8AAAAAGAAAAPz8APwAAgAAAAAAAPC/An3Qs1n1uf2/Atlfdk8elgDAAAAAABgAAAD8/AD8AAIAAAAAAADwvwJ+rrZif9kAQAKYbhKDwMrdPwAAAAAYAAAA/PwA/AACAAAAAAAA8L8C+aBns+pz678C2V92Tx6WAMAAAAAAGAAAAPz8APwAAgAAAAAAAPC/AkhQ/Bhz1/M/Akw3iUFg5e4/AAAAABgAAAD8/AD8AAIAAAAAAADwvwJ90LNZ9bn1vwKYbhKDwMrdPwAAAAAYAAAA/PwA/AACAAAAAAAA8L8CG8BbIEHx1z8CmG4Sg8DK3T8AAAAAGAAAAPz8APwAAgAAAAAAAPC/AuzAOSNKe9+/Akw3iUFg5e4/AAAAABwAAAD8/AD8AAIAAAAAAADwvwJTliGOdfEIwAJNFYxK6gTqvwAAAAAkAAAA/PwA/AACAAAAAAAA8L8Cfq62Yn/ZBEACWag1zTtO9T8AAAAAJAAAAPz8APwAAgAAAAAAAPC/Ap5eKcsQxwdAAkSLbOf7qaG/AAAAACQAAAD8/AD8AAIAAAAAAADwvwL7XG3F/rL5PwJvEoPAyqHZvwAAAAAYAAAA/PwA/AACAAAAAAAA8L8CSFD8GHPX8z8CppvEILBy/z8AAAAAGAAAAPz8APwAAgAAAAAAAPC/AhvAWyBB8dc/AtNNYhBYuQNAAAAAABgAAAD8/AD8AAIAAAAAAADwvwIMk6mCUUnRvwIfFmpN8w4HwAAAAAAYAAAA/PwA/AACAAAAAAAA8L8C7MA5I0p7378CppvEILBy/z8AAAAAARMEAAFlBAAAAAAAAAAACAABZQQAAAAAAAAAAAwEAWUICAAAAAAAAAAQGAFlBAAAAAAAAAAAFAgBZQgMAAAAAAAAABggAWUEAAAAAAAAAAAcAAFlBAAAAAAAAAAAICQBZQgMAAAAAAAAACQcAWUEAAAAAAAAAAAoBAFlBAAAAAAAAAAALBABZQQAAAAAAAAAADAQAWUEAAAAAAAAAAA0EAFlBAAAAAAAAAAAODwBZQQAAAAAAAAAADwBEQFlCAgAAAAAAAAAARAUAWUEAAAAAAAAAAABESQBZQQAAAAAAAAAAAwUAWUEAAAAAAAAAAA4GAFlCAwAAAAAAAAAAAAAAA==</t>
        </r>
      </text>
    </comment>
    <comment ref="A505" authorId="0" shapeId="0" xr:uid="{34299680-69E0-448A-9EF9-5673E6F168B0}">
      <text>
        <r>
          <rPr>
            <sz val="9"/>
            <color indexed="81"/>
            <rFont val="MS P ゴシック"/>
            <family val="3"/>
            <charset val="128"/>
          </rPr>
          <t>Insight iXlW00001C0000505R0585476093S00001008P01396LAocjBAQBF1NjaVRlZ2ljLmRhdGEuTW9sZWN1bGUBbwF/ARJTY2lUZWdpYy5Nb2xlY3VsZQAAAQFkAv5qAQAAAAIAAgESHAAAAPz8APwAAgAAAAAAAPC/AlHaG3xhMvm/AqQBvAUSFOU/AAAAABgAAAD8/AD8AAIAAAAAAADwvwIrGJXUCegDwAJANV66SQzxPwAAAAAcAAAA/PwA/AACAAAAAAAA8L8CysNCrWne+r8CzhlR2ht81b8AAAAAGAAAAPz8APwAAgAAAAAAAPC/AsP1KFyPQgnAAuC+DpwzotQ/AAAAABgAAAD8/AD8AAIAAAAAAADwvwK0WfW52goGQAJ7pSxDHOvqvwAAAAAYAAAA/PwA/AACAAAAAAAA8L8Cw/UoXI9CBcAC9rnaiv1l4b8AAAAAGAAAAPz8APwAAgAAAAAAAPC/ArWmeccpOv4/AvVKWYY41tW/AAAAABgAAAD8/AD8AAIAAAAAAADwvwIf9GxWfa7mvwLSAN4CCYryPwAAAAAcAAAA/PwA/AACAAAAAAAA8L8CNs07TtGRBcACfq62Yn9ZAEAAAAAAJAAAAPz8APwAAgAAAAAAAPC/ArRZ9bnaCgpAAhRhw9MrZZk/AAAAACQAAAD8/AD8AAIAAAAAAADwvwLVCWgibPgMQAK+UpYhjnX1vwAAAAAkAAAA/PwA/AACAAAAAAAA8L8CtFn1udoKAkACcF8HzhlR+78AAAAAGAAAAPz8APwAAgAAAAAAAPC/AnRGlPYGX/A/AnulLEMc6+q/AAAAABgAAAD8/AD8AAIAAAAAAADwvwInUwWjkjr+PwKGWtO84xTlPwAAAAAYAAAA/PwA/AACAAAAAAAA8L8CkDF3LSEfxD8CpAG8BRIU5T8AAAAAGAAAAPz8APwAAgAAAAAAAPC/ApAxdy0hH8Q/AvVKWYY41tW/AAAAABgAAAD8/AD8AAIAAAAAAADwvwJ0RpT2Bl/wPwLSAN4CCYryPwAAAAAYAAAA/PwA/AACAAAAAAAA8L8CwTkjSnuDCMAC/7J78rBQ978AAAAAARMEAAFlBAAAAAAAAAAACAABZQQAAAAAAAAAAAwEAWUICAAAAAAAAAAQGAFlBAAAAAAAAAAAFAgBZQgMAAAAAAAAABg0AWUEAAAAAAAAAAAcAAFlBAAAAAAAAAAAIAQBZQQAAAAAAAAAACQQAWUEAAAAAAAAAAAoEAFlBAAAAAAAAAAALBABZQQAAAAAAAAAADA8AWUEAAAAAAAAAAA0ARABZQgIAAAAAAAAADgcAWUEAAAAAAAAAAA8OAFlCAwAAAAAAAAAARA4AWUEAAAAAAAAAAABERQBZQQAAAAAAAAAAAwUAWUEAAAAAAAAAAAYMAFlCAwAAAAAAAAAAAAAAA==</t>
        </r>
      </text>
    </comment>
    <comment ref="A506" authorId="0" shapeId="0" xr:uid="{8662507B-6E09-423E-B52A-EF8F2530AAD2}">
      <text>
        <r>
          <rPr>
            <sz val="9"/>
            <color indexed="81"/>
            <rFont val="MS P ゴシック"/>
            <family val="3"/>
            <charset val="128"/>
          </rPr>
          <t>Insight iXlW00001C0000506R0585476093S00001010P01248LAocjBAQBF1NjaVRlZ2ljLmRhdGEuTW9sZWN1bGUBbwF/ARJTY2lUZWdpYy5Nb2xlY3VsZQAAAQFkAv5qAQAAAAIAAgEQHAAAAPz8APwAAgAAAAAAAPC/Ai9uowG8BYI/Ak/RkVz+Q+Q/AAAAABgAAAD8/AD8AAIAAAAAAADwvwIvbqMBvAWCPwLBOSNKe4PvvwAAAAAcAAAA/PwA/AACAAAAAAAA8L8C9WxWfa627j8Cqz5XW7G/1D8AAAAAGAAAAPz8APwAAgAAAAAAAPC/AvVsVn2utu4/AskHPZtVn+W/AAAAABgAAAD8/AD8AAIAAAAAAADwvwK7SQwCK4fivwKqglFJnYDGvwAAAAAYAAAA/PwA/AACAAAAAAAA8L8C3iQGgZVD+b8CqoJRSZ2Axr8AAAAAHAAAAPz8APwAAgAAAAAAAPC/AndPHhZqTfw/Ai1DHOviNvS/AAAAABgAAAD8/AD8AAIAAAAAAADwvwIGo5I6AU38PwLJdr6fGi/tPwAAAAAgAAAA/PwA/AACAAAAAAAA8L8CyzLEsS7uC0ACIR/0bFZ98T8AAAAAGAAAAPz8APwAAgAAAAAAAPC/AoV80LNZdQVAAs9m1edqK+A/AAAAABgAAAD8/AD8AAIAAAAAAADwvwJvEoPAyqEAwALZX3ZPHhbmPwAAAAAYAAAA/PwA/AACAAAAAAAA8L8CbxKDwMqhAMACl5APejar8L8AAAAAGAAAAPz8APwAAgAAAAAAAPC/AgOaCBuenhFAAkku/yH99uU/AAAAABgAAAD8/AD8AAIAAAAAAADwvwJvEoPAyqEIwAKXkA96NqvwvwAAAAAYAAAA/PwA/AACAAAAAAAA8L8CbxKDwMqhCMAC2V92Tx4W5j8AAAAAGAAAAPz8APwAAgAAAAAAAPC/Am8Sg8DKoQzAAqqCUUmdgMa/AAAAAAERBBABZQQAAAAAAAAAAAgAAWUEAAAAAAAAAAAMCAFlBAAAAAAAAAAAEAABZQgIAAAAAAAAABQQAWUEAAAAAAAAAAAYDAFlBAAAAAAAAAAAHAgBZQQAAAAAAAAAACAkAWUEAAAAAAAAAAAkHAFlBAAAAAAAAAAAKBQBZQQAAAAAAAAAACwUAWUIDAAAAAAAAAAwIAFlBAAAAAAAAAAANCwBZQQAAAAAAAAAADgoAWUICAAAAAAAAAA8NAFlCAgAAAAAAAAADAQBZQgIAAAAAAAAADw4AWUEAAAAAAAAAAAAAAAA</t>
        </r>
      </text>
    </comment>
    <comment ref="A507" authorId="0" shapeId="0" xr:uid="{84664B2D-0472-446A-B1E1-97E07F0B0BD8}">
      <text>
        <r>
          <rPr>
            <sz val="9"/>
            <color indexed="81"/>
            <rFont val="MS P ゴシック"/>
            <family val="3"/>
            <charset val="128"/>
          </rPr>
          <t>Insight iXlW00001C0000507R0585476093S00001012P01176LAocjBAQBF1NjaVRlZ2ljLmRhdGEuTW9sZWN1bGUBbwF/ARJTY2lUZWdpYy5Nb2xlY3VsZQAAAQFkAv5qAQAAAAIAAjwcAAAA/PwA/AACAAAAAAAA8L8CFoxK6gQ05T8CYqHWNO841b8AAAAAGAAAAPz8APwAAgAAAAAAAPC/Ag+cM6K0N/k/AqtgVFInoOe/AAAAABwAAAD8/AD8AAIAAAAAAADwvwIHX5hMFYzoPwK8lpAPejblPwAAAAAYAAAA/PwA/AACAAAAAAAA8L8CZ9Xnaiv2AUACYjJVMCqpcz8AAAAAGAAAAPz8APwAAgAAAAAAAPC/As6qz9VW7Ps/AsrDQq1p3us/AAAAABgAAAD8/AD8AAIAAAAAAADwvwK30QDeAgnKvwKxUGuad5zqvwAAAAAYAAAA/PwA/AACAAAAAAAA8L8C6iYxCKwc8b8CYqHWNO841b8AAAAAGAAAAPz8APwAAgAAAAAAAPC/AuomMQisHPG/Ak+vlGWIY+U/AAAAABwAAAD8/AD8AAIAAAAAAADwvwK0WfW52or8PwIRWDm0yHb7vwAAAAAkAAAA/PwA/AACAAAAAAAA8L8CQDVeukkMyr8CqFfKMsSx8j8AAAAAGAAAAPz8APwAAgAAAAAAAPC/AkLPZtXn6glAAmhEaW/whbm/AAAAABgAAAD8/AD8AAIAAAAAAADwvwIrhxbZzvf+vwLP91PjpZvqvwAAAAAYAAAA/PwA/AACAAAAAAAA8L8CK4cW2c73/r8CqFfKMsSx8j8AAAAAGAAAAPz8APwAAgAAAAAAAPC/Arfz/dR4aQbAAp7vp8ZLN9W/AAAAABgAAAD8/AD8AAIAAAAAAADwvwK38/3UeGkGwAJPr5RliGPlPwAAAAABEAQAAWUEAAAAAAAAAAAIAAFlBAAAAAAAAAAADAQBZQgMAAAAAAAAABAIAWUICAAAAAAAAAAUAAFlBAAAAAAAAAAAGBQBZQQAAAAAAAAAABwYAWUEAAAAAAAAAAAgBAFlBAAAAAAAAAAAJBwBZQQAAAAAAAAAACgMAWUEAAAAAAAAAAAsGAFlCAwAAAAAAAAAMBwBZQgIAAAAAAAAADQsAWUEAAAAAAAAAAA4NAFlCAgAAAAAAAAADBABZQQAAAAAAAAAADgwAWUEAAAAAAAAAAAAAAAA</t>
        </r>
      </text>
    </comment>
    <comment ref="A508" authorId="0" shapeId="0" xr:uid="{A19EE7EE-1561-45B6-9A37-B44B91C18402}">
      <text>
        <r>
          <rPr>
            <sz val="9"/>
            <color indexed="81"/>
            <rFont val="MS P ゴシック"/>
            <family val="3"/>
            <charset val="128"/>
          </rPr>
          <t>Insight iXlW00001C0000508R0585476093S00001014P01180LAocjBAQBF1NjaVRlZ2ljLmRhdGEuTW9sZWN1bGUBbwF/ARJTY2lUZWdpYy5Nb2xlY3VsZQAAAQFkAv5qAQAAAAIAAjwcAAAA/PwA/AACAAAAAAAA8L8CZTvfT42X7D8CA5oIG55eyb8AAAAAGAAAAPz8APwAAgAAAAAAAPC/Arfz/dR46fw/AlyPwvUoXOO/AAAAABwAAAD8/AD8AAIAAAAAAADwvwJWDi2yne/vPwIKaCJseHrpPwAAAAAYAAAA/PwA/AACAAAAAAAA8L8Cc9cS8kHPA0ACVVInoImwwT8AAAAAGAAAAPz8APwAAgAAAAAAAPC/AnYCmggbnv8/AoxK6gQ0EfA/AAAAABgAAAD8/AD8AAIAAAAAAADwvwIpXI/C9SicPwKBJsKGp1fmvwAAAAAcAAAA/PwA/AACAAAAAAAA8L8C5q4l5IMeAEAC+cJkqmBU+b8AAAAAGAAAAPz8APwAAgAAAAAAAPC/AqJFtvP91Oq/AgOaCBueXsm/AAAAABgAAAD8/AD8AAIAAAAAAADwvwITg8DKoUX7vwKBJsKGp1fmvwAAAAAYAAAA/PwA/AACAAAAAAAA8L8CqvHSTWKQBMACA5oIG55eyb8AAAAAGAAAAPz8APwAAgAAAAAAAPC/Ak/RkVz+wwtAAhaMSuoENKE/AAAAAAEjAAAA/PwA/AACAAAAAAAA8L8CBHgLJCh+C8ACgSbChqdX5r8AAAAAGAAAAPz8APwAAgAAAAAAAPC/AhODwMqhRfu/AsDsnjws1PQ/AAAAABgAAAD8/AD8AAIAAAAAAADwvwKiRbbz/dTqvwKA2T15WKjpPwAAAAAYAAAA/PwA/AACAAAAAAAA8L8CqvHSTWKQBMACgNk9eVio6T8AAAAAARAEAAFlBAAAAAAAAAAACAABZQQAAAAAAAAAAAwEAWUIDAAAAAAAAAAQCAFlCAgAAAAAAAAAFAABZQQAAAAAAAAAABgEAWUEAAAAAAAAAAAcFAFlBAAAAAAAAAAAIBwBZQQAAAAAAAAAACQgAWUIDAAAAAAAAAAoDAFlBAAAAAAAAAAALCQBZQQAAAAAAAAAADA0AWUEAAAAAAAAAAA0HAFlCAwAAAAAAAAAODABZQgIAAAAAAAAAAwQAWUEAAAAAAAAAAA4JAFlBAAAAAAAAAAAAAAAAA==</t>
        </r>
      </text>
    </comment>
    <comment ref="A509" authorId="0" shapeId="0" xr:uid="{FC9F8DE5-E0B5-4CB5-83D7-3E3449DB9124}">
      <text>
        <r>
          <rPr>
            <sz val="9"/>
            <color indexed="81"/>
            <rFont val="MS P ゴシック"/>
            <family val="3"/>
            <charset val="128"/>
          </rPr>
          <t>Insight iXlW00001C0000509R0585476093S00001016P01180LAocjBAQBF1NjaVRlZ2ljLmRhdGEuTW9sZWN1bGUBbwF/ARJTY2lUZWdpYy5Nb2xlY3VsZQAAAQFkAv5qAQAAAAIAAjwcAAAA/PwA/AACAAAAAAAA8L8CZTvfT42X7D8CYqHWNO841b8AAAAAGAAAAPz8APwAAgAAAAAAAPC/Arfz/dR46fw/AqtgVFInoOe/AAAAABwAAAD8/AD8AAIAAAAAAADwvwJWDi2yne/vPwK8lpAPejblPwAAAAAYAAAA/PwA/AACAAAAAAAA8L8Cc9cS8kHPA0ACYjJVMCqpcz8AAAAAGAAAAPz8APwAAgAAAAAAAPC/AueuJeSDnv8/AsrDQq1p3us/AAAAABgAAAD8/AD8AAIAAAAAAADwvwIpXI/C9SicPwLP91PjpZvqvwAAAAAcAAAA/PwA/AACAAAAAAAA8L8Crthfdk8eAEACEVg5tMh2+78AAAAAGAAAAPz8APwAAgAAAAAAAPC/AqJFtvP91Oq/Ap7vp8ZLN9W/AAAAABgAAAD8/AD8AAIAAAAAAADwvwLjx5i7lpAEwAJPr5RliGPlPwAAAAAYAAAA/PwA/AACAAAAAAAA8L8CT9GRXP7DC0ACaERpb/CFub8AAAAAASMAAAD8/AD8AAIAAAAAAADwvwIEeAskKH4LwAKoV8oyxLHyPwAAAAAYAAAA/PwA/AACAAAAAAAA8L8CokW28/3U6r8CT6+UZYhj5T8AAAAAGAAAAPz8APwAAgAAAAAAAPC/AoQvTKYKRvu/As/3U+Olm+q/AAAAABgAAAD8/AD8AAIAAAAAAADwvwLjx5i7lpAEwAJiodY07zjVvwAAAAAYAAAA/PwA/AACAAAAAAAA8L8CE4PAyqFF+78CqFfKMsSx8j8AAAAAARAEAAFlBAAAAAAAAAAACAABZQQAAAAAAAAAAAwEAWUIDAAAAAAAAAAQCAFlCAgAAAAAAAAAFAABZQQAAAAAAAAAABgEAWUEAAAAAAAAAAAcFAFlBAAAAAAAAAAAIDQBZQgMAAAAAAAAACQMAWUEAAAAAAAAAAAoIAFlBAAAAAAAAAAALBwBZQQAAAAAAAAAADAcAWUIDAAAAAAAAAA0MAFlBAAAAAAAAAAAOCwBZQgIAAAAAAAAAAwQAWUEAAAAAAAAAAAgOAFlBAAAAAAAAAAAAAAAAA==</t>
        </r>
      </text>
    </comment>
    <comment ref="A510" authorId="0" shapeId="0" xr:uid="{26C217C4-2966-494E-B235-EF257B698127}">
      <text>
        <r>
          <rPr>
            <sz val="9"/>
            <color indexed="81"/>
            <rFont val="MS P ゴシック"/>
            <family val="3"/>
            <charset val="128"/>
          </rPr>
          <t>Insight iXlW00001C0000510R0585476093S00001018P01248LAocjBAQBF1NjaVRlZ2ljLmRhdGEuTW9sZWN1bGUBbwF/ARJTY2lUZWdpYy5Nb2xlY3VsZQAAAQFkAv5qAQAAAAIAAgEQHAAAAPz8APwAAgAAAAAAAPC/ApF++zpwzuo/AmAHzhlR2ls/AAAAABgAAAD8/AD8AAIAAAAAAADwvwLcaABvgQT8PwKwA+eMKO3ZvwAAAAAcAAAA/PwA/AACAAAAAAAA8L8Cofgx5q4l7j8Cj3VxGw3g7z8AAAAAGAAAAPz8APwAAgAAAAAAAPC/AgYSFD/GXANAAjPEsS5uo9U/AAAAABgAAAD8/AD8AAIAAAAAAADwvwIMJCh+jLn+PwJO0ZFc/kPzPwAAAAAYAAAA/PwA/AACAAAAAAAA8L8ChlrTvOMUnb8C+THmriXk378AAAAAGAAAAPz8APwAAgAAAAAAAPC/Alhbsb/snuy/AmAHzhlR2ls/AAAAABgAAAD8/AD8AAIAAAAAAADwvwLuDb4wmSr8vwL5MeauJeTfvwAAAAAcAAAA/PwA/AACAAAAAAAA8L8C8tJNYhBY/z8Cp+hILv8h9r8AAAAAGAAAAPz8APwAAgAAAAAAAPC/AuELk6mCUQtAAhfZzvdT480/AAAAACAAAAD8/AD8AAIAAAAAAADwvwLuDb4wmSr8vwJ+jLlrCfn3vwAAAAAYAAAA/PwA/AACAAAAAAAA8L8CWFuxv+ye7L8CgnNGlPYG8D8AAAAAGAAAAPz8APwAAgAAAAAAAPC/Ahi30QDeAgXAAmAHzhlR2ls/AAAAABgAAAD8/AD8AAIAAAAAAADwvwJYW7G/7J7svwJ/jLlrCfn/vwAAAAAYAAAA/PwA/AACAAAAAAAA8L8C7g2+MJkq/L8CgnNGlPYG+D8AAAAAGAAAAPz8APwAAgAAAAAAAPC/Ahi30QDeAgXAAoJzRpT2BvA/AAAAAAERBAABZQQAAAAAAAAAAAgAAWUEAAAAAAAAAAAMBAFlCAwAAAAAAAAAEAgBZQgIAAAAAAAAABQAAWUEAAAAAAAAAAAYFAFlBAAAAAAAAAAAHBgBZQQAAAAAAAAAACAEAWUEAAAAAAAAAAAkDAFlBAAAAAAAAAAAKBwBZQQAAAAAAAAAACwYAWUIDAAAAAAAAAAwHAFlCAgAAAAAAAAANCgBZQQAAAAAAAAAADgsAWUEAAAAAAAAAAA8OAFlCAgAAAAAAAAADBABZQQAAAAAAAAAADwwAWUEAAAAAAAAAAAAAAAA</t>
        </r>
      </text>
    </comment>
    <comment ref="A511" authorId="0" shapeId="0" xr:uid="{FC1987B9-E770-48DB-BA77-6CBC5B931168}">
      <text>
        <r>
          <rPr>
            <sz val="9"/>
            <color indexed="81"/>
            <rFont val="MS P ゴシック"/>
            <family val="3"/>
            <charset val="128"/>
          </rPr>
          <t>Insight iXlW00001C0000511R0585476093S00001020P01396LAocjBAQBF1NjaVRlZ2ljLmRhdGEuTW9sZWN1bGUBbwF/ARJTY2lUZWdpYy5Nb2xlY3VsZQAAAQFkAv5qAQAAAAIAAgESHAAAAPz8APwAAgAAAAAAAPC/AndPHhZqTfE/AsKopE5AE8k/AAAAABgAAAD8/AD8AAIAAAAAAADwvwIK+aBns+r/PwIll/+QfvvKvwAAAAAcAAAA/PwA/AACAAAAAAAA8L8Cfoy5awn58j8Cz4jS3uAL8z8AAAAAGAAAAPz8APwAAgAAAAAAAPC/Ah1aZDvfTwVAAkYldQKaCOE/AAAAABgAAAD8/AD8AAIAAAAAAADwvwLAfR04Z0T4vwLoaiv2l930vwAAAAAYAAAA/PwA/AACAAAAAAAA8L8CHVpkO99PAUAC5fIf0m9f9j8AAAAAGAAAAPz8APwAAgAAAAAAAPC/Aqd5xyk6kss/AqCrrdhfdtO/AAAAABgAAAD8/AD8AAIAAAAAAADwvwLAfR04Z0T4vwKgq63YX3bTvwAAAAAYAAAA/PwA/AACAAAAAAAA8L8C/DpwzojS5L8CwqikTkATyT8AAAAAHAAAAPz8APwAAgAAAAAAAPC/ApAxdy0hnwFAAqAaL90kBvO/AAAAACQAAAD8/AD8AAIAAAAAAADwvwJ/+zpwzojgvwLoaiv2l930vwAAAAAkAAAA/PwA/AACAAAAAAAA8L8CwH0dOGdE+L8CdLUV+8tuAsAAAAAAJAAAAPz8APwAAgAAAAAAAPC/AuC+DpwzIgTAAuhqK/aX3fS/AAAAABgAAAD8/AD8AAIAAAAAAADwvwL4U+Olm0QNQAKppE5AE2HbPwAAAAAYAAAA/PwA/AACAAAAAAAA8L8C/DpwzojS5L8CGJXUCWgi8z8AAAAAGAAAAPz8APwAAgAAAAAAAPC/AgFvgQTFDwPAAsKopE5AE8k/AAAAABgAAAD8/AD8AAIAAAAAAADwvwLAfR04Z0T4vwIZldQJaCL7PwAAAAAYAAAA/PwA/AACAAAAAAAA8L8CAW+BBMUPA8ACGJXUCWgi8z8AAAAAARMEAAFlBAAAAAAAAAAACAABZQQAAAAAAAAAAAwEAWUIDAAAAAAAAAAQHAFlBAAAAAAAAAAAFAgBZQgIAAAAAAAAABgAAWUEAAAAAAAAAAAcIAFlBAAAAAAAAAAAIBgBZQQAAAAAAAAAACQEAWUEAAAAAAAAAAAoEAFlBAAAAAAAAAAALBABZQQAAAAAAAAAADAQAWUEAAAAAAAAAAA0DAFlBAAAAAAAAAAAOCABZQgIAAAAAAAAADwcAWUIDAAAAAAAAAABEDgBZQQAAAAAAAAAAAERARABZQgIAAAAAAAAAAwUAWUEAAAAAAAAAAABETwBZQQAAAAAAAAAAAAAAAA=</t>
        </r>
      </text>
    </comment>
    <comment ref="A512" authorId="0" shapeId="0" xr:uid="{BCB92C58-2094-47A8-A451-DE96BD707187}">
      <text>
        <r>
          <rPr>
            <sz val="9"/>
            <color indexed="81"/>
            <rFont val="MS P ゴシック"/>
            <family val="3"/>
            <charset val="128"/>
          </rPr>
          <t>Insight iXlW00001C0000512R0585476093S00001022P01396LAocjBAQBF1NjaVRlZ2ljLmRhdGEuTW9sZWN1bGUBbwF/ARJTY2lUZWdpYy5Nb2xlY3VsZQAAAQFkAv5qAQAAAAIAAgESHAAAAPz8APwAAgAAAAAAAPC/AtEi2/l+avU/Agr5oGez6sO/AAAAABgAAAD8/AD8AAIAAAAAAADwvwJEi2zn+6kCQAItQxzr4jaqvwAAAAAcAAAA/PwA/AACAAAAAAAA8L8CqTXNO07R7T8C5BQdyeU/6D8AAAAAGAAAAPz8APwAAgAAAAAAAPC/AocW2c73UwRAAkSLbOf7qe0/AAAAABgAAAD8/AD8AAIAAAAAAADwvwJfmEwVjEoBwAJBguLHmLvmPwAAAAAYAAAA/PwA/AACAAAAAAAA8L8CXCBB8WPM+j8CokW28/3U9j8AAAAAGAAAAPz8APwAAgAAAAAAAPC/Ar4wmSoYlfq/ApJc/kP67cO/AAAAABgAAAD8/AD8AAIAAAAAAADwvwKiRbbz/dTqPwLUK2UZ4ljwvwAAAAAYAAAA/PwA/AACAAAAAAAA8L8CfGEyVTAq5b8Cklz+Q/rtw78AAAAAGAAAAPz8APwAAgAAAAAAAPC/AnnpJjEIrMS/AtQrZRniWPC/AAAAABwAAAD8/AD8AAIAAAAAAADwvwKjkjoBTQQIQAIkKH6MuWvpvwAAAAAkAAAA/PwA/AACAAAAAAAA8L8CgEi/fR04CMACe6UsQxzryj8AAAAAJAAAAPz8APwAAgAAAAAAAPC/Al+YTBWMSgXAAmKh1jTvOPk/AAAAACQAAAD8/AD8AAIAAAAAAADwvwJ90LNZ9bn0vwIhQfFjzF3zPwAAAAAYAAAA/PwA/AACAAAAAAAA8L8CikFg5dCiC0ACn82qz9VW9T8AAAAAGAAAAPz8APwAAgAAAAAAAPC/Al+YTBWMSgHAAtQrZRniWPC/AAAAABgAAAD8/AD8AAIAAAAAAADwvwK+MJkqGJX6vwIWjErqBDT+vwAAAAAYAAAA/PwA/AACAAAAAAAA8L8CXrpJDAIr5b8CFoxK6gQ0/r8AAAAAARMEAAFlBAAAAAAAAAAACAABZQQAAAAAAAAAAAwEAWUIDAAAAAAAAAAQGAFlBAAAAAAAAAAAFAgBZQgIAAAAAAAAABggAWUEAAAAAAAAAAAcAAFlBAAAAAAAAAAAICQBZQgMAAAAAAAAACQcAWUEAAAAAAAAAAAoBAFlBAAAAAAAAAAALBABZQQAAAAAAAAAADAQAWUEAAAAAAAAAAA0EAFlBAAAAAAAAAAAOAwBZQQAAAAAAAAAADwBEAFlBAAAAAAAAAAAARABEQFlCAgAAAAAAAAAAREkAWUEAAAAAAAAAAAMFAFlBAAAAAAAAAAAPBgBZQgMAAAAAAAAAAAAAAA=</t>
        </r>
      </text>
    </comment>
    <comment ref="A513" authorId="0" shapeId="0" xr:uid="{04EF75BD-19C1-4C6C-A4B3-E4403F72E643}">
      <text>
        <r>
          <rPr>
            <sz val="9"/>
            <color indexed="81"/>
            <rFont val="MS P ゴシック"/>
            <family val="3"/>
            <charset val="128"/>
          </rPr>
          <t>Insight iXlW00001C0000513R0585476093S00001024P01396LAocjBAQBF1NjaVRlZ2ljLmRhdGEuTW9sZWN1bGUBbwF/ARJTY2lUZWdpYy5Nb2xlY3VsZQAAAQFkAv5qAQAAAAIAAgESHAAAAPz8APwAAgAAAAAAAPC/AtEi2/l+avm/Av9D+u3rwNG/AAAAABgAAAD8/AD8AAIAAAAAAADwvwJEi2zn+6kEwAIeOGdEaW/YvwAAAAAcAAAA/PwA/AACAAAAAAAA8L8C1JrmHafo8r8CkzoBTYQN878AAAAAGAAAAPz8APwAAgAAAAAAAPC/AocW2c73UwbAAsP1KFyPwvW/AAAAABgAAAD8/AD8AAIAAAAAAADwvwJfmEwVjEoHQAJm9+RhodbiPwAAAAAYAAAA/PwA/AACAAAAAAAA8L8CXCBB8WPM/r8Cw/UoXI/C/b8AAAAAGAAAAPz8APwAAgAAAAAAAPC/Ar4wmSoYlf4/Amb35GGh1uI/AAAAABgAAAD8/AD8AAIAAAAAAADwvwLRItv5fmrxvwJm9+RhodbiPwAAAAAcAAAA/PwA/AACAAAAAAAA8L8Co5I6AU0ECsACxY8xdy0h1z8AAAAAJAAAAPz8APwAAgAAAAAAAPC/Al+YTBWMSgdAArN78rBQa/k/AAAAACQAAAD8/AD8AAIAAAAAAADwvwJfmEwVjEoPQAJm9+RhodbiPwAAAAAkAAAA/PwA/AACAAAAAAAA8L8CX5hMFYxKB0ACNBE2PL1S2r8AAAAAGAAAAPz8APwAAgAAAAAAAPC/Ar4wmSoYlfY/AjqSy39Iv9G/AAAAABgAAAD8/AD8AAIAAAAAAADwvwK+MJkqGJX2PwL129eBc0b3PwAAAAAYAAAA/PwA/AACAAAAAAAA8L8CDy2yne+ntr8CZvfkYaHW4j8AAAAAGAAAAPz8APwAAgAAAAAAAPC/AvnCZKpgVNo/Av9D+u3rwNG/AAAAABgAAAD8/AD8AAIAAAAAAADwvwK9dJMYBFbaPwL129eBc0b3PwAAAAAYAAAA/PwA/AACAAAAAAAA8L8CikFg5dCiDcACwH0dOGdE/L8AAAAAARMEAAFlBAAAAAAAAAAACAABZQQAAAAAAAAAAAwEAWUIDAAAAAAAAAAQGAFlBAAAAAAAAAAAFAgBZQgIAAAAAAAAABg0AWUEAAAAAAAAAAAcAAFlBAAAAAAAAAAAIAQBZQQAAAAAAAAAACQQAWUEAAAAAAAAAAAoEAFlBAAAAAAAAAAALBABZQQAAAAAAAAAADA8AWUEAAAAAAAAAAA0ARABZQgIAAAAAAAAADgcAWUEAAAAAAAAAAA8OAFlCAwAAAAAAAAAARA4AWUEAAAAAAAAAAABEQwBZQQAAAAAAAAAAAwUAWUEAAAAAAAAAAAYMAFlCAwAAAAAAAAAAAAAAA==</t>
        </r>
      </text>
    </comment>
    <comment ref="A514" authorId="0" shapeId="0" xr:uid="{612629B2-C7C1-4EFF-97F3-D5B26762B5B9}">
      <text>
        <r>
          <rPr>
            <sz val="9"/>
            <color indexed="81"/>
            <rFont val="MS P ゴシック"/>
            <family val="3"/>
            <charset val="128"/>
          </rPr>
          <t>Insight iXlW00001C0000514R0585476093S00001026P00876LAocjBAQBF1NjaVRlZ2ljLmRhdGEuTW9sZWN1bGUBbwF/ARJTY2lUZWdpYy5Nb2xlY3VsZQAAAQFkAv5qAQAAAAIAAiwYAAAA/PwA/AACAAAAAAAA8L8C8BZIUPwY678Crthfdk8e0r8AAAAAHAAAAPz8APwAAgAAAAAAAPC/Ak2EDU+vlN0/AsnlP6TfvvO/AAAAABgAAAD8/AD8AAIAAAAAAADwvwKY3ZOHhVqjvwI51sVtNIDTPwAAAAAcAAAA/PwA/AACAAAAAAAA8L8CPZtVn6ut6D8Crthfdk8e0r8AAAAAGAAAAPz8APwAAgAAAAAAAPC/AoenV8oyxPy/AveX3ZOHhZo/AAAAABgAAAD8/AD8AAIAAAAAAADwvwLaPXlYqDXhvwI6kst/SL/zvwAAAAAgAAAA/PwA/AACAAAAAAAA8L8ChxbZzvdTBMACvjCZKhiV5L8AAAAAGAAAAPz8APwAAgAAAAAAAPC/Aj29UpYhjvs/AveX3ZOHhZo/AAAAACAAAAD8/AD8AAIAAAAAAADwvwLPiNLe4AsAwAIbnl4pyxDwPwAAAAAgAAAA/PwA/AACAAAAAAAA8L8CseHplbIMB0ACpwpGJXUC9T8AAAAAGAAAAPz8APwAAgAAAAAAAPC/AlMnoImw4f4/Aqrx0k1iEPA/AAAAACwEFAFlCAgAAAAAAAAACAABZQgMAAAAAAAAAAwIAWUEAAAAAAAAAAAQAAFlBAAAAAAAAAAAFAABZQQAAAAAAAAAABgQAWUIAAAAAAAAAAAcDAFlBAAAAAAAAAAAIBABZQQAAAAAAAAAACQoAWUEAAAAAAAAAAAoHAFlBAAAAAAAAAAABAwBZQQAAAAAAAAAAAAAAAA=</t>
        </r>
      </text>
    </comment>
    <comment ref="A515" authorId="0" shapeId="0" xr:uid="{402D9F71-D835-4C44-89B0-EE66F7DCE746}">
      <text>
        <r>
          <rPr>
            <sz val="9"/>
            <color indexed="81"/>
            <rFont val="MS P ゴシック"/>
            <family val="3"/>
            <charset val="128"/>
          </rPr>
          <t>Insight iXlW00001C0000515R0585476093S00001028P00964LAocjBAQBF1NjaVRlZ2ljLmRhdGEuTW9sZWN1bGUBbwF/ARJTY2lUZWdpYy5Nb2xlY3VsZQAAAQFkAv5qAQAAAAIAAjAYAAAA/PwA/AACAAAAAAAA8L8CqRPQRNjw8D8C0GbV52orxr8AAAAAHAAAAPz8APwAAgAAAAAAAPC/AoljXdxGA9C/AoiFWtO84+g/AAAAABwAAAD8/AD8AAIAAAAAAADwvwJTJ6CJsOHhPwJ+rrZif9n1PwAAAAAYAAAA/PwA/AACAAAAAAAA8L8CJnUCmggbrj8C0GbV52orxr8AAAAAGAAAAPz8APwAAgAAAAAAAPC/AmN/2T15WPo/Aq2L22gAb++/AAAAABgAAAD8/AD8AAIAAAAAAADwvwI1gLdAguL1PwKIhVrTvOPoPwAAAAAYAAAA/PwA/AACAAAAAAAA8L8CeXqlLEMc/78CQYLix5i72j8AAAAAGAAAAPz8APwAAgAAAAAAAPC/AuJ6FK5HYQfAAtGzWfW52so/AAAAABgAAAD8/AD8AAIAAAAAAADwvwKCc0aU9gYCwAL99nXgnBHhvwAAAAAYAAAA/PwA/AACAAAAAAAA8L8CgEi/fR04878CT6+UZYhj8T8AAAAAIAAAAPz8APwAAgAAAAAAAPC/Ao25awn5IAVAAtlfdk8eFuy/AAAAACAAAAD8/AD8AAIAAAAAAADwvwL1SlmGONbzPwLbG3xhMlX+vwAAAAA0BAwBZQQAAAAAAAAAAAgUAWUICAAAAAAAAAAMAAFlCAwAAAAAAAAAEAABZQQAAAAAAAAAABQAAWUEAAAAAAAAAAAYJAFlBAAAAAAAAAAAHBgBZQQAAAAAAAAAACAYAWUEAAAAAAAAAAAkBAFlBAAAAAAAAAAAKBABZQgAAAAAAAAAACwQAWUEAAAAAAAAAAAIBAFlBAAAAAAAAAAAHCABZQQAAAAAAAAAAAAAAAA=</t>
        </r>
      </text>
    </comment>
    <comment ref="A516" authorId="0" shapeId="0" xr:uid="{C67F25ED-85E8-44A3-BF9B-310660365582}">
      <text>
        <r>
          <rPr>
            <sz val="9"/>
            <color indexed="81"/>
            <rFont val="MS P ゴシック"/>
            <family val="3"/>
            <charset val="128"/>
          </rPr>
          <t>Insight iXlW00001C0000516R0585476093S00001030P01036LAocjBAQBF1NjaVRlZ2ljLmRhdGEuTW9sZWN1bGUBbwF/ARJTY2lUZWdpYy5Nb2xlY3VsZQAAAQFkAv5qAQAAAAIAAjQYAAAA/PwA/AACAAAAAAAA8L8CvXSTGARW9D8CV+wvuycPw78AAAAAHAAAAPz8APwAAgAAAAAAAPC/ArprCfmgZ6O/Aibkg57Nquk/AAAAABwAAAD8/AD8AAIAAAAAAADwvwJ56SYxCKzoPwLNXUvIBz32PwAAAAAYAAAA/PwA/AACAAAAAAAA8L8C8tJNYhBY0T8CV+wvuycPw78AAAAAGAAAAPz8APwAAgAAAAAAAPC/AnbgnBGlvf0/Ag8tsp3vp+6/AAAAABgAAAD8/AD8AAIAAAAAAADwvwK5jQbwFkj5PwIm5IOezarpPwAAAAAgAAAA/PwA/AACAAAAAAAA8L8CFmpN847TBkACOwFNhA1P678AAAAAGAAAAPz8APwAAgAAAAAAAPC/AtrO91Pjpe+/Ap5eKcsQx/E/AAAAACAAAAD8/AD8AAIAAAAAAADwvwJ6WKg1zTv3PwKMbOf7qfH9vwAAAAAYAAAA/PwA/AACAAAAAAAA8L8C9GxWfa62+78CfT81XrpJ3D8AAAAAGAAAAPz8APwAAgAAAAAAAPC/Ahb7y+7JQwbAAvrt68A5I+C/AAAAABgAAAD8/AD8AAIAAAAAAADwvwJaZDvfT438vwLkg57Nqs/hvwAAAAAYAAAA/PwA/AACAAAAAAAA8L8CnFWfq63YBcACUWuad5yi3z8AAAAAOAQMAWUEAAAAAAAAAAAIFAFlCAgAAAAAAAAADAABZQgMAAAAAAAAABAAAWUEAAAAAAAAAAAUAAFlBAAAAAAAAAAAGBABZQgAAAAAAAAAABwEAWUEAAAAAAAAAAAgEAFlBAAAAAAAAAAAJBwBZQQAAAAAAAAAACgwAWUEAAAAAAAAAAAsJAFlBAAAAAAAAAAAMCQBZQQAAAAAAAAAAAgEAWUEAAAAAAAAAAAoLAFlBAAAAAAAAAAAAAAAAA==</t>
        </r>
      </text>
    </comment>
    <comment ref="A517" authorId="0" shapeId="0" xr:uid="{12BC9BF0-D19E-4A4A-89F0-3B2E1B0977EA}">
      <text>
        <r>
          <rPr>
            <sz val="9"/>
            <color indexed="81"/>
            <rFont val="MS P ゴシック"/>
            <family val="3"/>
            <charset val="128"/>
          </rPr>
          <t>Insight iXlW00001C0000517R0585476093S00001032P01104LAocjBAQBF1NjaVRlZ2ljLmRhdGEuTW9sZWN1bGUBbwF/ARJTY2lUZWdpYy5Nb2xlY3VsZQAAAQFkAv5qAQAAAAIAAjgYAAAA/PwA/AACAAAAAAAA8L8C3GgAb4EE9z8CTtGRXP5D4j8AAAAAHAAAAPz8APwAAgAAAAAAAPC/AsRCrWneccK/Amu8dJMYBM4/AAAAABwAAAD8/AD8AAIAAAAAAADwvwL129eBc0akvwLT3uALk6nzPwAAAAAYAAAA/PwA/AACAAAAAAAA8L8CWFuxv+ye6D8CBOeMKO0Nxr8AAAAAGAAAAPz8APwAAgAAAAAAAPC/Akku/yH9dgNAArr8h/Tb190/AAAAABgAAAD8/AD8AAIAAAAAAADwvwK30QDeAgnuPwJa9bnaiv32PwAAAAAYAAAA/PwA/AACAAAAAAAA8L8Cmggbnl4p8L8Cy6FFtvP90L8AAAAAHAAAAPz8APwAAgAAAAAAAPC/AtxoAG+BBP6/Amu8dJMYBM4/AAAAACAAAAD8/AD8AAIAAAAAAADwvwIm5IOezSoIQAK6awn5oGf0PwAAAAAgAAAA/PwA/AACAAAAAAAA8L8CSHL5D+m3BkACHA3gLZCg3L8AAAAAGAAAAPz8APwAAgAAAAAAAPC/ApoIG55eKfC/AnNoke18P/S/AAAAABgAAAD8/AD8AAIAAAAAAADwvwKP5PIf0u8FwALLoUW28/3QvwAAAAAYAAAA/PwA/AACAAAAAAAA8L8C3GgAb4EE/r8Cc2iR7Xw//L8AAAAAGAAAAPz8APwAAgAAAAAAAPC/Ao/k8h/S7wXAAnNoke18P/S/AAAAADwEDAFlBAAAAAAAAAAACBQBZQgIAAAAAAAAAAwAAWUIDAAAAAAAAAAQAAFlBAAAAAAAAAAAFAABZQQAAAAAAAAAABgEAWUEAAAAAAAAAAAcGAFlBAAAAAAAAAAAIBABZQgAAAAAAAAAACQQAWUEAAAAAAAAAAAoGAFlCAwAAAAAAAAALBwBZQgIAAAAAAAAADAoAWUEAAAAAAAAAAA0MAFlCAgAAAAAAAAACAQBZQQAAAAAAAAAADQsAWUEAAAAAAAAAAAAAAAA</t>
        </r>
      </text>
    </comment>
    <comment ref="A518" authorId="0" shapeId="0" xr:uid="{93C18396-D32D-4DD3-BF02-C046D34C9191}">
      <text>
        <r>
          <rPr>
            <sz val="9"/>
            <color indexed="81"/>
            <rFont val="MS P ゴシック"/>
            <family val="3"/>
            <charset val="128"/>
          </rPr>
          <t>Insight iXlW00001C0000518R0585476093S00001034P01176LAocjBAQBF1NjaVRlZ2ljLmRhdGEuTW9sZWN1bGUBbwF/ARJTY2lUZWdpYy5Nb2xlY3VsZQAAAQFkAv5qAQAAAAIAAjwYAAAA/PwA/AACAAAAAAAA8L8CwhcmUwWj/b8C1CtlGeJYhz8AAAAAHAAAAPz8APwAAgAAAAAAAPC/AvvL7snDQtG/AoofY+5aQtY/AAAAABwAAAD8/AD8AAIAAAAAAADwvwIbwFsgQfHXvwLG/rJ78rDkvwAAAAAYAAAA/PwA/AACAAAAAAAA8L8Cklz+Q/rt8r8Cofgx5q4l6D8AAAAAGAAAAPz8APwAAgAAAAAAAPC/ArwFEhQ/xgbAAhkEVg4tsr0/AAAAABgAAAD8/AD8AAIAAAAAAADwvwLCFyZTBaP1vwLUK2UZ4ljrvwAAAAAYAAAA/PwA/AACAAAAAAAA8L8ChlrTvOMU4z8CxY8xdy0h6z8AAAAAHAAAAPz8APwAAgAAAAAAAPC/Ava52or9Zfc/AjtwzojS3uS/AAAAACAAAAD8/AD8AAIAAAAAAADwvwKZu5aQD3oLwAKUGARWDi3mvwAAAAAYAAAA/PwA/AACAAAAAAAA8L8C9rnaiv1l9z8Cih9j7lpC1j8AAAAAIAAAAPz8APwAAgAAAAAAAPC/AvMf0m9fBwrAAka28/3UePA/AAAAABgAAAD8/AD8AAIAAAAAAADwvwIcDeAtkKACQAKti9toAG/yvwAAAAAYAAAA/PwA/AACAAAAAAAA8L8CHA3gLZCgAkACxY8xdy0h6z8AAAAAGAAAAPz8APwAAgAAAAAAAPC/Aj29UpYhjglAAlkXt9EA3uS/AAAAABgAAAD8/AD8AAIAAAAAAADwvwI9vVKWIY4JQAKKH2PuWkLWPwAAAAABEAQMAWUEAAAAAAAAAAAIFAFlCAgAAAAAAAAADAABZQgMAAAAAAAAABAAAWUEAAAAAAAAAAAUAAFlBAAAAAAAAAAAGAQBZQQAAAAAAAAAABwkAWUEAAAAAAAAAAAgEAFlCAAAAAAAAAAAJBgBZQQAAAAAAAAAACgQAWUEAAAAAAAAAAAsHAFlCAgAAAAAAAAAMCQBZQgIAAAAAAAAADQ4AWUICAAAAAAAAAA4MAFlBAAAAAAAAAAACAQBZQQAAAAAAAAAADQsAWUEAAAAAAAAAAAAAAAA</t>
        </r>
      </text>
    </comment>
    <comment ref="A519" authorId="0" shapeId="0" xr:uid="{527AC60B-E559-4230-99D0-F2EBA4F76C56}">
      <text>
        <r>
          <rPr>
            <sz val="9"/>
            <color indexed="81"/>
            <rFont val="MS P ゴシック"/>
            <family val="3"/>
            <charset val="128"/>
          </rPr>
          <t>Insight iXlW00001C0000519R0585476093S00001036P01176LAocjBAQBF1NjaVRlZ2ljLmRhdGEuTW9sZWN1bGUBbwF/ARJTY2lUZWdpYy5Nb2xlY3VsZQAAAQFkAv5qAQAAAAIAAjwYAAAA/PwA/AACAAAAAAAA8L8CwhcmUwWj/T8C1CtlGeJYh78AAAAAHAAAAPz8APwAAgAAAAAAAPC/AvvL7snDQtE/AoofY+5aQta/AAAAABwAAAD8/AD8AAIAAAAAAADwvwIbwFsgQfHXPwLG/rJ78rDkPwAAAAAYAAAA/PwA/AACAAAAAAAA8L8Cklz+Q/rt8j8Cofgx5q4l6L8AAAAAGAAAAPz8APwAAgAAAAAAAPC/ArwFEhQ/xgZAAhkEVg4tsr2/AAAAABgAAAD8/AD8AAIAAAAAAADwvwLCFyZTBaP1PwLUK2UZ4ljrPwAAAAAgAAAA/PwA/AACAAAAAAAA8L8CmbuWkA96C0AClBgEVg4t5j8AAAAAGAAAAPz8APwAAgAAAAAAAPC/AoZa07zjFOO/AsWPMXctIeu/AAAAABwAAAD8/AD8AAIAAAAAAADwvwI9vVKWIY4JwAKKH2PuWkLWvwAAAAAYAAAA/PwA/AACAAAAAAAA8L8C9rnaiv1l978Cih9j7lpC1r8AAAAAIAAAAPz8APwAAgAAAAAAAPC/AvMf0m9fBwpAAka28/3UePC/AAAAABgAAAD8/AD8AAIAAAAAAADwvwIcDeAtkKACwALFjzF3LSHrvwAAAAAYAAAA/PwA/AACAAAAAAAA8L8CPb1SliGOCcACWRe30QDe5D8AAAAAGAAAAPz8APwAAgAAAAAAAPC/Ava52or9Zfe/AjtwzojS3uQ/AAAAABgAAAD8/AD8AAIAAAAAAADwvwIcDeAtkKACwAKti9toAG/yPwAAAAABEAQMAWUEAAAAAAAAAAAIFAFlCAgAAAAAAAAADAABZQgMAAAAAAAAABAAAWUEAAAAAAAAAAAUAAFlBAAAAAAAAAAAGBABZQgAAAAAAAAAABwEAWUEAAAAAAAAAAAgLAFlCAgAAAAAAAAAJBwBZQQAAAAAAAAAACgQAWUEAAAAAAAAAAAsJAFlBAAAAAAAAAAAMDgBZQgIAAAAAAAAADQkAWUIDAAAAAAAAAA4NAFlBAAAAAAAAAAACAQBZQQAAAAAAAAAADAgAWUEAAAAAAAAAAAAAAAA</t>
        </r>
      </text>
    </comment>
    <comment ref="A520" authorId="0" shapeId="0" xr:uid="{E5516EF2-77BC-4F46-829D-ADEC9FD7DADC}">
      <text>
        <r>
          <rPr>
            <sz val="9"/>
            <color indexed="81"/>
            <rFont val="MS P ゴシック"/>
            <family val="3"/>
            <charset val="128"/>
          </rPr>
          <t>Insight iXlW00001C0000520R0585476093S00001038P01320LAocjBAQBF1NjaVRlZ2ljLmRhdGEuTW9sZWN1bGUBbwF/ARJTY2lUZWdpYy5Nb2xlY3VsZQAAAQFkAv5qAQAAAAIAAgERGAAAAPz8APwAAgAAAAAAAPC/AkLPZtXnagFAAjiJQWDl0NK/AAAAABwAAAD8/AD8AAIAAAAAAADwvwKgGi/dJAbjPwKyv+yePCzkvwAAAAAcAAAA/PwA/AACAAAAAAAA8L8Cku18PzVe5j8Csp3vp8ZL1z8AAAAAGAAAAPz8APwAAgAAAAAAAPC/AlTjpZvEIPg/AkeU9gZfmPC/AAAAABgAAAD8/AD8AAIAAAAAAADwvwIdyeU/pF8JQALf4AuTqYLZvwAAAAAYAAAA/PwA/AACAAAAAAAA8L8ChJ7Nqs/V+j8C6Pup8dJN4j8AAAAAIAAAAPz8APwAAgAAAAAAAPC/Avp+arx0Ew5AAk/RkVz+Q9o/AAAAABgAAAD8/AD8AAIAAAAAAADwvwLHSzeJQWDRvwLZX3ZPHhbyvwAAAAAYAAAA/PwA/AACAAAAAAAA8L8CMzMzMzMz8r8Csr/snjws5L8AAAAAIAAAAPz8APwAAgAAAAAAAPC/AhwN4C2QoAxAAq36XG3F/vS/AAAAABgAAAD8/AD8AAIAAAAAAADwvwIzMzMzMzPyvwKegCbChqfXPwAAAAAYAAAA/PwA/AACAAAAAAAA8L8Cu0kMAisHAMACbef7qfHS6z8AAAAAIAAAAPz8APwAAgAAAAAAAPC/ArtJDAIrBwDAArfz/dR46f0/AAAAABgAAAD8/AD8AAIAAAAAAADwvwLb+X5qvPQGwAKyv+yePCzkvwAAAAAYAAAA/PwA/AACAAAAAAAA8L8Cu0kMAisHAMAC2V92Tx4W8r8AAAAAGAAAAPz8APwAAgAAAAAAAPC/Atv5fmq89AbAAtnO91Pjpdc/AAAAABgAAAD8/AD8AAIAAAAAAADwvwLb+X5qvPQGwALb+X5qvPQCQAAAAAABEgQMAWUEAAAAAAAAAAAIFAFlCAgAAAAAAAAADAABZQgMAAAAAAAAABAAAWUEAAAAAAAAAAAUAAFlBAAAAAAAAAAAGBABZQgAAAAAAAAAABwEAWUEAAAAAAAAAAAgHAFlBAAAAAAAAAAAJBABZQQAAAAAAAAAACggAWUEAAAAAAAAAAAsKAFlCAwAAAAAAAAAMCwBZQQAAAAAAAAAADQ4AWUEAAAAAAAAAAA4IAFlCAwAAAAAAAAAPDQBZQgIAAAAAAAAAAEQMAFlBAAAAAAAAAAACAQBZQQAAAAAAAAAADwsAWUEAAAAAAAAAAAAAAAA</t>
        </r>
      </text>
    </comment>
    <comment ref="A521" authorId="0" shapeId="0" xr:uid="{241FE5F8-241B-4074-9243-4ABFAFCD351F}">
      <text>
        <r>
          <rPr>
            <sz val="9"/>
            <color indexed="81"/>
            <rFont val="MS P ゴシック"/>
            <family val="3"/>
            <charset val="128"/>
          </rPr>
          <t>Insight iXlW00001C0000521R0585476093S00001040P01320LAocjBAQBF1NjaVRlZ2ljLmRhdGEuTW9sZWN1bGUBbwF/ARJTY2lUZWdpYy5Nb2xlY3VsZQAAAQFkAv5qAQAAAAIAAgERGAAAAPz8APwAAgAAAAAAAPC/AkA1XrpJDAPAAiZ1ApoIG74/AAAAABwAAAD8/AD8AAIAAAAAAADwvwKWsgxxrIvpvwJ1kxgEVg7dPwAAAAAcAAAA/PwA/AACAAAAAAAA8L8CiIVa07zj7L8Csp3vp8ZL4b8AAAAAGAAAAPz8APwAAgAAAAAAAPC/Ak+vlGWIY/u/ArRZ9bnaius/AAAAABgAAAD8/AD8AAIAAAAAAADwvwIbL90kBgELwAJahjjWxW3MPwAAAAAYAAAA/PwA/AACAAAAAAAA8L8Cf2q8dJMY/r8C33GKjuTy578AAAAAIAAAAPz8APwAAgAAAAAAAPC/AvjkYaHWtA/AAoC3QILix+K/AAAAABgAAAD8/AD8AAIAAAAAAADwvwJqb/CFyVSxPwK7SQwCK4fuPwAAAAAgAAAA/PwA/AACAAAAAAAA8L8CGXPXEvJBDsACQRNhw9Mr8j8AAAAAGAAAAPz8APwAAgAAAAAAAPC/AnHOiNLe4O0/ArHh6ZWyDN0/AAAAABgAAAD8/AD8AAIAAAAAAADwvwIWak3zjlMFQAJGtvP91HjhvwAAAAAYAAAA/PwA/AACAAAAAAAA8L8Ccc6I0t7g7T8CRrbz/dR44b8AAAAAGAAAAPz8APwAAgAAAAAAAPC/AutztRX7y/w/Atnw9EpZhu4/AAAAABgAAAD8/AD8AAIAAAAAAADwvwIWak3zjlMFQAJ1kxgEVg7dPwAAAAAYAAAA/PwA/AACAAAAAAAA8L8CescpOpLL/D8CI9v5fmq88L8AAAAAIAAAAPz8APwAAgAAAAAAAPC/AjcawFsgQQxAAiPb+X5qvPC/AAAAABgAAAD8/AD8AAIAAAAAAADwvwIsZRniWJcRQAJGtvP91HjhvwAAAAABEgQMAWUEAAAAAAAAAAAIFAFlCAgAAAAAAAAADAABZQgMAAAAAAAAABAAAWUEAAAAAAAAAAAUAAFlBAAAAAAAAAAAGBABZQgAAAAAAAAAABwEAWUEAAAAAAAAAAAgEAFlBAAAAAAAAAAAJBwBZQQAAAAAAAAAACg0AWUIDAAAAAAAAAAsJAFlBAAAAAAAAAAAMCQBZQgMAAAAAAAAADQwAWUEAAAAAAAAAAA4LAFlCAgAAAAAAAAAPCgBZQQAAAAAAAAAAAEQPAFlBAAAAAAAAAAACAQBZQQAAAAAAAAAACg4AWUEAAAAAAAAAAAAAAAA</t>
        </r>
      </text>
    </comment>
    <comment ref="A522" authorId="0" shapeId="0" xr:uid="{4C603FFE-434E-4578-AABC-9D8EAF204FA9}">
      <text>
        <r>
          <rPr>
            <sz val="9"/>
            <color indexed="81"/>
            <rFont val="MS P ゴシック"/>
            <family val="3"/>
            <charset val="128"/>
          </rPr>
          <t>Insight iXlW00001C0000522R0585476093S00001042P01472LAocjBAQBF1NjaVRlZ2ljLmRhdGEuTW9sZWN1bGUBbwF/ARJTY2lUZWdpYy5Nb2xlY3VsZQAAAQFkAv5qAQAAAAIAAgETGAAAAPz8APwAAgAAAAAAAPC/AvaX3ZOHBQbAAjhnRGlv8NE/AAAAABwAAAD8/AD8AAIAAAAAAADwvwIqyxDHurjyvwKyLm6jAbzjPwAAAAAcAAAA/PwA/AACAAAAAAAA8L8CorQ3+MJk9L8CdnEbDeAt2L8AAAAAGAAAAPz8APwAAgAAAAAAAPC/AkjhehSuRwlAAk/RkVz+Q+y/AAAAABgAAAD8/AD8AAIAAAAAAADwvwJeukkMAqsAwALHSzeJQWDwPwAAAAAYAAAA/PwA/AACAAAAAAAA8L8C0pFc/kP6DcAC4L4OnDOi2D8AAAAAGAAAAPz8APwAAgAAAAAAAPC/AvaX3ZOHBQLAAueMKO0NvuK/AAAAABgAAAD8/AD8AAIAAAAAAADwvwInMQisHFoCQAKdoiO5/IfYvwAAAAAgAAAA/PwA/AACAAAAAAAA8L8C16NwPQpXEcACTvOOU3Qk278AAAAAGAAAAPz8APwAAgAAAAAAAPC/AqCrrdhfdtO/AlkXt9EA3vE/AAAAACQAAAD8/AD8AAIAAAAAAADwvwJI4XoUrkcNQAIi/fZ14JyRvwAAAAAkAAAA/PwA/AACAAAAAAAA8L8CtMh2vp8aEEACp+hILv8h9r8AAAAAJAAAAPz8APwAAgAAAAAAAPC/AkjhehSuRwVAAulILv8h/fu/AAAAABgAAAD8/AD8AAIAAAAAAADwvwInMQisHFoCQAKyLm6jAbzjPwAAAAAYAAAA/PwA/AACAAAAAAAA8L8CDQIrhxbZ9j8CT9GRXP5D7L8AAAAAIAAAAPz8APwAAgAAAAAAAPC/AgRWDi2ynRDAArwFEhQ/xvQ/AAAAABgAAAD8/AD8AAIAAAAAAADwvwKWQ4ts5/vhPwKyLm6jAbzjPwAAAAAYAAAA/PwA/AACAAAAAAAA8L8ClkOLbOf74T8CnaIjufyH2L8AAAAAGAAAAPz8APwAAgAAAAAAAPC/Ag0CK4cW2fY/AlkXt9EA3vE/AAAAAAEUBBABZQQAAAAAAAAAAAgYAWUICAAAAAAAAAAMHAFlBAAAAAAAAAAAEAABZQgMAAAAAAAAABQAAWUEAAAAAAAAAAAYAAFlBAAAAAAAAAAAHDQBZQQAAAAAAAAAACAUAWUIAAAAAAAAAAAkBAFlBAAAAAAAAAAAKAwBZQQAAAAAAAAAACwMAWUEAAAAAAAAAAAwDAFlBAAAAAAAAAAANAESAWUICAAAAAAAAAA4AREBZQQAAAAAAAAAADwUAWUEAAAAAAAAAAABECQBZQQAAAAAAAAAAAERARABZQgMAAAAAAAAAAESARABZQQAAAAAAAAAAAgEAWUEAAAAAAAAAAAcOAFlCAwAAAAAAAAAAAAAAA==</t>
        </r>
      </text>
    </comment>
    <comment ref="A523" authorId="0" shapeId="0" xr:uid="{4A529D5F-2C45-4898-A297-CEB5F4C79260}">
      <text>
        <r>
          <rPr>
            <sz val="9"/>
            <color indexed="81"/>
            <rFont val="MS P ゴシック"/>
            <family val="3"/>
            <charset val="128"/>
          </rPr>
          <t>Insight iXlW00001C0000523R0585476093S00001044P00632LAocjBAQBF1NjaVRlZ2ljLmRhdGEuTW9sZWN1bGUBbwF/ARJTY2lUZWdpYy5Nb2xlY3VsZQAAAQFkAv5qAQAAAAIAAiAcAAAA/PwA/AACAAAAAAAA8L8Ca7x0kxgE+z8ClWWIY13c0j8AAAAAHAAAAPz8APwAAgAAAAAAAPC/ArprCfmgZ+8/AqO0N/jCZNq/AAAAABgAAAD8/AD8AAIAAAAAAADwvwJYObTIdr6PPwJiMlUwKqnDvwAAAAAYAAAA/PwA/AACAAAAAAAA8L8Cnu+nxks3678CmUwVjErq5L8AAAAAGAAAAPz8APwAAgAAAAAAAPC/As/3U+Olm/W/AqvP1VbsL8s/AAAAABgAAAD8/AD8AAIAAAAAAADwvwI2XrpJDALfvwLrc7UV+8vmPwAAAAABEQAAAPz8APwAAgAAAAAAAPC/ApzEILBy6ANAAm14eqUsQ4w/AAAAAAERAAAA/PwA/AACAAAAAAAA8L8CuK8D54woDEACC9ejcD0Kpz8AAAAAGAAEAWUEAAAAAAAAAAAECAFlBAAAAAAAAAAACAwBZQQAAAAAAAAAAAwQAWUEAAAAAAAAAAAQFAFlBAAAAAAAAAAAFAgBZQQAAAAAAAAAAAAAAAA=</t>
        </r>
      </text>
    </comment>
    <comment ref="A524" authorId="0" shapeId="0" xr:uid="{08FD1CBA-A32E-405A-AF92-4D3B02B85AD4}">
      <text>
        <r>
          <rPr>
            <sz val="9"/>
            <color indexed="81"/>
            <rFont val="MS P ゴシック"/>
            <family val="3"/>
            <charset val="128"/>
          </rPr>
          <t>Insight iXlW00001C0000524R0585476093S00001046P00632LAocjBAQBF1NjaVRlZ2ljLmRhdGEuTW9sZWN1bGUBbwF/ARJTY2lUZWdpYy5Nb2xlY3VsZQAAAQFkAv5qAQAAAAIAAiAcAAAA/PwA/AACAAAAAAAA8L8C9WxWfa62/z8CGCZTBaOS3r8AAAAAHAAAAPz8APwAAgAAAAAAAPC/AkJg5dAi2/E/AoSezarP1ZY/AAAAABgAAAD8/AD8AAIAAAAAAADwvwIAAAAAAADQPwIYJlMFo5LevwAAAAAYAAAA/PwA/AACAAAAAAAA8L8Cg8DKoUW2478ChJ7Nqs/Vlj8AAAAAGAAAAPz8APwAAgAAAAAAAPC/AkJg5dAi2/G/AngtIR/0bOw/AAAAABgAAAD8/AD8AAIAAAAAAADwvwJCYOXQItv5vwKEns2qz9WWPwAAAAABEQAAAPz8APwAAgAAAAAAAPC/AuGcEaW9QQZAArmNBvAWSMg/AAAAAAERAAAA/PwA/AACAAAAAAAA8L8C/Yf029eBDkAC9dvXgXNGzD8AAAAAGAAEAWUEAAAAAAAAAAAECAFlBAAAAAAAAAAACAwBZQQAAAAAAAAAAAwQAWUEAAAAAAAAAAAQFAFlBAAAAAAAAAAAFAwBZQQAAAAAAAAAAAAAAAA=</t>
        </r>
      </text>
    </comment>
    <comment ref="A525" authorId="0" shapeId="0" xr:uid="{B349268D-D52D-4E72-9B83-ED168AFF5446}">
      <text>
        <r>
          <rPr>
            <sz val="9"/>
            <color indexed="81"/>
            <rFont val="MS P ゴシック"/>
            <family val="3"/>
            <charset val="128"/>
          </rPr>
          <t>Insight iXlW00001C0000525R0585476093S00001048P00900LAocjBAQBF1NjaVRlZ2ljLmRhdGEuTW9sZWN1bGUBbwF/ARJTY2lUZWdpYy5Nb2xlY3VsZQAAAQFkAv5qAQAAAAIAAjAcAAAA/PwA/AACAAAAAAAA8L8CT6+UZYjjBEACPb1SliGO5T8AAAAAHAAAAPz8APwAAgAAAAAAAPC/Ap5eKcsQx/k/Aj29UpYhjuU/AAAAABgAAAD8/AD8AAIAAAAAAADwvwKeXinLEMfxPwIcDeAtkKDIvwAAAAAYAAAA/PwA/AACAAAAAAAA8L8C4umVsgxxvD8CpHA9CtejyL8AAAAAGAAAAPz8APwAAgAAAAAAAPC/AoiFWtO849i/AlYOLbKd7/C/AAAAABgAAAD8/AD8AAIAAAAAAADwvwJiodY07zj2vwJWDi2yne/wvwAAAAAcAAAA/PwA/AACAAAAAAAA8L8CYqHWNO84/r8CpHA9CtejyL8AAAAAGAAAAPz8APwAAgAAAAAAAPC/AmKh1jTvOPa/AlpkO99PjeU/AAAAABgAAAD8/AD8AAIAAAAAAADwvwKIhVrTvOPYvwJaZDvfT43lPwAAAAABEQAAAPz8APwAAgAAAAAAAPC/ArYV+8vuSQtAAmMQWDm0yM6/AAAAAAERAAAA/PwA/AACAAAAAAAA8L8CaQBvgQTFEUACJ8KGp1fKyr8AAAAAAREAAAD8/AD8AAIAAAAAAADwvwITg8DKoQUWQALVCWgibHjCvwAAAAAkAAQBZQQAAAAAAAAAAAQIAWUEAAAAAAAAAAAIDAFlBAAAAAAAAAAADBABZQgMAAAAAAAAABAUAWUEAAAAAAAAAAAUGAFlCAgAAAAAAAAAGBwBZQQAAAAAAAAAABwgAWUICAAAAAAAAAAgDAFlBAAAAAAAAAAAAAAAAA==</t>
        </r>
      </text>
    </comment>
    <comment ref="A526" authorId="0" shapeId="0" xr:uid="{C171E21C-1A8E-4F88-9444-55ADE59ACB90}">
      <text>
        <r>
          <rPr>
            <sz val="9"/>
            <color indexed="81"/>
            <rFont val="MS P ゴシック"/>
            <family val="3"/>
            <charset val="128"/>
          </rPr>
          <t>Insight iXlW00001C0000526R0585476093S00001050P01248LAocjBAQBF1NjaVRlZ2ljLmRhdGEuTW9sZWN1bGUBbwF/ARJTY2lUZWdpYy5Nb2xlY3VsZQAAAQFkAv5qAQAAAAIAAgEQHAAAAPz8APwAAgAAAAAAAPC/AiWX/5B+++w/AirLEMe6uL2/AAAAABgAAAD8/AD8AAIAAAAAAADwvwImdQKaCBv9PwJBguLHmLvgvwAAAAAcAAAA/PwA/AACAAAAAAAA8L8Cmggbnl4p8D8CCM4ZUdob7D8AAAAAGAAAAPz8APwAAgAAAAAAAPC/AisYldQJ6ANAAsOGp1fKMsw/AAAAABgAAAD8/AD8AAIAAAAAAADwvwJWMCqpE9D/PwIaUdobfGHxPwAAAAAYAAAA/PwA/AACAAAAAAAA8L8C9dvXgXNGpD8CZRniWBe3478AAAAAGAAAAPz8APwAAgAAAAAAAPC/AsRCrWneceq/AirLEMe6uL2/AAAAABgAAAD8/AD8AAIAAAAAAADwvwKkAbwFEhT7vwJlGeJYF7fjvwAAAAAcAAAA/PwA/AACAAAAAAAA8L8Cnu+nxks3AEACa7x0kxgE+L8AAAAAIAAAAPz8APwAAgAAAAAAAPC/AqQBvAUSFPu/ArMMcayL2/m/AAAAABgAAAD8/AD8AAIAAAAAAADwvwLEQq1p3nHqvwKb5h2n6EjsPwAAAAAYAAAA/PwA/AACAAAAAAAA8L8CKVyPwvUoA0ACj1N0JJf//z8AAAAAGAAAAPz8APwAAgAAAAAAAPC/AvOwUGuadwTAAirLEMe6uL2/AAAAABgAAAD8/AD8AAIAAAAAAADwvwLEQq1p3nHqvwJahjjWxe0AwAAAAAAYAAAA/PwA/AACAAAAAAAA8L8CpAG8BRIU+78CTvOOU3Qk9j8AAAAAGAAAAPz8APwAAgAAAAAAAPC/AvOwUGuadwTAApvmHafoSOw/AAAAAAERBAABZQQAAAAAAAAAAAgAAWUEAAAAAAAAAAAMBAFlCAgAAAAAAAAAEAgBZQgMAAAAAAAAABQAAWUEAAAAAAAAAAAYFAFlBAAAAAAAAAAAHBgBZQQAAAAAAAAAACAEAWUEAAAAAAAAAAAkHAFlBAAAAAAAAAAAKBgBZQgMAAAAAAAAACwQAWUEAAAAAAAAAAAwHAFlCAgAAAAAAAAANCQBZQQAAAAAAAAAADgoAWUEAAAAAAAAAAA8OAFlCAgAAAAAAAAADBABZQQAAAAAAAAAADwwAWUEAAAAAAAAAAAAAAAA</t>
        </r>
      </text>
    </comment>
    <comment ref="A527" authorId="0" shapeId="0" xr:uid="{61334301-EE0C-4A73-8F98-FFA0E5FF71EA}">
      <text>
        <r>
          <rPr>
            <sz val="9"/>
            <color indexed="81"/>
            <rFont val="MS P ゴシック"/>
            <family val="3"/>
            <charset val="128"/>
          </rPr>
          <t>Insight iXlW00001C0000527R0585476093S00001052P01176LAocjBAQBF1NjaVRlZ2ljLmRhdGEuTW9sZWN1bGUBbwF/ARJTY2lUZWdpYy5Nb2xlY3VsZQAAAQFkAv5qAQAAAAIAAjwcAAAA/PwA/AACAAAAAAAA8L8CX5hMFYxK6j8CAd4CCYof078AAAAAHAAAAPz8APwAAgAAAAAAAPC/AkqdgCbChre/AskHPZtVn7s/AAAAABgAAAD8/AD8AAIAAAAAAADwvwJgB84ZUdr3PwIeOGdEaW/cPwAAAAAYAAAA/PwA/AACAAAAAAAA8L8Cvw6cM6K07z8CSS7/If329D8AAAAAGAAAAPz8APwAAgAAAAAAAPC/AiDSb18Hzok/AjPEsS5uo/E/AAAAABgAAAD8/AD8AAIAAAAAAADwvwKL/WX35OEDQAI6kst/SL/VPwAAAAAYAAAA/PwA/AACAAAAAAAA8L8CLdSa5h2n7r8CDr4wmSoY2b8AAAAAHAAAAPz8APwAAgAAAAAAAPC/AljKMsSxLv2/AskHPZtVn7s/AAAAACAAAAD8/AD8AAIAAAAAAADwvwJos+pztZUIQAIaUdobfGHyPwAAAAAgAAAA/PwA/AACAAAAAAAA8L8CikFg5dAiB0ACzTtO0ZFc4r8AAAAAGAAAAPz8APwAAgAAAAAAAPC/AqmkTkATYee/AvLSTWIQWPw/AAAAABgAAAD8/AD8AAIAAAAAAADwvwIt1JrmHafuvwKEL0ymCkb2vwAAAAAYAAAA/PwA/AACAAAAAAAA8L8CTRWMSuqEBcACDr4wmSoY2b8AAAAAGAAAAPz8APwAAgAAAAAAAPC/AljKMsSxLv2/AoQvTKYKRv6/AAAAABgAAAD8/AD8AAIAAAAAAADwvwJNFYxK6oQFwAKEL0ymCkb2vwAAAAABEAQAAWUEAAAAAAAAAAAIAAFlCAgAAAAAAAAADAgBZQQAAAAAAAAAABAEAWUEAAAAAAAAAAAUCAFlBAAAAAAAAAAAGAQBZQQAAAAAAAAAABwYAWUEAAAAAAAAAAAgFAFlCAAAAAAAAAAAJBQBZQQAAAAAAAAAACgQAWUEAAAAAAAAAAAsGAFlCAwAAAAAAAAAMBwBZQgIAAAAAAAAADQsAWUEAAAAAAAAAAA4NAFlCAgAAAAAAAAADBABZQgIAAAAAAAAADgwAWUEAAAAAAAAAAAAAAAA</t>
        </r>
      </text>
    </comment>
    <comment ref="A528" authorId="0" shapeId="0" xr:uid="{19A582B5-8AD0-4767-B688-96C3B9B0FE76}">
      <text>
        <r>
          <rPr>
            <sz val="9"/>
            <color indexed="81"/>
            <rFont val="MS P ゴシック"/>
            <family val="3"/>
            <charset val="128"/>
          </rPr>
          <t>Insight iXlW00001C0000528R0585476093S00001054P01176LAocjBAQBF1NjaVRlZ2ljLmRhdGEuTW9sZWN1bGUBbwF/ARJTY2lUZWdpYy5Nb2xlY3VsZQAAAQFkAv5qAQAAAAIAAjwcAAAA/PwA/AACAAAAAAAA8L8CX5hMFYxK6r8CAd4CCYof0z8AAAAAGAAAAPz8APwAAgAAAAAAAPC/AmAHzhlR2ve/Ah44Z0Rpb9y/AAAAABwAAAD8/AD8AAIAAAAAAADwvwJKnYAmwoa3PwLJBz2bVZ+7vwAAAAAYAAAA/PwA/AACAAAAAAAA8L8Cvw6cM6K0778CSS7/If329L8AAAAAGAAAAPz8APwAAgAAAAAAAPC/AiDSb18Hzom/AjPEsS5uo/G/AAAAABgAAAD8/AD8AAIAAAAAAADwvwKL/WX35OEDwAI6kst/SL/VvwAAAAAYAAAA/PwA/AACAAAAAAAA8L8CLdSa5h2n7j8CDr4wmSoY2T8AAAAAIAAAAPz8APwAAgAAAAAAAPC/Amiz6nO1lQjAAhpR2ht8YfK/AAAAABwAAAD8/AD8AAIAAAAAAADwvwJYyjLEsS79PwKEL0ymCkb+PwAAAAAgAAAA/PwA/AACAAAAAAAA8L8CikFg5dAiB8ACzTtO0ZFc4j8AAAAAGAAAAPz8APwAAgAAAAAAAPC/Ai3UmuYdp+4/AoQvTKYKRvY/AAAAABgAAAD8/AD8AAIAAAAAAADwvwKppE5AE2HnPwLy0k1iEFj8vwAAAAAYAAAA/PwA/AACAAAAAAAA8L8CWMoyxLEu/T8CyQc9m1Wfu78AAAAAGAAAAPz8APwAAgAAAAAAAPC/Ak0VjErqhAVAAoQvTKYKRvY/AAAAABgAAAD8/AD8AAIAAAAAAADwvwJNFYxK6oQFQAIOvjCZKhjZPwAAAAABEAQAAWUICAAAAAAAAAAIAAFlBAAAAAAAAAAADAQBZQQAAAAAAAAAABAIAWUEAAAAAAAAAAAUBAFlBAAAAAAAAAAAGAgBZQQAAAAAAAAAABwUAWUIAAAAAAAAAAAgKAFlCAgAAAAAAAAAJBQBZQQAAAAAAAAAACgYAWUEAAAAAAAAAAAsEAFlBAAAAAAAAAAAMBgBZQgMAAAAAAAAADQ4AWUICAAAAAAAAAA4MAFlBAAAAAAAAAAADBABZQgIAAAAAAAAADQgAWUEAAAAAAAAAAAAAAAA</t>
        </r>
      </text>
    </comment>
    <comment ref="A529" authorId="0" shapeId="0" xr:uid="{C090EFFE-DD01-40D2-A49A-18D1DFD61D68}">
      <text>
        <r>
          <rPr>
            <sz val="9"/>
            <color indexed="81"/>
            <rFont val="MS P ゴシック"/>
            <family val="3"/>
            <charset val="128"/>
          </rPr>
          <t>Insight iXlW00001C0000529R0585476093S00001056P01132LAocjBAQBF1NjaVRlZ2ljLmRhdGEuTW9sZWN1bGUBbwF/ARJTY2lUZWdpYy5Nb2xlY3VsZQAAAQFkAv5qAQAAAAIAAjwYAAAA/PwA/AACAAAAAAAA8L8Cm+Ydp+jIBMAC4E+Nl24S278AAAAAGAAAAPz8APwAAgAAAAAAAPC/AoPAyqFFtvu/AvCnxks3ie2/AAAAABgAAAD8/AD8AAIAAAAAAADwvwKDwMqhRbbrvwKkAbwFEhTbvwAAAAAYAAAA/PwA/AACAAAAAAAA8L8Cg8DKoUW2678CL/8h/fZ14j8AAAAAGAAAAPz8APwAAgAAAAAAAPC/AvRsVn2utvu/Apf/kH77OvE/AAAAABwAAAD8/AD8AAIAAAAAAADwvwKb5h2n6MgEwAIv/yH99nXiPwAAAAAcAAAA/PwA/AACAAAAAAAA8L8AAtIA3gIJiu2/AAAAABgAAAD8/AD8AAIAAAAAAADwvwKDwMqhRbbrPwKkAbwFEhTbvwAAAAAcAAAA/PwA/AACAAAAAAAA8L8Cg8DKoUW26z8CL/8h/fZ14j8AAAAAGAAAAPz8APwAAgAAAAAAAPC/AoPAyqFFtvs/Apf/kH77OvE/AAAAABgAAAD8/AD8AAIAAAAAAADwvwKb5h2n6MgEQAIv/yH99nXiPwAAAAAYAAAA/PwA/AACAAAAAAAA8L8Cm+Ydp+jIBEACpAG8BRIU278AAAAAHAAAAPz8APwAAgAAAAAAAPC/AvRsVn2utvs/AtIA3gIJiu2/AAAAAAERAAAA/PwA/AACAAAAAAAA8L8CAk2EDU8vC0ACbVZ9rrZirz8AAAAAAREAAAD8/AD8AAIAAAAAAADwvwIPnDOitLcRQAKuR+F6FK63PwAAAAA4AAQBZQQAAAAAAAAAAAQIAWUEAAAAAAAAAAAIDAFlBAAAAAAAAAAADBABZQQAAAAAAAAAABAUAWUEAAAAAAAAAAAUAAFlBAAAAAAAAAAACBgBZQQAAAAAAAAAABgcAWUEAAAAAAAAAAAcIAFlCAwAAAAAAAAAICQBZQQAAAAAAAAAACQoAWUICAAAAAAAAAAoLAFlBAAAAAAAAAAALDABZQgIAAAAAAAAADAcAWUEAAAAAAAAAAAAAAAA</t>
        </r>
      </text>
    </comment>
    <comment ref="A530" authorId="0" shapeId="0" xr:uid="{20138840-4D6F-49D1-BDF0-11E1911C1973}">
      <text>
        <r>
          <rPr>
            <sz val="9"/>
            <color indexed="81"/>
            <rFont val="MS P ゴシック"/>
            <family val="3"/>
            <charset val="128"/>
          </rPr>
          <t>Insight iXlW00001C0000530R0585476093S00001058P01248LAocjBAQBF1NjaVRlZ2ljLmRhdGEuTW9sZWN1bGUBbwF/ARJTY2lUZWdpYy5Nb2xlY3VsZQAAAQFkAv5qAQAAAAIAAgEQGAAAAPz8APwAAgAAAAAAAPC/AnNoke18P+k/AmFUUiegidC/AAAAABwAAAD8/AD8AAIAAAAAAADwvwJ7FK5H4Xr6PwI/V1uxv+zOPwAAAAAYAAAA/PwA/AACAAAAAAAA8L8Cl5APejYrBEACYVRSJ6CJ0L8AAAAAIAAAAPz8APwAAgAAAAAAAPC/ArhAguLHGAdAAlr1udqK/fm/AAAAACAAAAD8/AD8AAIAAAAAAADwvwJzaJHtfD/pPwIYldQJaCL0vwAAAAAgAAAA/PwA/AACAAAAAAAA8L8Cg8DKoUW2s78CP1dbsb/szj8AAAAAGAAAAPz8APwAAgAAAAAAAPC/ApeQD3o2KwBAAlr1udqK/fG/AAAAABgAAAD8/AD8AAIAAAAAAADwvwK4QILixxgLQAIxKqkT0ETovwAAAAAYAAAA/PwA/AACAAAAAAAA8L8ClBgEVg4t7r8CYVRSJ6CJ0L8AAAAAGAAAAPz8APwAAgAAAAAAAPC/Av0Yc9cS8vy/Aj9XW7G/7M4/AAAAABgAAAD8/AD8AAIAAAAAAADwvwKXkA96NisIQAI17zhFR3LjPwAAAAAYAAAA/PwA/AACAAAAAAAA8L8C/Rhz1xLy/L8C6Gor9pfd8z8AAAAAGAAAAPz8APwAAgAAAAAAAPC/Ap88LNSaZgXAAmFUUiegidC/AAAAABgAAAD8/AD8AAIAAAAAAADwvwLA7J48LFQMwAI/V1uxv+zOPwAAAAAYAAAA/PwA/AACAAAAAAAA8L8Cnzws1JpmBcAC6Gor9pfd+z8AAAAAGAAAAPz8APwAAgAAAAAAAPC/AsDsnjwsVAzAAuhqK/aX3fM/AAAAAAERBAABZQQAAAAAAAAAAAgEAWUEAAAAAAAAAAAMHAFlBAAAAAAAAAAAEAABZQgAAAAAAAAAABQAAWUEAAAAAAAAAAAYCAFlBAAAAAAAAAAAHAgBZQQAAAAAAAAAACAUAWUEAAAAAAAAAAAkIAFlBAAAAAAAAAAAKAgBZQQAAAAAAAAAACwkAWUEAAAAAAAAAAAwJAFlCAwAAAAAAAAANDABZQQAAAAAAAAAADgsAWUICAAAAAAAAAA8NAFlCAgAAAAAAAAADBgBZQQAAAAAAAAAADw4AWUEAAAAAAAAAAAAAAAA</t>
        </r>
      </text>
    </comment>
    <comment ref="A531" authorId="0" shapeId="0" xr:uid="{0205A9BA-E7EA-4447-B46B-F9709D160FDD}">
      <text>
        <r>
          <rPr>
            <sz val="9"/>
            <color indexed="81"/>
            <rFont val="MS P ゴシック"/>
            <family val="3"/>
            <charset val="128"/>
          </rPr>
          <t>Insight iXlW00001C0000531R0585476093S00001060P01036LAocjBAQBF1NjaVRlZ2ljLmRhdGEuTW9sZWN1bGUBbwF/ARJTY2lUZWdpYy5Nb2xlY3VsZQAAAQFkAv5qAQAAAAIAAjQcAAAA/PwA/AACAAAAAAAA8L8C2j15WKg12T8C1QloImx4qj8AAAAAGAAAAPz8APwAAgAAAAAAAPC/An4dOGdEae8/AnpYqDXNO+i/AAAAABwAAAD8/AD8AAIAAAAAAADwvwJ+HThnRGnvPwK0WfW52orrPwAAAAAYAAAA/PwA/AACAAAAAAAA8L8CzqrP1Vbs/j8Cxv6ye/Kw3L8AAAAAGAAAAPz8APwAAgAAAAAAAPC/As6qz9VW7P4/Ap6AJsKGp+E/AAAAABgAAAD8/AD8AAIAAAAAAADwvwIUYcPTK2XjvwLVCWgibHiqPwAAAAAcAAAA/PwA/AACAAAAAAAA8L8ChetRuB6F5T8C2xt8YTJV+78AAAAAHAAAAPz8APwAAgAAAAAAAPC/AkXY8PRK2QDAAuY/pN++Duq/AAAAABgAAAD8/AD8AAIAAAAAAADwvwKKsOHplbLxvwLmP6Tfvg7qvwAAAAAYAAAA/PwA/AACAAAAAAAA8L8CrYvbaADvBUACCKwcWmQ78j8AAAAAGAAAAPz8APwAAgAAAAAAAPC/Aoqw4emVsvG/AiFB8WPMXe0/AAAAABgAAAD8/AD8AAIAAAAAAADwvwJF2PD0StkEwALVCWgibHiqPwAAAAAYAAAA/PwA/AACAAAAAAAA8L8CRdjw9ErZAMACIUHxY8xd7T8AAAAAOAQAAWUEAAAAAAAAAAAIAAFlBAAAAAAAAAAADAQBZQgIAAAAAAAAABAIAWUIDAAAAAAAAAAUAAFlBAAAAAAAAAAAGAQBZQQAAAAAAAAAABwgAWUICAAAAAAAAAAgFAFlBAAAAAAAAAAAJBABZQQAAAAAAAAAACgUAWUIDAAAAAAAAAAsMAFlCAgAAAAAAAAAMCgBZQQAAAAAAAAAAAwQAWUEAAAAAAAAAAAsHAFlBAAAAAAAAAAAAAAAAA==</t>
        </r>
      </text>
    </comment>
    <comment ref="A532" authorId="0" shapeId="0" xr:uid="{5A3CB1FD-08CC-459E-A3F7-4FF2AAAAFD53}">
      <text>
        <r>
          <rPr>
            <sz val="9"/>
            <color indexed="81"/>
            <rFont val="MS P ゴシック"/>
            <family val="3"/>
            <charset val="128"/>
          </rPr>
          <t>Insight iXlW00001C0000532R0585476093S00001062P01324LAocjBAQBF1NjaVRlZ2ljLmRhdGEuTW9sZWN1bGUBbwF/ARJTY2lUZWdpYy5Nb2xlY3VsZQAAAQFkAv5qAQAAAAIAAgERHAAAAPz8APwAAgAAAAAAAPC/AlVSJ6CJsPC/Au0vuycPC9G/AAAAABgAAAD8/AD8AAIAAAAAAADwvwJZqDXNO07/vwKWQ4ts5/vBPwAAAAAcAAAA/PwA/AACAAAAAAAA8L8CzTtO0ZFc8r8CQRNhw9Mr9L8AAAAAGAAAAPz8APwAAgAAAAAAAPC/AozbaABvAQXAAio6kst/SOO/AAAAABgAAAD8/AD8AAIAAAAAAADwvwKS7Xw/NV4DQALtL7snDwvRvwAAAAAYAAAA/PwA/AACAAAAAAAA8L8Cl5APejarxr8CKKCJsOHpzT8AAAAAGAAAAPz8APwAAgAAAAAAAPC/AozbaABvAQHAAsgpOpLLf/e/AAAAABgAAAD8/AD8AAIAAAAAAADwvwJxzojS3uD4PwIooImw4enNPwAAAAAYAAAA/PwA/AACAAAAAAAA8L8CXtxGA3gL5j8C7S+7Jw8L0b8AAAAAHAAAAPz8APwAAgAAAAAAAPC/Av+ye/KwUAHAAi6QoPgx5vE/AAAAACQAAAD8/AD8AAIAAAAAAADwvwKS7Xw/NV4HQAJvgQTFjzHjPwAAAAAkAAAA/PwA/AACAAAAAAAA8L8Cs53vp8ZLCkAC95fdk4eF6L8AAAAAJAAAAPz8APwAAgAAAAAAAPC/AiPb+X5qvP4/Aj0s1JrmHfK/AAAAABgAAAD8/AD8AAIAAAAAAADwvwKgq63YX/YMwAJxzojS3uDfvwAAAAAYAAAA/PwA/AACAAAAAAAA8L8Cl5APejarxr8CBTQRNjy98z8AAAAAGAAAAPz8APwAAgAAAAAAAPC/AnHOiNLe4Pg/AgU0ETY8vfM/AAAAABgAAAD8/AD8AAIAAAAAAADwvwJe3EYDeAvmPwIFNBE2PL37PwAAAAABEgQAAWUEAAAAAAAAAAAIAAFlBAAAAAAAAAAADAQBZQgMAAAAAAAAABAcAWUEAAAAAAAAAAAUAAFlBAAAAAAAAAAAGAgBZQgIAAAAAAAAABwgAWUIDAAAAAAAAAAgFAFlBAAAAAAAAAAAJAQBZQQAAAAAAAAAACgQAWUEAAAAAAAAAAAsEAFlBAAAAAAAAAAAMBABZQQAAAAAAAAAADQMAWUEAAAAAAAAAAA4FAFlCAwAAAAAAAAAPAEQAWUICAAAAAAAAAABEDgBZQQAAAAAAAAAAAwYAWUEAAAAAAAAAAA8HAFlBAAAAAAAAAAAAAAAAA==</t>
        </r>
      </text>
    </comment>
    <comment ref="A533" authorId="0" shapeId="0" xr:uid="{B6F3659D-7B25-42D6-83D5-D5E912ADE072}">
      <text>
        <r>
          <rPr>
            <sz val="9"/>
            <color indexed="81"/>
            <rFont val="MS P ゴシック"/>
            <family val="3"/>
            <charset val="128"/>
          </rPr>
          <t>Insight iXlW00001C0000533R0585476093S00001064P01016LAocjBAQBF1NjaVRlZ2ljLmRhdGEuTW9sZWN1bGUBbwF/ARJTY2lUZWdpYy5Nb2xlY3VsZQAAAQFkAv5qAQAAAAIAAjQYAAAA/PwA/AACAAAAAAAA8L8CbVZ9rrZi8b8Cs53vp8ZL378AAAAAHAAAAPz8APwAAgAAAAAAAPC/AlMFo5I6AeE/AndPHhZqTd+/AAAAABwAAAD8/AD8AAIAAAAAAADwvwJ7FK5H4XrMPwJ8gy9Mpgr3vwAAAAAYAAAA/PwA/AACAAAAAAAA8L8Cw/UoXI/C0b8CwH0dOGdEuT8AAAAAGAAAAPz8APwAAgAAAAAAAPC/As+I0t7gC/s/AtIA3gIJiuk/AAAAABgAAAD8/AD8AAIAAAAAAADwvwIGo5I6AU0AwAIL16NwPQrHvwAAAAAYAAAA/PwA/AACAAAAAAAA8L8CuR6F61G49z8CC9ejcD0Kx78AAAAAGAAAAPz8APwAAgAAAAAAAPC/AsTTK2UZ4ui/AnyDL0ymCve/AAAAACAAAAD8/AD8AAIAAAAAAADwvwICvAUSFD8GwAJBE2HD0yvrvwAAAAAkAAAA/PwA/AACAAAAAAAA8L8CJ8KGp1fK5j8Cf2q8dJMY8D8AAAAAJAAAAPz8APwAAgAAAAAAAPC/AuXyH9JvX/4/AiQofoy5a/w/AAAAACQAAAD8/AD8AAIAAAAAAADwvwINAiuHFlkFQAKmLEMc6+LiPwAAAAAgAAAA/PwA/AACAAAAAAAA8L8CEVg5tMj2AcAC0gDeAgmK6T8AAAAANAQMAWUEAAAAAAAAAAAIHAFlCAgAAAAAAAAADAABZQgMAAAAAAAAABAYAWUEAAAAAAAAAAAUAAFlBAAAAAAAAAAAGAQBZQQAAAAAAAAAABwAAWUEAAAAAAAAAAAgFAFlCAAAAAAAAAAAJBABZQQAAAAAAAAAACgQAWUEAAAAAAAAAAAsEAFlBAAAAAAAAAAAMBQBZQQAAAAAAAAAAAgEAWUEAAAAAAAAAAAAAAAA</t>
        </r>
      </text>
    </comment>
    <comment ref="A534" authorId="0" shapeId="0" xr:uid="{0C355914-EB8C-47E9-A898-35C0E2E1B578}">
      <text>
        <r>
          <rPr>
            <sz val="9"/>
            <color indexed="81"/>
            <rFont val="MS P ゴシック"/>
            <family val="3"/>
            <charset val="128"/>
          </rPr>
          <t>Insight iXlW00001C0000534R0585476093S00001066P00844LAocjBAQBF1NjaVRlZ2ljLmRhdGEuTW9sZWN1bGUBbwF/ARJTY2lUZWdpYy5Nb2xlY3VsZQAAAQFkAv5qAQAAAAIAAiwcAAAA/PwA/AACAAAAAAAA8L8CT6+UZYjjBEACPb1SliGO5T8AAAAAHAAAAPz8APwAAgAAAAAAAPC/Ap5eKcsQx/k/Aj29UpYhjuU/AAAAABgAAAD8/AD8AAIAAAAAAADwvwKeXinLEMfxPwIcDeAtkKDIvwAAAAAYAAAA/PwA/AACAAAAAAAA8L8C4umVsgxxvD8CpHA9CtejyL8AAAAAGAAAAPz8APwAAgAAAAAAAPC/AoiFWtO849i/AlYOLbKd7/C/AAAAABgAAAD8/AD8AAIAAAAAAADwvwJiodY07zj2vwJWDi2yne/wvwAAAAAgAAAA/PwA/AACAAAAAAAA8L8CYqHWNO84/r8CpHA9CtejyL8AAAAAGAAAAPz8APwAAgAAAAAAAPC/AmKh1jTvOPa/AlpkO99PjeU/AAAAABgAAAD8/AD8AAIAAAAAAADwvwKIhVrTvOPYvwJaZDvfT43lPwAAAAABEQAAAPz8APwAAgAAAAAAAPC/ArYV+8vuSQtAAsIXJlMFo8q/AAAAAAERAAAA/PwA/AACAAAAAAAA8L8CaQBvgQTFEUAC/mX35GGhxr8AAAAAJAAEAWUEAAAAAAAAAAAECAFlBAAAAAAAAAAACAwBZQQAAAAAAAAAAAwQAWUEAAAAAAAAAAAQFAFlBAAAAAAAAAAAFBgBZQQAAAAAAAAAABgcAWUEAAAAAAAAAAAcIAFlBAAAAAAAAAAAIAwBZQQAAAAAAAAAAAAAAAA=</t>
        </r>
      </text>
    </comment>
    <comment ref="A535" authorId="0" shapeId="0" xr:uid="{A90A025B-9273-4567-A190-6F4A53A95A3F}">
      <text>
        <r>
          <rPr>
            <sz val="9"/>
            <color indexed="81"/>
            <rFont val="MS P ゴシック"/>
            <family val="3"/>
            <charset val="128"/>
          </rPr>
          <t>Insight iXlW00001C0000535R0585476093S00001068P01092LAocjBAQBF1NjaVRlZ2ljLmRhdGEuTW9sZWN1bGUBbwF/ARJTY2lUZWdpYy5Nb2xlY3VsZQAAAQFkAv5qAQAAAAIAAjwcAAAA/PwA/AACAAAAAAAA8L8CnFWfq63YCUAAAAAAABgAAAD8/AD8AAIAAAAAAADwvwKbVZ+rrdgBQAAAAAAAGAAAAPz8APwAAgAAAAAAAPC/AjerPldbsfs/AoPAyqFFtus/AAAAABgAAAD8/AD8AAIAAAAAAADwvwJtVn2utmLnPwKDwMqhRbbrPwAAAAAcAAAA/PwA/AACAAAAAAAA8L8CtFn1udqKzT8AAAAAABgAAAD8/AD8AAIAAAAAAADwvwJtVn2utmLnPwKDwMqhRbbrvwAAAAAYAAAA/PwA/AACAAAAAAAA8L8CN6s+V1ux+z8Cg8DKoUW2678AAAAAGAAAAPz8APwAAgAAAAAAAPC/ApOpglFJnei/AAAAAAAYAAAA/PwA/AACAAAAAAAA8L8CylTBqKRO9L8Cg8DKoUW2678AAAAAGAAAAPz8APwAAgAAAAAAAPC/AmWqYFRSJwLAAoPAyqFFtuu/AAAAABgAAAD8/AD8AAIAAAAAAADwvwJlqmBUUicGwAAAAAAAGAAAAPz8APwAAgAAAAAAAPC/AmWqYFRSJwLAAoPAyqFFtus/AAAAABwAAAD8/AD8AAIAAAAAAADwvwLKVMGopE70vwKDwMqhRbbrPwAAAAABEQAAAPz8APwAAgAAAAAAAPC/AgHeAgmKHxBAAt9xio7k8o+/AAAAAAERAAAA/PwA/AACAAAAAAAA8L8Cj1N0JJc/FEAC33GKjuTyjz8AAAAAOAAEAWUEAAAAAAAAAAAECAFlBAAAAAAAAAAACAwBZQQAAAAAAAAAAAwQAWUEAAAAAAAAAAAQFAFlBAAAAAAAAAAAFBgBZQQAAAAAAAAAABgEAWUEAAAAAAAAAAAQHAFlBAAAAAAAAAAAHCABZQgMAAAAAAAAACAkAWUEAAAAAAAAAAAkKAFlCAgAAAAAAAAAKCwBZQQAAAAAAAAAACwwAWUICAAAAAAAAAAwHAFlBAAAAAAAAAAAAAAAAA==</t>
        </r>
      </text>
    </comment>
    <comment ref="A536" authorId="0" shapeId="0" xr:uid="{15CE91F5-7017-4D98-BBDF-62599171DD28}">
      <text>
        <r>
          <rPr>
            <sz val="9"/>
            <color indexed="81"/>
            <rFont val="MS P ゴシック"/>
            <family val="3"/>
            <charset val="128"/>
          </rPr>
          <t>Insight iXlW00001C0000536R0585476093S00001070P01092LAocjBAQBF1NjaVRlZ2ljLmRhdGEuTW9sZWN1bGUBbwF/ARJTY2lUZWdpYy5Nb2xlY3VsZQAAAQFkAv5qAQAAAAIAAjwcAAAA/PwA/AACAAAAAAAA8L8CnFWfq63YCUAAAAAAABgAAAD8/AD8AAIAAAAAAADwvwKbVZ+rrdgBQAAAAAAAGAAAAPz8APwAAgAAAAAAAPC/AjerPldbsfs/AoPAyqFFtus/AAAAABgAAAD8/AD8AAIAAAAAAADwvwJtVn2utmLnPwKDwMqhRbbrPwAAAAAcAAAA/PwA/AACAAAAAAAA8L8CtFn1udqKzT8AAAAAABgAAAD8/AD8AAIAAAAAAADwvwJtVn2utmLnPwKDwMqhRbbrvwAAAAAYAAAA/PwA/AACAAAAAAAA8L8CN6s+V1ux+z8Cg8DKoUW2678AAAAAGAAAAPz8APwAAgAAAAAAAPC/ApOpglFJnei/AAAAAAAYAAAA/PwA/AACAAAAAAAA8L8CylTBqKRO9L8Cg8DKoUW2678AAAAAGAAAAPz8APwAAgAAAAAAAPC/AmWqYFRSJwLAAoPAyqFFtuu/AAAAABwAAAD8/AD8AAIAAAAAAADwvwJlqmBUUicGwAAAAAAAGAAAAPz8APwAAgAAAAAAAPC/AmWqYFRSJwLAAoPAyqFFtus/AAAAABwAAAD8/AD8AAIAAAAAAADwvwLKVMGopE70vwKDwMqhRbbrPwAAAAABEQAAAPz8APwAAgAAAAAAAPC/AgHeAgmKHxBAAt9xio7k8o+/AAAAAAERAAAA/PwA/AACAAAAAAAA8L8Cj1N0JJc/FEAC33GKjuTyjz8AAAAAOAAEAWUEAAAAAAAAAAAECAFlBAAAAAAAAAAACAwBZQQAAAAAAAAAAAwQAWUEAAAAAAAAAAAQFAFlBAAAAAAAAAAAFBgBZQQAAAAAAAAAABgEAWUEAAAAAAAAAAAQHAFlBAAAAAAAAAAAHCABZQgMAAAAAAAAACAkAWUEAAAAAAAAAAAkKAFlCAgAAAAAAAAAKCwBZQQAAAAAAAAAACwwAWUICAAAAAAAAAAwHAFlBAAAAAAAAAAAAAAAAA==</t>
        </r>
      </text>
    </comment>
    <comment ref="A537" authorId="0" shapeId="0" xr:uid="{E8D7422F-99B1-4671-B2C2-DB95343B61AB}">
      <text>
        <r>
          <rPr>
            <sz val="9"/>
            <color indexed="81"/>
            <rFont val="MS P ゴシック"/>
            <family val="3"/>
            <charset val="128"/>
          </rPr>
          <t>Insight iXlW00001C0000537R0585476093S00001072P01216LAocjBAQBF1NjaVRlZ2ljLmRhdGEuTW9sZWN1bGUBbwF/ARJTY2lUZWdpYy5Nb2xlY3VsZQAAAQFkAv5qAQAAAAIAAgEQGAAAAPz8APwAAgAAAAAAAPC/Aqd5xyk6kgTAAkGC4seYu/m/AAAAABgAAAD8/AD8AAIAAAAAAADwvwKneccpOpIAwAL/Q/rt68DnvwAAAAAYAAAA/PwA/AACAAAAAAAA8L8CTvOOU3Qk8b8C/0P67evA578AAAAAGAAAAPz8APwAAgAAAAAAAPC/ApvmHafoSOK/Aibkg57Nqr8/AAAAABwAAAD8/AD8AAIAAAAAAADwvwJO845TdCTxvwIIPZtVn6vvPwAAAAAYAAAA/PwA/AACAAAAAAAA8L8Cp3nHKTqSAMACCD2bVZ+r7z8AAAAAHAAAAPz8APwAAgAAAAAAAPC/Aqd5xyk6kgTAAibkg57Nqr8/AAAAABwAAAD8/AD8AAIAAAAAAADwvwLLMsSxLm7bPwIm5IOezaq/PwAAAAAYAAAA/PwA/AACAAAAAAAA8L8CZhniWBe37T8CCD2bVZ+r7z8AAAAAGAAAAPz8APwAAgAAAAAAAPC/ArMMcayL2/4/Agg9m1Wfq+8/AAAAABgAAAD8/AD8AAIAAAAAAADwvwJahjjWxW0DQAIm5IOezaq/PwAAAAAcAAAA/PwA/AACAAAAAAAA8L8CWoY41sVtC0ACJuSDns2qvz8AAAAAGAAAAPz8APwAAgAAAAAAAPC/ArMMcayL2/4/Av9D+u3rwOe/AAAAABgAAAD8/AD8AAIAAAAAAADwvwJmGeJYF7ftPwL/Q/rt68DnvwAAAAABEQAAAPz8APwAAgAAAAAAAPC/AmB2Tx4W6hBAAgkbnl4py9S/AAAAAAERAAAA/PwA/AACAAAAAAAA8L8C7uvAOSMKFUAC63O1FfvL0r8AAAAAPAAEAWUEAAAAAAAAAAAECAFlBAAAAAAAAAAACAwBZQgIAAAAAAAAAAwQAWUEAAAAAAAAAAAQFAFlCAgAAAAAAAAAFBgBZQQAAAAAAAAAABgEAWUIDAAAAAAAAAAMHAFlBAAAAAAAAAAAHCABZQQAAAAAAAAAACAkAWUEAAAAAAAAAAAkKAFlBAAAAAAAAAAAKCwBZQQAAAAAAAAAACgwAWUEAAAAAAAAAAAwNAFlBAAAAAAAAAAANBwBZQQAAAAAAAAAAAAAAAA=</t>
        </r>
      </text>
    </comment>
    <comment ref="A538" authorId="0" shapeId="0" xr:uid="{2F5AAE00-4F78-4645-AD5F-EDE6DC23EFF8}">
      <text>
        <r>
          <rPr>
            <sz val="9"/>
            <color indexed="81"/>
            <rFont val="MS P ゴシック"/>
            <family val="3"/>
            <charset val="128"/>
          </rPr>
          <t>Insight iXlW00001C0000538R0585476093S00001074P01432LAocjBAQBF1NjaVRlZ2ljLmRhdGEuTW9sZWN1bGUBbwF/ARJTY2lUZWdpYy5Nb2xlY3VsZQAAAQFkAv5qAQAAAAIAAgETHAAAAPz8APwAAgAAAAAAAPC/Agkbnl4pSw9AAvLSTWIQWN2/AAAAABgAAAD8/AD8AAIAAAAAAADwvwIJG55eKUsHQALy0k1iEFjdvwAAAAAYAAAA/PwA/AACAAAAAAAA8L8CCRueXilLA0ACFa5H4XoU2j8AAAAAGAAAAPz8APwAAgAAAAAAAPC/AhI2PL1SlvY/AhWuR+F6FNo/AAAAABwAAAD8/AD8AAIAAAAAAADwvwIjbHh6pSztPwLy0k1iEFjdvwAAAAAYAAAA/PwA/AACAAAAAAAA8L8CEjY8vVKW9j8C/tR46SYx9b8AAAAAGAAAAPz8APwAAgAAAAAAAPC/Agkbnl4pSwNAAv7UeOkmMfW/AAAAABgAAAD8/AD8AAIAAAAAAADwvwLtnjws1Jq2vwLy0k1iEFjdvwAAAAAYAAAA/PwA/AACAAAAAAAA8L8C/DpwzojS4r8CFa5H4XoU2j8AAAAAGAAAAPz8APwAAgAAAAAAAPC/An4dOGdEafm/AhWuR+F6FNo/AAAAABwAAAD8/AD8AAIAAAAAAADwvwK/DpwzorQAwALy0k1iEFjdvwAAAAAYAAAA/PwA/AACAAAAAAAA8L8Cfh04Z0Rp+b8C/tR46SYx9b8AAAAAHAAAAPz8APwAAgAAAAAAAPC/Avw6cM6I0uK/Av7UeOkmMfW/AAAAABgAAAD8/AD8AAIAAAAAAADwvwK/DpwzorQAwAI4+MJkqmD0PwAAAAAkAAAA/PwA/AACAAAAAAAA8L8C4L4OnDOiB8ACcPCFyVTB6D8AAAAAJAAAAPz8APwAAgAAAAAAAPC/Ar8OnDOitATAAj0s1JrmHQFAAAAAACQAAAD8/AD8AAIAAAAAAADwvwI8vVKWIY7zvwI4+MJkqmD8PwAAAAABEQAAAPz8APwAAgAAAAAAAPC/ArhAguLH2BJAAoZa07zjFNk/AAAAAAERAAAA/PwA/AACAAAAAAAA8L8CRrbz/dT4FkACpAG8BRIU2z8AAAAAARIABAFlBAAAAAAAAAAABAgBZQQAAAAAAAAAAAgMAWUEAAAAAAAAAAAMEAFlBAAAAAAAAAAAEBQBZQQAAAAAAAAAABQYAWUEAAAAAAAAAAAYBAFlBAAAAAAAAAAAEBwBZQQAAAAAAAAAABwgAWUEAAAAAAAAAAAgJAFlCAgAAAAAAAAAJCgBZQQAAAAAAAAAACgsAWUICAAAAAAAAAAsMAFlBAAAAAAAAAAAMBwBZQgMAAAAAAAAACQ0AWUEAAAAAAAAAAA0OAFlBAAAAAAAAAAANDwBZQQAAAAAAAAAADQBEAFlBAAAAAAAAAAAAAAAAA==</t>
        </r>
      </text>
    </comment>
    <comment ref="A539" authorId="0" shapeId="0" xr:uid="{00C01C66-E7C0-4F22-97D0-7BD1E969A3FE}">
      <text>
        <r>
          <rPr>
            <sz val="9"/>
            <color indexed="81"/>
            <rFont val="MS P ゴシック"/>
            <family val="3"/>
            <charset val="128"/>
          </rPr>
          <t>Insight iXlW00001C0000539R0585476093S00001076P01132LAocjBAQBF1NjaVRlZ2ljLmRhdGEuTW9sZWN1bGUBbwF/ARJTY2lUZWdpYy5Nb2xlY3VsZQAAAQFkAv5qAQAAAAIAAjwYAAAA/PwA/AACAAAAAAAA8L8Cm+Ydp+jIBMACpAG8BRIU278AAAAAGAAAAPz8APwAAgAAAAAAAPC/AoPAyqFFtvu/AtIA3gIJiu2/AAAAABgAAAD8/AD8AAIAAAAAAADwvwKDwMqhRbbrvwKkAbwFEhTbvwAAAAAYAAAA/PwA/AACAAAAAAAA8L8Cg8DKoUW2678CL/8h/fZ14j8AAAAAGAAAAPz8APwAAgAAAAAAAPC/AvRsVn2utvu/Apf/kH77OvE/AAAAABwAAAD8/AD8AAIAAAAAAADwvwKb5h2n6MgEwAIv/yH99nXiPwAAAAAcAAAA/PwA/AACAAAAAAAA8L8AAtIA3gIJiu2/AAAAABgAAAD8/AD8AAIAAAAAAADwvwKDwMqhRbbrPwKkAbwFEhTbvwAAAAAYAAAA/PwA/AACAAAAAAAA8L8Cg8DKoUW26z8CL/8h/fZ14j8AAAAAGAAAAPz8APwAAgAAAAAAAPC/AoPAyqFFtvs/Apf/kH77OvE/AAAAABwAAAD8/AD8AAIAAAAAAADwvwJjEFg5tMgEQAIv/yH99nXiPwAAAAAYAAAA/PwA/AACAAAAAAAA8L8CYxBYObTIBEACpAG8BRIU278AAAAAHAAAAPz8APwAAgAAAAAAAPC/AoPAyqFFtvs/AtIA3gIJiu2/AAAAAAERAAAA/PwA/AACAAAAAAAA8L8CyXa+nxovC0ACbVZ9rrZirz8AAAAAAREAAAD8/AD8AAIAAAAAAADwvwLzsFBrmrcRQAKuR+F6FK63PwAAAAA4AAQBZQQAAAAAAAAAAAQIAWUEAAAAAAAAAAAIDAFlBAAAAAAAAAAADBABZQQAAAAAAAAAABAUAWUEAAAAAAAAAAAUAAFlBAAAAAAAAAAACBgBZQQAAAAAAAAAABgcAWUEAAAAAAAAAAAcIAFlCAwAAAAAAAAAICQBZQQAAAAAAAAAACQoAWUICAAAAAAAAAAoLAFlBAAAAAAAAAAALDABZQgIAAAAAAAAADAcAWUEAAAAAAAAAAAAAAAA</t>
        </r>
      </text>
    </comment>
    <comment ref="A540" authorId="0" shapeId="0" xr:uid="{BD2925B0-772D-4B91-9B0D-7A8DD8B5E514}">
      <text>
        <r>
          <rPr>
            <sz val="9"/>
            <color indexed="81"/>
            <rFont val="MS P ゴシック"/>
            <family val="3"/>
            <charset val="128"/>
          </rPr>
          <t>Insight iXlW00001C0000540R0585476093S00001078P01216LAocjBAQBF1NjaVRlZ2ljLmRhdGEuTW9sZWN1bGUBbwF/ARJTY2lUZWdpYy5Nb2xlY3VsZQAAAQFkAv5qAQAAAAIAAgEQGAAAAPz8APwAAgAAAAAAAPC/AkGC4seYu/k/ArMMcayL2/4/AAAAABgAAAD8/AD8AAIAAAAAAADwvwJBguLHmLv5PwJmGeJYF7ftPwAAAAAYAAAA/PwA/AACAAAAAAAA8L8C/0P67evA5z8CyzLEsS5u2z8AAAAAGAAAAPz8APwAAgAAAAAAAPC/Av9D+u3rwOc/ApvmHafoSOK/AAAAABwAAAD8/AD8AAIAAAAAAADwvwIm5IOezaq/vwJO845TdCTxvwAAAAAYAAAA/PwA/AACAAAAAAAA8L8CCD2bVZ+r778Cm+Ydp+hI4r8AAAAAGAAAAPz8APwAAgAAAAAAAPC/AjerPldbsf2/Ak7zjlN0JPG/AAAAABgAAAD8/AD8AAIAAAAAAADwvwK8BRIUP8YFwAKb5h2n6EjivwAAAAAcAAAA/PwA/AACAAAAAAAA8L8CvAUSFD/GBcACyzLEsS5u2z8AAAAAGAAAAPz8APwAAgAAAAAAAPC/AjerPldbsf2/AmYZ4lgXt+0/AAAAABgAAAD8/AD8AAIAAAAAAADwvwLqlbIMcazvvwLLMsSxLm7bPwAAAAAcAAAA/PwA/AACAAAAAAAA8L8CQYLix5i7+T8CTvOOU3Qk8b8AAAAAGAAAAPz8APwAAgAAAAAAAPC/AkHxY8xdywNAApvmHafoSOK/AAAAABwAAAD8/AD8AAIAAAAAAADwvwJ6xyk6kssDQALLMsSxLm7bPwAAAAABEQAAAPz8APwAAgAAAAAAAPC/AuAtkKD4MQpAAjzfT42Xbto/AAAAAAERAAAA/PwA/AACAAAAAAAA8L8Cfoy5awk5EUACWoY41sVt3D8AAAAAPAAEAWUEAAAAAAAAAAAECAFlCAwAAAAAAAAACAwBZQQAAAAAAAAAAAwQAWUEAAAAAAAAAAAQFAFlBAAAAAAAAAAAFBgBZQQAAAAAAAAAABgcAWUEAAAAAAAAAAAcIAFlBAAAAAAAAAAAICQBZQQAAAAAAAAAACQoAWUEAAAAAAAAAAAoFAFlBAAAAAAAAAAADCwBZQgIAAAAAAAAACwwAWUEAAAAAAAAAAAwNAFlCAgAAAAAAAAANAQBZQQAAAAAAAAAAAAAAAA=</t>
        </r>
      </text>
    </comment>
    <comment ref="A541" authorId="0" shapeId="0" xr:uid="{9BEA2C3F-E916-4B74-BE8C-2DA295CA9068}">
      <text>
        <r>
          <rPr>
            <sz val="9"/>
            <color indexed="81"/>
            <rFont val="MS P ゴシック"/>
            <family val="3"/>
            <charset val="128"/>
          </rPr>
          <t>Insight iXlW00001C0000541R0585476093S00001080P01412LAocjBAQBF1NjaVRlZ2ljLmRhdGEuTW9sZWN1bGUBbwF/ARJTY2lUZWdpYy5Nb2xlY3VsZQAAAQFkAv5qAQAAAAIAAgETJAAAAPz8APwAAgAAAAAAAPC/ApvmHafoyAhAAqjGSzeJQcg/AAAAABgAAAD8/AD8AAIAAAAAAADwvwKb5h2n6MgEQALZzvdT46XlvwAAAAAkAAAA/PwA/AACAAAAAAAA8L8CvJaQD3q2C0ACbef7qfHS8r8AAAAAJAAAAPz8APwAAgAAAAAAAPC/ApvmHafoyABAAq5H4XoUrvi/AAAAABgAAAD8/AD8AAIAAAAAAADwvwKDwMqhRbb7PwJlO99PjZfGvwAAAAAYAAAA/PwA/AACAAAAAAAA8L8Cg8DKoUW26z8C2c73U+Ol5b8AAAAAGAAAAPz8APwAAgAAAAAAAPC/AAJlO99PjZfGvwAAAAAcAAAA/PwA/AACAAAAAAAA8L8Cg8DKoUW2678C2c73U+Ol5b8AAAAAGAAAAPz8APwAAgAAAAAAAPC/AoPAyqFFtvu/AmU730+Nl8a/AAAAABgAAAD8/AD8AAIAAAAAAADwvwKb5h2n6MgEwAL3deCcEaXlvwAAAAAYAAAA/PwA/AACAAAAAAAA8L8CvJaQD3q2C8AC3NeBc0aUxr8AAAAAHAAAAPz8APwAAgAAAAAAAPC/AryWkA96tgvAAicxCKwcWuo/AAAAABgAAAD8/AD8AAIAAAAAAADwvwKb5h2n6MgEwAKUGARWDi31PwAAAAAYAAAA/PwA/AACAAAAAAAA8L8C9GxWfa62+78CJzEIrBxa6j8AAAAAHAAAAPz8APwAAgAAAAAAAPC/AAInMQisHFrqPwAAAAAYAAAA/PwA/AACAAAAAAAA8L8Cg8DKoUW26z8ClBgEVg4t9T8AAAAAHAAAAPz8APwAAgAAAAAAAPC/AoPAyqFFtvs/AicxCKwcWuo/AAAAAAERAAAA/PwA/AACAAAAAAAA8L8CkX77OnAOEUACiWNd3EYDwL8AAAAAAREAAAD8/AD8AAIAAAAAAADwvwIf9GxWfS4VQAKaKhiV1Am4vwAAAAABEgAEAWUEAAAAAAAAAAAECAFlBAAAAAAAAAAABAwBZQQAAAAAAAAAAAQQAWUEAAAAAAAAAAAQFAFlCAwAAAAAAAAAFBgBZQQAAAAAAAAAABgcAWUEAAAAAAAAAAAcIAFlBAAAAAAAAAAAICQBZQQAAAAAAAAAACQoAWUEAAAAAAAAAAAoLAFlBAAAAAAAAAAALDABZQQAAAAAAAAAADA0AWUEAAAAAAAAAAA0IAFlBAAAAAAAAAAAGDgBZQgIAAAAAAAAADg8AWUEAAAAAAAAAAA8ARABZQgIAAAAAAAAAAEQEAFlBAAAAAAAAAAAAAAAAA==</t>
        </r>
      </text>
    </comment>
    <comment ref="A542" authorId="0" shapeId="0" xr:uid="{92CF2F00-EB6C-4B7D-A770-C9654DFEC192}">
      <text>
        <r>
          <rPr>
            <sz val="9"/>
            <color indexed="81"/>
            <rFont val="MS P ゴシック"/>
            <family val="3"/>
            <charset val="128"/>
          </rPr>
          <t>Insight iXlW00001C0000542R0585476093S00001082P01132LAocjBAQBF1NjaVRlZ2ljLmRhdGEuTW9sZWN1bGUBbwF/ARJTY2lUZWdpYy5Nb2xlY3VsZQAAAQFkAv5qAQAAAAIAAjwYAAAA/PwA/AACAAAAAAAA8L8Cm+Ydp+jIBMAC4E+Nl24S278AAAAAGAAAAPz8APwAAgAAAAAAAPC/AoPAyqFFtvu/AvCnxks3ie2/AAAAABgAAAD8/AD8AAIAAAAAAADwvwKDwMqhRbbrvwKkAbwFEhTbvwAAAAAYAAAA/PwA/AACAAAAAAAA8L8Cg8DKoUW2678CL/8h/fZ14j8AAAAAGAAAAPz8APwAAgAAAAAAAPC/AvRsVn2utvu/Apf/kH77OvE/AAAAABwAAAD8/AD8AAIAAAAAAADwvwKb5h2n6MgEwAIv/yH99nXiPwAAAAAcAAAA/PwA/AACAAAAAAAA8L8AAtIA3gIJiu2/AAAAABgAAAD8/AD8AAIAAAAAAADwvwKDwMqhRbbrPwKkAbwFEhTbvwAAAAAYAAAA/PwA/AACAAAAAAAA8L8C9GxWfa62+z8C0gDeAgmK7b8AAAAAHAAAAPz8APwAAgAAAAAAAPC/ApvmHafoyARAAqQBvAUSFNu/AAAAABgAAAD8/AD8AAIAAAAAAADwvwKb5h2n6MgEQAIv/yH99nXiPwAAAAAYAAAA/PwA/AACAAAAAAAA8L8Cg8DKoUW2+z8Cl/+Qfvs68T8AAAAAHAAAAPz8APwAAgAAAAAAAPC/AoPAyqFFtus/Ai//If32deI/AAAAAAERAAAA/PwA/AACAAAAAAAA8L8CAk2EDU8vC0ACbVZ9rrZirz8AAAAAAREAAAD8/AD8AAIAAAAAAADwvwIPnDOitLcRQAKuR+F6FK63PwAAAAA4AAQBZQQAAAAAAAAAAAQIAWUEAAAAAAAAAAAIDAFlBAAAAAAAAAAADBABZQQAAAAAAAAAABAUAWUEAAAAAAAAAAAUAAFlBAAAAAAAAAAACBgBZQQAAAAAAAAAABgcAWUEAAAAAAAAAAAcIAFlCAwAAAAAAAAAICQBZQQAAAAAAAAAACQoAWUICAAAAAAAAAAoLAFlBAAAAAAAAAAALDABZQgIAAAAAAAAADAcAWUEAAAAAAAAAAAAAAAA</t>
        </r>
      </text>
    </comment>
    <comment ref="A543" authorId="0" shapeId="0" xr:uid="{49E89637-8A48-4D7E-B666-483A7D52877C}">
      <text>
        <r>
          <rPr>
            <sz val="9"/>
            <color indexed="81"/>
            <rFont val="MS P ゴシック"/>
            <family val="3"/>
            <charset val="128"/>
          </rPr>
          <t>Insight iXlW00001C0000543R0585476093S00001084P01756LAocjBAQBF1NjaVRlZ2ljLmRhdGEuTW9sZWN1bGUBbwF/ARJTY2lUZWdpYy5Nb2xlY3VsZQAAAQFkAv5qAQAAAAIBAgEXGAAAAPz8APwAAgAAAAAAAPC/AkT67evAOfy/AtZW7C+7J+G/AAAAABwAAAD8/AD8AAIAAAAAAADwvwJIcvkP6bf1vwIpXI/C9SjYPwAAAAAYAAAA/PwA/AACAAAAAAAA8L8C2V92Tx6WAkACU5YhjnVx7b8AAAAAGAAAAPz8APwAAgAAAAAAAPC/Atlfdk8elgJAAmpN845TdLQ/AAAAABgAAAD8/AD8AAIAAAAAAADwvwJwXwfOGVH3PwKuad5xio7iPwAAAAAYAAAA/PwA/AACAAAAAAAA8L8CcF8HzhlR9z8C1zTvOEVH+T8AAAAAHAAAAPz8APwAAgAAAAAAAPC/Atlfdk8elgJAAmyad5yiowBAAAAAACAAAAD8/AD8AAIAAAAAAADwvwL99nXgnBEGwALIKTqSy3/kvwAAAAAcAAAA/PwA/AACAAAAAAAA8L8C+g/pt6+DCUACrmnecYqO4j8AAAAAGAAAAPz8APwAAgAAAAAAAPC/AvXb14FzRti/AkGC4seYu+I/AAAAABwAAAD8/AD8AAIAAAAAAADwvwJd/kP67eviPwJsmnecoqMAQAAAAAAYAAAA/PwA/AACAAAAAAAA8L8C+g/pt6+DCUAC1zTvOEVH+T8AAAAAGAAAAPz8APwAAgAAAAAAAPC/Akhy+Q/pt/2/AtuK/WX35PM/AAAAACAAAAD8/AD8AAIAAAAAAADwvwKLjuTyH9LyvwL2l92Th4X1vwAAAAAYCAAA/PwA/AACAAAAAAAA8L8CETY8vVKW0b8C1zTvOEVH+T8AAAAAGAAAAPz8APwAAgAAAAAAAPC/Avw6cM6IUgnAAlkXt9EA3vi/AAAAABgAAAD8/AD8AAIAAAAAAADwvwKJY13cRgPzvwLUvOMUHcn/PwAAAAAkAAAA/PwA/AACAAAAAAAA8L8C2V92Tx6WCkACU5YhjnVx7b8AAAAAJAAAAPz8APwAAgAAAAAAAPC/Atlfdk8elgJAAirLEMe6uP6/AAAAACQAAAD8/AD8AAIAAAAAAADwvwKyv+yePCz1PwJTliGOdXHtvwAAAAAYAAAA/PwA/AACAAAAAAAA8L8C+g/pt68DAsACVp+rrdhf/78AAAAAGAAAAPz8APwAAgAAAAAAAPC/AjNVMCqpkwzAAq+2Yn/ZvQPAAAAAABgAAAD8/AD8AAIAAAAAAADwvwIbnl4py1AQwALr4jYawFvyvwAAAAABGAQAAWUEAAAAAAAAAAAIDAFlBAAAAAAAAAAADBABZQQAAAAAAAAAABAUAWUIDAAAAAAAAAAUKAFlBAAAAAAAAAAAGBQBZQQAAAAAAAAAABwAAWUEAAAAAAAAAAAgLAFlBAAAAAAAAAAAJAQBZQQAAAAAAAAAADgoAWUEEAAAAAAAAAAsGAFlCAgAAAAAAAAAMAQBZQQAAAAAAAAAADQAAWUIAAAAAAAAAAA4JAFlBAAAAAAAAAAAPBwBZQQAAAAAAAAAAAEQMAFlBAAAAAAAAAAAAREIAWUEAAAAAAAAAAABEggBZQQAAAAAAAAAAAETCAFlBAAAAAAAAAAAARQ8AWUEAAAAAAAAAAABFTwBZQQAAAAAAAAAAAEWPAFlBAAAAAAAAAAAARA4AWUEAAAAAAAAAAAgDAFlCAwAAAAAAAAAAAAAAA==</t>
        </r>
      </text>
    </comment>
    <comment ref="A544" authorId="0" shapeId="0" xr:uid="{3C01970E-EBCC-4A67-9C16-5CF7B8A4B934}">
      <text>
        <r>
          <rPr>
            <sz val="9"/>
            <color indexed="81"/>
            <rFont val="MS P ゴシック"/>
            <family val="3"/>
            <charset val="128"/>
          </rPr>
          <t>Insight iXlW00001C0000544R0585476093S00001086P01072LAocjBAQBF1NjaVRlZ2ljLmRhdGEuTW9sZWN1bGUBbwF/ARJTY2lUZWdpYy5Nb2xlY3VsZQAAAQFkAv5qAQAAAAIBAjgYAAAA/PwA/AACAAAAAAAA8L8ClBgEVg4tAcAC3UYDeAsk6r8AAAAAGAAAAPz8APwAAgAAAAAAAPC/AmwJ+aBns/K/ArByaJHtfOO/AAAAABgMAAD8/AD8AAIAAAAAAADwvwKCc0aU9gbxvwJ56SYxCKzYPwAAAAAYAAAA/PwA/AACAAAAAAAA8L8C93XgnBGl/78CmN2Th4Va6T8AAAAAHAAAAPz8APwAAgAAAAAAAPC/AltCPujZLAXAAo0o7Q2+MKk/AAAAABwAAAD8/AD8AAIAAAAAAADwvwIDmggbnl7JvwK9dJMYBFbsPwAAAAAYAAAA/PwA/AACAAAAAAAA8L8CA5oIG55e5T8CeekmMQis2D8AAAAAGAAAAPz8APwAAgAAAAAAAPC/AkOtad5xivg/Ar10kxgEVuw/AAAAABgAAAD8/AD8AAIAAAAAAADwvwLChqdXyjIDQAI9m1Wfq63YPwAAAAAcAAAA/PwA/AACAAAAAAAA8L8CwoanV8oyA0ACYjJVMCqp478AAAAAGAAAAPz8APwAAgAAAAAAAPC/AkOtad5xivg/AjGZKhiV1PG/AAAAABwAAAD8/AD8AAIAAAAAAADwvwIDmggbnl7lPwJiMlUwKqnjvwAAAAABEQAAAPz8APwAAgAAAAAAAPC/AintDb4wmQlAAqRwPQrXo8C/AAAAAAERAAAA/PwA/AACAAAAAAAA8L8CI2x4eqXsEEAC0ETY8PRKub8AAAAANAAEAWUEAAAAAAAAAAAECAFlBAAAAAAAAAAACAwBZQQAAAAAAAAAAAwQAWUEAAAAAAAAAAAQAAFlBAAAAAAAAAAACBQBZQQUAAAAAAAAABQYAWUEAAAAAAAAAAAYHAFlCAwAAAAAAAAAHCABZQQAAAAAAAAAACAkAWUICAAAAAAAAAAkKAFlBAAAAAAAAAAAKCwBZQgIAAAAAAAAACwYAWUEAAAAAAAAAAAAAAAA</t>
        </r>
      </text>
    </comment>
    <comment ref="A545" authorId="0" shapeId="0" xr:uid="{914507E1-720E-4BB5-93C2-C1EDAF98F2A3}">
      <text>
        <r>
          <rPr>
            <sz val="9"/>
            <color indexed="81"/>
            <rFont val="MS P ゴシック"/>
            <family val="3"/>
            <charset val="128"/>
          </rPr>
          <t>Insight iXlW00001C0000545R0585476093S00001088P01360LAocjBAQBF1NjaVRlZ2ljLmRhdGEuTW9sZWN1bGUBbwF/ARJTY2lUZWdpYy5Nb2xlY3VsZQAAAQFkAv5qAQAAAAIBAgESJAAAAPz8APwAAgAAAAAAAPC/AhaMSuoENAFAAuXyH9JvX/i/AAAAABgAAAD8/AD8AAIAAAAAAADwvwIrGJXUCWjyPwLl8h/Sb1/4vwAAAAAkAAAA/PwA/AACAAAAAAAA8L8CKxiV1Alo8j8Cc/kP6bcvBMAAAAAAJAAAAPz8APwAAgAAAAAAAPC/AlXBqKROQMM/AuXyH9JvX/i/AAAAABgAAAD8/AD8AAIAAAAAAADwvwIrGJXUCWjyPwLJ5T+k377gvwAAAAAYAAAA/PwA/AACAAAAAAAA8L8CpN++Dpwz0j8CJLn8h/Tbl78AAAAAGAAAAPz8APwAAgAAAAAAAPC/AqTfvg6cM9I/AjcawFsgQe8/AAAAABwAAAD8/AD8AAIAAAAAAADwvwKTqYJRSZ3ivwIcDeAtkKD3PwAAAAAYDAAA/PwA/AACAAAAAAAA8L8CC7Wmeccp978CNxrAWyBB7z8AAAAAGAAAAPz8APwAAgAAAAAAAPC/AoSezarP1fi/AvjCZKpgVJK/AAAAABgAAAD8/AD8AAIAAAAAAADwvwIgY+5aQj4EwAKIhVrTvOPMvwAAAAAcAAAA/PwA/AACAAAAAAAA8L8C54wo7Q0+CMACIR/0bFZ95D8AAAAAGAAAAPz8APwAAgAAAAAAAPC/AsBbIEHx4wLAAhiV1AloIvY/AAAAABwAAAD8/AD8AAIAAAAAAADwvwIrGJXUCWjyPwIcDeAtkKD3PwAAAAAYAAAA/PwA/AACAAAAAAAA8L8CNjy9UpYhAEACNxrAWyBB7z8AAAAAHAAAAPz8APwAAgAAAAAAAPC/AjY8vVKWIQBAAiS5/If025e/AAAAAAERAAAA/PwA/AACAAAAAAAA8L8CfPKwUGuaB0ACkQ96Nqs+4b8AAAAAAREAAAD8/AD8AAIAAAAAAADwvwKY3ZOHhdoPQAICvAUSFD/gvwAAAAABEQAEAWUEAAAAAAAAAAAECAFlBAAAAAAAAAAABAwBZQQAAAAAAAAAAAQQAWUEAAAAAAAAAAAQFAFlCAwAAAAAAAAAFBgBZQQAAAAAAAAAABgcAWUEAAAAAAAAAAAgHAFlBBQAAAAAAAAAICQBZQQAAAAAAAAAACQoAWUEAAAAAAAAAAAoLAFlBAAAAAAAAAAALDABZQQAAAAAAAAAADAgAWUEAAAAAAAAAAAYNAFlCAgAAAAAAAAANDgBZQQAAAAAAAAAADg8AWUICAAAAAAAAAA8EAFlBAAAAAAAAAAAAAAAAA==</t>
        </r>
      </text>
    </comment>
    <comment ref="A546" authorId="0" shapeId="0" xr:uid="{4FBB71ED-912D-4DCD-85C2-8D30CB65956D}">
      <text>
        <r>
          <rPr>
            <sz val="9"/>
            <color indexed="81"/>
            <rFont val="MS P ゴシック"/>
            <family val="3"/>
            <charset val="128"/>
          </rPr>
          <t>Insight iXlW00001C0000546R0585476093S00001090P01072LAocjBAQBF1NjaVRlZ2ljLmRhdGEuTW9sZWN1bGUBbwF/ARJTY2lUZWdpYy5Nb2xlY3VsZQAAAQFkAv5qAQAAAAIBAjgYAAAA/PwA/AACAAAAAAAA8L8ClBgEVg4tAcAC3UYDeAsk6r8AAAAAGAAAAPz8APwAAgAAAAAAAPC/AmwJ+aBns/K/ArByaJHtfOO/AAAAABgIAAD8/AD8AAIAAAAAAADwvwKCc0aU9gbxvwJ56SYxCKzYPwAAAAAYAAAA/PwA/AACAAAAAAAA8L8C93XgnBGl/78CmN2Th4Va6T8AAAAAHAAAAPz8APwAAgAAAAAAAPC/AltCPujZLAXAAmyad5yiI6k/AAAAABwAAAD8/AD8AAIAAAAAAADwvwIDmggbnl7JvwK9dJMYBFbsPwAAAAAYAAAA/PwA/AACAAAAAAAA8L8CA5oIG55e5T8CPZtVn6ut2D8AAAAAHAAAAPz8APwAAgAAAAAAAPC/AkOtad5xivg/Ap/Nqs/VVuw/AAAAABgAAAD8/AD8AAIAAAAAAADwvwLChqdXyjIDQAI9m1Wfq63YPwAAAAAYAAAA/PwA/AACAAAAAAAA8L8CwoanV8oyA0ACYjJVMCqp478AAAAAGAAAAPz8APwAAgAAAAAAAPC/AkOtad5xivg/AjGZKhiV1PG/AAAAABwAAAD8/AD8AAIAAAAAAADwvwIDmggbnl7lPwJiMlUwKqnjvwAAAAABEQAAAPz8APwAAgAAAAAAAPC/AintDb4wmQlAAqRwPQrXo8C/AAAAAAERAAAA/PwA/AACAAAAAAAA8L8CI2x4eqXsEEAC0ETY8PRKub8AAAAANAAEAWUEAAAAAAAAAAAECAFlBAAAAAAAAAAACAwBZQQAAAAAAAAAAAwQAWUEAAAAAAAAAAAQAAFlBAAAAAAAAAAACBQBZQQQAAAAAAAAABQYAWUEAAAAAAAAAAAYHAFlCAwAAAAAAAAAHCABZQQAAAAAAAAAACAkAWUICAAAAAAAAAAkKAFlBAAAAAAAAAAAKCwBZQgIAAAAAAAAACwYAWUEAAAAAAAAAAAAAAAA</t>
        </r>
      </text>
    </comment>
    <comment ref="A547" authorId="0" shapeId="0" xr:uid="{10B3855B-67AB-43D8-A3CA-1B1C5EE4B796}">
      <text>
        <r>
          <rPr>
            <sz val="9"/>
            <color indexed="81"/>
            <rFont val="MS P ゴシック"/>
            <family val="3"/>
            <charset val="128"/>
          </rPr>
          <t>Insight iXlW00001C0000547R0585476093S00001092P00964LAocjBAQBF1NjaVRlZ2ljLmRhdGEuTW9sZWN1bGUBbwF/ARJTY2lUZWdpYy5Nb2xlY3VsZQAAAQFkAv5qAQAAAAIAAjAcAAAA/PwA/AACAAAAAAAA8L8CCvmgZ7Pq4z8Cnl4pyxDHwr8AAAAAGAAAAPz8APwAAgAAAAAAAPC/As07TtGRXPM/Am+BBMWPMeU/AAAAABwAAAD8/AD8AAIAAAAAAADwvwLNO07RkVzzPwK+MJkqGJXuvwAAAAAYAAAA/PwA/AACAAAAAAAA8L8C7uvAOSNKAUACsVBrmnec1j8AAAAAGAAAAPz8APwAAgAAAAAAAPC/Au7rwDkjSgFAAqhXyjLEseS/AAAAABgAAAD8/AD8AAIAAAAAAADwvwLtDb4wmSrYvwKeXinLEMfCvwAAAAAcAAAA/PwA/AACAAAAAAAA8L8CvsEXJlMFA8ACnl4pyxDHwr8AAAAAHAAAAPz8APwAAgAAAAAAAPC/AqJFtvP91Ow/AsfctYR80Pk/AAAAABgAAAD8/AD8AAIAAAAAAADwvwL3Bl+YTBXsvwLcaABvgQTnPwAAAAAYAAAA/PwA/AACAAAAAAAA8L8C9wZfmEwV7L8CFoxK6gQ08L8AAAAAGAAAAPz8APwAAgAAAAAAAPC/AnyDL0ymCv6/AhaMSuoENPC/AAAAABgAAAD8/AD8AAIAAAAAAADwvwJ8gy9Mpgr+vwLcaABvgQTnPwAAAAA0BAABZQQAAAAAAAAAAAgAAWUEAAAAAAAAAAAMBAFlCAgAAAAAAAAAEAgBZQgIAAAAAAAAABQAAWUEAAAAAAAAAAAYKAFlCAgAAAAAAAAAHAQBZQQAAAAAAAAAACAUAWUEAAAAAAAAAAAkFAFlCAwAAAAAAAAAKCQBZQQAAAAAAAAAACwgAWUICAAAAAAAAAAMEAFlBAAAAAAAAAAAGCwBZQQAAAAAAAAAAAAAAAA=</t>
        </r>
      </text>
    </comment>
    <comment ref="A548" authorId="0" shapeId="0" xr:uid="{8AC542D5-0602-4EDC-AFE7-99E692FA5176}">
      <text>
        <r>
          <rPr>
            <sz val="9"/>
            <color indexed="81"/>
            <rFont val="MS P ゴシック"/>
            <family val="3"/>
            <charset val="128"/>
          </rPr>
          <t>Insight iXlW00001C0000548R0585476093S00001094P01488LAocjBAQBF1NjaVRlZ2ljLmRhdGEuTW9sZWN1bGUBbwF/ARJTY2lUZWdpYy5Nb2xlY3VsZQAAAQFkAv5qAQAAAAIAAgETHAAAAPz8APwAAgAAAAAAAPC/AvoP6bevA9u/AqVOQBNhw9e/AAAAABwAAAD8/AD8AAIAAAAAAADwvwIXSFD8GHPfPwJMN4lBYOXovwAAAAAYAAAA/PwA/AACAAAAAAAA8L8CikFg5dAi5T8CKe0NvjCZ6j8AAAAAGAAAAPz8APwAAgAAAAAAAPC/AhZqTfOOU9S/AhrAWyBB8eM/AAAAABgAAAD8/AD8AAIAAAAAAADwvwLFILByaJHyPwLKw0Ktad6hvwAAAAAYAAAA/PwA/AACAAAAAAAA8L8CQKTfvg6c9L8CUyegibDh678AAAAAGAAAAPz8APwAAgAAAAAAAPC/Aj4K16NwPQFAArn8h/Tb18G/AAAAABwAAAD8/AD8AAIAAAAAAADwvwJ+jLlrCfnwvwLM7snDQq30PwAAAAAgAAAA/PwA/AACAAAAAAAA8L8Cu7iNBvAWD8ACrthfdk8e5D8AAAAAGAAAAPz8APwAAgAAAAAAAPC/AnlYqDXNOwHAAqVOQBNhw9e/AAAAABgAAAD8/AD8AAIAAAAAAADwvwK7uI0G8BYPwALhnBGlvcHXvwAAAAAYAAAA/PwA/AACAAAAAAAA8L8Cmggbnl4pCMACV+wvuycP8j8AAAAAGAAAAPz8APwAAgAAAAAAAPC/AnUkl/+QfgRAAptVn6ut2PC/AAAAABgAAAD8/AD8AAIAAAAAAADwvwIbwFsgQfEFQALp2az6XG3lPwAAAAAYAAAA/PwA/AACAAAAAAAA8L8Cmggbnl4pCMACcc6I0t7g678AAAAAGAAAAPz8APwAAgAAAAAAAPC/AnlYqDXNOwHAAq7YX3ZPHuQ/AAAAABgAAAD8/AD8AAIAAAAAAADwvwIukKD4MeYNQAIVrkfhehTiPwAAAAAYAAAA/PwA/AACAAAAAAAA8L8CUB4Wak1zDEAChetRuB6F8r8AAAAAGAAAAPz8APwAAgAAAAAAAPC/AhZqTfOOkxBAAuj7qfHSTda/AAAAAAEVBAABZQQAAAAAAAAAAAgMAWUICAAAAAAAAAAMAAFlBAAAAAAAAAAAEAQBZQgMAAAAAAAAABQAAWUEAAAAAAAAAAAYEAFlBAAAAAAAAAAAHAwBZQQAAAAAAAAAACAsAWUEAAAAAAAAAAAkFAFlBAAAAAAAAAAAKDgBZQQAAAAAAAAAACw8AWUEAAAAAAAAAAAwGAFlBAAAAAAAAAAANBgBZQgMAAAAAAAAADgkAWUEAAAAAAAAAAA8JAFlBAAAAAAAAAAAARA0AWUEAAAAAAAAAAABETABZQgIAAAAAAAAAAESARABZQgIAAAAAAAAAAgQAWUEAAAAAAAAAAAgKAFlBAAAAAAAAAAAARIBEQFlBAAAAAAAAAAAAAAAAA==</t>
        </r>
      </text>
    </comment>
    <comment ref="A549" authorId="0" shapeId="0" xr:uid="{54B1F53F-FE03-464A-89CD-C01ADA4FCCEA}">
      <text>
        <r>
          <rPr>
            <sz val="9"/>
            <color indexed="81"/>
            <rFont val="MS P ゴシック"/>
            <family val="3"/>
            <charset val="128"/>
          </rPr>
          <t>Insight iXlW00001C0000549R0585476093S00001096P00892LAocjBAQBF1NjaVRlZ2ljLmRhdGEuTW9sZWN1bGUBbwF/ARJTY2lUZWdpYy5Nb2xlY3VsZQAAAQFkAv5qAQAAAAIAAiwcAAAA/PwA/AACAAAAAAAA8L8CXkvIBz2btT8CTMgHPZtVz78AAAAAGAAAAPz8APwAAgAAAAAAAPC/Asl2vp8aL+e/AsHKoUW289U/AAAAABwAAAD8/AD8AAIAAAAAAADwvwIj2/l+arzMvwKn6Egu/yHzvwAAAAAYAAAA/PwA/AACAAAAAAAA8L8CYVRSJ6CJ+L8CTMgHPZtVz78AAAAAGAAAAPz8APwAAgAAAAAAAPC/Atbnaiv2l/O/AqfoSC7/IfO/AAAAABgAAAD8/AD8AAIAAAAAAADwvwLFILByaJHwPwIeOGdEaW+wPwAAAAAgAAAA/PwA/AACAAAAAAAA8L8CJQaBlUMLA0ACmSoYldQJ4D8AAAAAHAAAAPz8APwAAgAAAAAAAPC/Asl2vp8aL+e/ArByaJHtfPU/AAAAABgAAAD8/AD8AAIAAAAAAADwvwJt5/up8dL+PwJuxf6ye/LYvwAAAAAYAAAA/PwA/AACAAAAAAAA8L8CokW28/3U9z8CVHQkl/+Q7j8AAAAAGAAAAPz8APwAAgAAAAAAAPC/Av8h/fZ14APAAi//If32dbA/AAAAADAEAAFlBAAAAAAAAAAACAABZQQAAAAAAAAAAAwEAWUIDAAAAAAAAAAQCAFlCAgAAAAAAAAAFAABZQQAAAAAAAAAABgkAWUEAAAAAAAAAAAcBAFlBAAAAAAAAAAAIBQBZQQAAAAAAAAAACQUAWUEAAAAAAAAAAAoDAFlBAAAAAAAAAAAGCABZQQAAAAAAAAAAAwQAWUEAAAAAAAAAAAAAAAA</t>
        </r>
      </text>
    </comment>
    <comment ref="A550" authorId="0" shapeId="0" xr:uid="{9E2F4089-8542-4BE6-9B9B-4300BE506CAE}">
      <text>
        <r>
          <rPr>
            <sz val="9"/>
            <color indexed="81"/>
            <rFont val="MS P ゴシック"/>
            <family val="3"/>
            <charset val="128"/>
          </rPr>
          <t>Insight iXlW00001C0000550R0585476093S00001098P01104LAocjBAQBF1NjaVRlZ2ljLmRhdGEuTW9sZWN1bGUBbwF/ARJTY2lUZWdpYy5Nb2xlY3VsZQAAAQFkAv5qAQAAAAIAAjgcAAAA/PwA/AACAAAAAAAA8L8CBTQRNjy95D8C4ZwRpb3Bz78AAAAAGAAAAPz8APwAAgAAAAAAAPC/ApZDi2zn+/g/AhTQRNjw9OS/AAAAABwAAAD8/AD8AAIAAAAAAADwvwIVrkfhehToPwI1gLdAguLnPwAAAAAYAAAA/PwA/AACAAAAAAAA8L8CY3/ZPXnYAUAC7Z48LNSatj8AAAAAGAAAAPz8APwAAgAAAAAAAPC/Asb+snvysPs/AmFUUiegie4/AAAAABgAAAD8/AD8AAIAAAAAAADwvwKBlUOLbOfLvwI4Z0Rpb/DnvwAAAAAcAAAA/PwA/AACAAAAAAAA8L8CrK3YX3ZP/D8CVOOlm8Qg+r8AAAAAHAAAAPz8APwAAgAAAAAAAPC/ArtJDAIrhwbAAsiYu5aQD+g/AAAAABgAAAD8/AD8AAIAAAAAAADwvwLy0k1iEFjxvwLhnBGlvcHPvwAAAAAYAAAA/PwA/AACAAAAAAAA8L8CPnlYqDXNCUACxv6ye/KwkL8AAAAAGAAAAPz8APwAAgAAAAAAAPC/ArtJDAIrhwbAAuGcEaW9wc+/AAAAABgAAAD8/AD8AAIAAAAAAADwvwI0MzMzMzP/vwJkzF1LyAf0PwAAAAAYAAAA/PwA/AACAAAAAAAA8L8CNDMzMzMz/78COGdEaW/w578AAAAAGAAAAPz8APwAAgAAAAAAAPC/AvLSTWIQWPG/AsiYu5aQD+g/AAAAADwEAAFlBAAAAAAAAAAACAABZQQAAAAAAAAAAAwEAWUIDAAAAAAAAAAQCAFlCAgAAAAAAAAAFAABZQQAAAAAAAAAABgEAWUEAAAAAAAAAAAcLAFlBAAAAAAAAAAAIBQBZQQAAAAAAAAAACQMAWUEAAAAAAAAAAAoMAFlBAAAAAAAAAAALDQBZQgIAAAAAAAAADAgAWUIDAAAAAAAAAA0IAFlBAAAAAAAAAAADBABZQQAAAAAAAAAABwoAWUICAAAAAAAAAAAAAAA</t>
        </r>
      </text>
    </comment>
    <comment ref="A551" authorId="0" shapeId="0" xr:uid="{F8935AA6-E4E5-433B-8EFB-F8E074365D75}">
      <text>
        <r>
          <rPr>
            <sz val="9"/>
            <color indexed="81"/>
            <rFont val="MS P ゴシック"/>
            <family val="3"/>
            <charset val="128"/>
          </rPr>
          <t>Insight iXlW00001C0000551R0585476093S00001100P01104LAocjBAQBF1NjaVRlZ2ljLmRhdGEuTW9sZWN1bGUBbwF/ARJTY2lUZWdpYy5Nb2xlY3VsZQAAAQFkAv5qAQAAAAIAAjgcAAAA/PwA/AACAAAAAAAA8L8CmpmZmZmZ3b8CyJi7lpAP4L8AAAAAGAAAAPz8APwAAgAAAAAAAPC/AvoP6bevA/a/AmN/2T15WLi/AAAAABwAAAD8/AD8AAIAAAAAAADwvwLdRgN4CyTivwIbwFsgQfH3vwAAAAAYAAAA/PwA/AACAAAAAAAA8L8ClWWIY11cAMAC3pOHhVrT6r8AAAAAGAAAAPz8APwAAgAAAAAAAPC/AirLEMe6uPi/AjEqqRPQRPu/AAAAABgAAAD8/AD8AAIAAAAAAADwvwIxmSoYldTZPwLFjzF3LSFfvwAAAAAcAAAA/PwA/AACAAAAAAAA8L8CEHo2qz5X+b8CqMZLN4lB7D8AAAAAGAAAAPz8APwAAgAAAAAAAPC/AjGZKhiV1Nk/AjlnRGlv8O8/AAAAABgAAAD8/AD8AAIAAAAAAADwvwKOBvAWSFD0PwLImLuWkA/gvwAAAAAYAAAA/PwA/AACAAAAAAAA8L8CcF8HzhlRCMACCmgibHh6578AAAAAGAAAAPz8APwAAgAAAAAAAPC/Ao4G8BZIUPQ/ApwzorQ3+Pc/AAAAABgAAAD8/AD8AAIAAAAAAADwvwJos+pztRUBQALFjzF3LSFfvwAAAAAYAAAA/PwA/AACAAAAAAAA8L8CaLPqc7UVAUACOWdEaW/w7z8AAAAAGAAAAPz8APwAAgAAAAAAAPC/AoljXdxGAwhAApwzorQ3+Pc/AAAAADwEAAFlBAAAAAAAAAAACAABZQQAAAAAAAAAAAwEAWUIDAAAAAAAAAAQCAFlCAgAAAAAAAAAFAABZQQAAAAAAAAAABgEAWUEAAAAAAAAAAAcFAFlBAAAAAAAAAAAIBQBZQgMAAAAAAAAACQMAWUEAAAAAAAAAAAoHAFlCAgAAAAAAAAALCABZQQAAAAAAAAAADAsAWUIDAAAAAAAAAA0MAFlBAAAAAAAAAAADBABZQQAAAAAAAAAADAoAWUEAAAAAAAAAAAAAAAA</t>
        </r>
      </text>
    </comment>
    <comment ref="A552" authorId="0" shapeId="0" xr:uid="{99E0F7A4-84B6-4B6F-A41C-8847AFC04C72}">
      <text>
        <r>
          <rPr>
            <sz val="9"/>
            <color indexed="81"/>
            <rFont val="MS P ゴシック"/>
            <family val="3"/>
            <charset val="128"/>
          </rPr>
          <t>Insight iXlW00001C0000552R0585476093S00001102P01176LAocjBAQBF1NjaVRlZ2ljLmRhdGEuTW9sZWN1bGUBbwF/ARJTY2lUZWdpYy5Nb2xlY3VsZQAAAQFkAv5qAQAAAAIAAjwYAAAA/PwA/AACAAAAAAAA8L8CwhcmUwWj/T8C1CtlGeJYh78AAAAAHAAAAPz8APwAAgAAAAAAAPC/AvvL7snDQtE/AoofY+5aQta/AAAAABwAAAD8/AD8AAIAAAAAAADwvwIbwFsgQfHXPwLG/rJ78rDkPwAAAAAYAAAA/PwA/AACAAAAAAAA8L8Cklz+Q/rt8j8Cofgx5q4l6L8AAAAAGAAAAPz8APwAAgAAAAAAAPC/ArwFEhQ/xgZAAhkEVg4tsr2/AAAAABgAAAD8/AD8AAIAAAAAAADwvwLCFyZTBaP1PwLUK2UZ4ljrPwAAAAAgAAAA/PwA/AACAAAAAAAA8L8CmbuWkA96C0AClBgEVg4t5j8AAAAAGAAAAPz8APwAAgAAAAAAAPC/AoZa07zjFOO/AsWPMXctIeu/AAAAACAAAAD8/AD8AAIAAAAAAADwvwI9vVKWIY4JwAI7cM6I0t7kPwAAAAAgAAAA/PwA/AACAAAAAAAA8L8C8x/Sb18HCkACRrbz/dR48L8AAAAAGAAAAPz8APwAAgAAAAAAAPC/Ava52or9Zfe/AoofY+5aQta/AAAAABgAAAD8/AD8AAIAAAAAAADwvwI9vVKWIY4JwAKKH2PuWkLWvwAAAAAYAAAA/PwA/AACAAAAAAAA8L8CHA3gLZCgAsACrYvbaABv8j8AAAAAGAAAAPz8APwAAgAAAAAAAPC/AhwN4C2QoALAAsWPMXctIeu/AAAAABgAAAD8/AD8AAIAAAAAAADwvwL2udqK/WX3vwJZF7fRAN7kPwAAAAABEAQMAWUEAAAAAAAAAAAIFAFlCAgAAAAAAAAADAABZQgMAAAAAAAAABAAAWUEAAAAAAAAAAAUAAFlBAAAAAAAAAAAGBABZQgAAAAAAAAAABwEAWUEAAAAAAAAAAAgMAFlBAAAAAAAAAAAJBABZQQAAAAAAAAAACgcAWUEAAAAAAAAAAAsNAFlBAAAAAAAAAAAMDgBZQQAAAAAAAAAADQoAWUEAAAAAAAAAAA4KAFlBAAAAAAAAAAACAQBZQQAAAAAAAAAACAsAWUEAAAAAAAAAAAAAAAA</t>
        </r>
      </text>
    </comment>
    <comment ref="A553" authorId="0" shapeId="0" xr:uid="{BF952C13-CD5E-430A-99A1-6FC58263FCAF}">
      <text>
        <r>
          <rPr>
            <sz val="9"/>
            <color indexed="81"/>
            <rFont val="MS P ゴシック"/>
            <family val="3"/>
            <charset val="128"/>
          </rPr>
          <t>Insight iXlW00001C0000553R0585476093S00001104P01324LAocjBAQBF1NjaVRlZ2ljLmRhdGEuTW9sZWN1bGUBbwF/ARJTY2lUZWdpYy5Nb2xlY3VsZQAAAQFkAv5qAQAAAAIAAgERGAAAAPz8APwAAgAAAAAAAPC/AkMc6+I2mgBAAjY8vVKWIc4/AAAAABwAAAD8/AD8AAIAAAAAAADwvwIOT6+UZYjfPwJCYOXQItu5vwAAAAAcAAAA/PwA/AACAAAAAAAA8L8ClyGOdXEb4z8Cg+LHmLuW7D8AAAAAGAAAAPz8APwAAgAAAAAAAPC/Ald9rrZif/Y/AuQUHcnlP+C/AAAAABgAAAD8/AD8AAIAAAAAAADwvwIfFmpN844IQALnjCjtDb7APwAAAAAYAAAA/PwA/AACAAAAAAAA8L8ChzjWxW00+T8CyQc9m1Wf8T8AAAAAGAAAAPz8APwAAgAAAAAAAPC/AjGZKhiV1PO/AkJg5dAi27m/AAAAABgAAAD8/AD8AAIAAAAAAADwvwK94xQdyeXXvwIIrBxaZDvjvwAAAAAYAAAA/PwA/AACAAAAAAAA8L8CufyH9NvXAMACCKwcWmQ7478AAAAAIAAAAPz8APwAAgAAAAAAAPC/AvvL7snDQg1AAlH8GHPXEu4/AAAAACAAAAD8/AD8AAIAAAAAAADwvwIdWmQ7388LQALPiNLe4AvpvwAAAAAgAAAA/PwA/AACAAAAAAAA8L8CufyH9NvXAMACBFYOLbKd+b8AAAAAGAAAAPz8APwAAgAAAAAAAPC/AjGZKhiV1PO/AvhT46WbxOw/AAAAABgAAAD8/AD8AAIAAAAAAADwvwLarPpcbcUHwAJCYOXQItu5vwAAAAAYAAAA/PwA/AACAAAAAAAA8L8CMZkqGJXU878CAiuHFtnOAMAAAAAAGAAAAPz8APwAAgAAAAAAAPC/Arn8h/Tb1wDAAvyp8dJNYvY/AAAAABgAAAD8/AD8AAIAAAAAAADwvwLarPpcbcUHwAL4U+Olm8TsPwAAAAABEgQMAWUEAAAAAAAAAAAIFAFlCAgAAAAAAAAADAABZQgMAAAAAAAAABAAAWUEAAAAAAAAAAAUAAFlBAAAAAAAAAAAGBwBZQQAAAAAAAAAABwEAWUEAAAAAAAAAAAgGAFlBAAAAAAAAAAAJBABZQgAAAAAAAAAACgQAWUEAAAAAAAAAAAsIAFlBAAAAAAAAAAAMBgBZQgMAAAAAAAAADQgAWUICAAAAAAAAAA4LAFlBAAAAAAAAAAAPDABZQQAAAAAAAAAAAEQPAFlCAgAAAAAAAAACAQBZQQAAAAAAAAAAAEQNAFlBAAAAAAAAAAAAAAAAA==</t>
        </r>
      </text>
    </comment>
    <comment ref="A554" authorId="0" shapeId="0" xr:uid="{2C21B90E-CB2A-4EB0-BEDA-E378BE1954DE}">
      <text>
        <r>
          <rPr>
            <sz val="9"/>
            <color indexed="81"/>
            <rFont val="MS P ゴシック"/>
            <family val="3"/>
            <charset val="128"/>
          </rPr>
          <t>Insight iXlW00001C0000554R0585476093S00001106P00576LAocjBAQBF1NjaVRlZ2ljLmRhdGEuTW9sZWN1bGUBbwF/ARJTY2lUZWdpYy5Nb2xlY3VsZQAAAQFkAv5qAQAAAAIAAhwYAAAA/PwA/AACAAAAAAAA8L8CLiEf9GxWxb8CJuSDns2q8r8AAAAAGAAAAPz8APwAAgAAAAAAAPC/Ai4hH/RsVsW/Ai4hH/RsVsW/AAAAABwAAAD8/AD8AAIAAAAAAADwvwIm5IOezaryvwIuIR/0bFbFvwAAAAAYAAAA/PwA/AACAAAAAAAA8L8CtTf4wmSq6j8CLiEf9GxWxb8AAAAAIAAAAPz8APwAAgAAAAAAAPC/ArU3+MJkquo/ArU3+MJkquo/AAAAABgAAAD8/AD8AAIAAAAAAADwvwIuIR/0bFbFvwK1N/jCZKrqPwAAAAABEQAAAPz8APwAAgAAAAAAAPC/AqfoSC7/Ifo/Ai4hH/RsVsW/AAAAABgABAFlBAAAAAAAAAAABAgBZQQAAAAAAAAAAAQMAWUEAAAAAAAAAAAMEAFlBAAAAAAAAAAAEBQBZQQAAAAAAAAAABQEAWUEAAAAAAAAAAAAAAAA</t>
        </r>
      </text>
    </comment>
    <comment ref="A555" authorId="0" shapeId="0" xr:uid="{480C487E-7FD8-45D3-A915-CB732251E262}">
      <text>
        <r>
          <rPr>
            <sz val="9"/>
            <color indexed="81"/>
            <rFont val="MS P ゴシック"/>
            <family val="3"/>
            <charset val="128"/>
          </rPr>
          <t>Insight iXlW00001C0000555R0585476093S00001108P01268LAocjBAQBF1NjaVRlZ2ljLmRhdGEuTW9sZWN1bGUBbwF/ARJTY2lUZWdpYy5Nb2xlY3VsZQAAAQFkAv5qAQAAAAIAAgEQHAAAAPz8APwAAgAAAAAAAPC/AqQBvAUSFPA/Ak5iEFg5tMC/AAAAABgAAAD8/AD8AAIAAAAAAADwvwKrPldbsb/QPwLNXUvIBz3hPwAAAAAcAAAA/PwA/AACAAAAAAAA8L8CT6+UZYhj5T8C6wQ0ETY89z8AAAAAGAAAAPz8APwAAgAAAAAAAPC/AuVhodY07/0/AtnO91Pjpdc/AAAAABwAAAD8/AD8AAIAAAAAAADwvwJeS8gHPZv6PwJyGw3gLZD1PwAAAAAcAAAA/PwA/AACAAAAAAAA8L8CFGHD0yvlBUACTmIQWDm0wL8AAAAAGAAAAPz8APwAAgAAAAAAAPC/Aj9XW7G/7Oa/AkETYcPTK9U/AAAAABgAAAD8/AD8AAIAAAAAAADwvwIzVTAqqRPwPwJKDAIrhxbyvwAAAAAYAAAA/PwA/AACAAAAAAAA8L8C0GbV52or9r8CWMoyxLEu8T8AAAAAGAAAAPz8APwAAgAAAAAAAPC/ApzEILByaPC/An6utmJ/2eO/AAAAABgAAAD8/AD8AAIAAAAAAADwvwJTJ6CJsGEFwALUvOMUHcm1vwAAAAAYAAAA/PwA/AACAAAAAAAA8L8C8x/Sb18HAMACqoJRSZ2A6r8AAAAAGAAAAPz8APwAAgAAAAAAAPC/Ag1xrIvb6ALAAoPAyqFFtus/AAAAACQAAAD8/AD8AAIAAAAAAADwvwL45GGh1jQNwAKOl24Sg8DSvwAAAAAYAAAA/PwA/AACAAAAAAAA8L8C5WGh1jTv/T8C2V92Tx4W+r8AAAAAGAAAAPz8APwAAgAAAAAAAPC/AhRhw9Mr5QVAAtlfdk8eFvK/AAAAAAESBAABZQQAAAAAAAAAAAgEAWUICAAAAAAAAAAMAAFlBAAAAAAAAAAAEAwBZQgIAAAAAAAAABQMAWUEAAAAAAAAAAAYBAFlBAAAAAAAAAAAHAABZQQAAAAAAAAAACAYAWUIDAAAAAAAAAAkGAFlBAAAAAAAAAAAKCwBZQQAAAAAAAAAACwkAWUICAAAAAAAAAAwIAFlBAAAAAAAAAAANCgBZQQAAAAAAAAAADgcAWUEAAAAAAAAAAA8OAFlBAAAAAAAAAAACBABZQQAAAAAAAAAADwUAWUEAAAAAAAAAAAoMAFlCAgAAAAAAAAAAAAAAA==</t>
        </r>
      </text>
    </comment>
    <comment ref="A556" authorId="0" shapeId="0" xr:uid="{74D3CE6F-D9B9-47FD-95D9-27C5D475C885}">
      <text>
        <r>
          <rPr>
            <sz val="9"/>
            <color indexed="81"/>
            <rFont val="MS P ゴシック"/>
            <family val="3"/>
            <charset val="128"/>
          </rPr>
          <t>Insight iXlW00001C0000556R0585476093S00001110P00720LAocjBAQBF1NjaVRlZ2ljLmRhdGEuTW9sZWN1bGUBbwF/ARJTY2lUZWdpYy5Nb2xlY3VsZQAAAQFkAv5qAQAAAAIAAiQYAAAA/PwA/AACAAAAAAAA8L8C5BQdyeU/6j8CwH0dOGdE9b8AAAAAGAAAAPz8APwAAgAAAAAAAPC/AhdIUPwYc6e/An/7OnDOiOq/AAAAABgAAAD8/AD8AAIAAAAAAADwvwIXSFD8GHOnvwIGEhQ/xtzFPwAAAAAYAAAA/PwA/AACAAAAAAAA8L8Cf/s6cM6I7j8CBhIUP8bcxT8AAAAAIAAAAPz8APwAAgAAAAAAAPC/An/7OnDOiO4/AkGC4seYu/I/AAAAABgAAAD8/AD8AAIAAAAAAADwvwIXSFD8GHOnvwJBguLHmLvyPwAAAAAcAAAA/PwA/AACAAAAAAAA8L8CQYLix5i78L8CBhIUP8bcxT8AAAAAGAAAAPz8APwAAgAAAAAAAPC/AkGC4seYu/i/AuQUHcnlP+a/AAAAAAERAAAA/PwA/AACAAAAAAAA8L8CjErqBDQR/D8C9dvXgXNGtL8AAAAAIAAEAWUEAAAAAAAAAAAECAFlBAAAAAAAAAAACAwBZQQAAAAAAAAAAAwQAWUEAAAAAAAAAAAQFAFlBAAAAAAAAAAAFAgBZQQAAAAAAAAAAAgYAWUEAAAAAAAAAAAYHAFlBAAAAAAAAAAAAAAAAA==</t>
        </r>
      </text>
    </comment>
    <comment ref="A557" authorId="0" shapeId="0" xr:uid="{DC810D40-C1D1-4722-AC00-78B5380682D0}">
      <text>
        <r>
          <rPr>
            <sz val="9"/>
            <color indexed="81"/>
            <rFont val="MS P ゴシック"/>
            <family val="3"/>
            <charset val="128"/>
          </rPr>
          <t>Insight iXlW00001C0000557R0585476093S00001112P01144LAocjBAQBF1NjaVRlZ2ljLmRhdGEuTW9sZWN1bGUBbwF/ARJTY2lUZWdpYy5Nb2xlY3VsZQAAAQFkAv5qAQAAAAIBAjwYAAAA/PwA/AACAAAAAAAA8L8CPSzUmuYdCMACRwN4CyQo6r8AAAAAGAAAAPz8APwAAgAAAAAAAPC/Ahx8YTJVMAHAAo4G8BZIUNS/AAAAABgAAAD8/AD8AAIAAAAAAADwvwL2l92Th4X0vwJHA3gLJCjqvwAAAAAYAAAA/PwA/AACAAAAAAAA8L8C097gC5Op2r8CjgbwFkhQ1L8AAAAAHAAAAPz8APwAAgAAAAAAAPC/AjSitDf4wtw/AkcDeAskKOq/AAAAABgIAAD8/AD8AAIAAAAAAADwvwJANV66SQz1PwKOBvAWSFDUvwAAAAAYAAAA/PwA/AACAAAAAAAA8L8CuR6F61G49j8CJuSDns2q5T8AAAAAGAAAAPz8APwAAgAAAAAAAPC/AjojSnuDLwNAAlK4HoXrUew/AAAAABwAAAD8/AD8AAIAAAAAAADwvwICTYQNTy8HQALb+X5qvHSTPwAAAAAYAAAA/PwA/AACAAAAAAAA8L8C2xt8YTLVAUACI2x4eqUs578AAAAAHAAAAPz8APwAAgAAAAAAAPC/AtPe4AuTqdq/AtejcD0K1+U/AAAAABgAAAD8/AD8AAIAAAAAAADwvwL2l92Th4X0vwLsUbgehevyPwAAAAAcAAAA/PwA/AACAAAAAAAA8L8CHHxhMlUwAcACufyH9NvX5T8AAAAAAREAAAD8/AD8AAIAAAAAAADwvwJos+pztZUNQAI/6Nms+lzFPwAAAAABEQAAAPz8APwAAgAAAAAAAPC/AkLPZtXn6hJAAgOaCBueXsk/AAAAADgABAFlBAAAAAAAAAAABAgBZQgMAAAAAAAAAAgMAWUEAAAAAAAAAAAMEAFlBAAAAAAAAAAAFBABZQQQAAAAAAAAABQYAWUEAAAAAAAAAAAYHAFlBAAAAAAAAAAAHCABZQQAAAAAAAAAACAkAWUEAAAAAAAAAAAkFAFlBAAAAAAAAAAADCgBZQgIAAAAAAAAACgsAWUEAAAAAAAAAAAsMAFlCAgAAAAAAAAAMAQBZQQAAAAAAAAAAAAAAAA=</t>
        </r>
      </text>
    </comment>
    <comment ref="A558" authorId="0" shapeId="0" xr:uid="{F24D7136-A2B6-41C1-92B8-8349E8C85BDC}">
      <text>
        <r>
          <rPr>
            <sz val="9"/>
            <color indexed="81"/>
            <rFont val="MS P ゴシック"/>
            <family val="3"/>
            <charset val="128"/>
          </rPr>
          <t>Insight iXlW00001C0000558R0585476093S00001114P01020LAocjBAQBF1NjaVRlZ2ljLmRhdGEuTW9sZWN1bGUBbwF/ARJTY2lUZWdpYy5Nb2xlY3VsZQAAAQFkAv5qAQAAAAIBAjQcAAAA/PwA/AACAAAAAAAA8L8CUyegibBhBsACZO5aQj7o7z8AAAAAGAwAAPz8APwAAgAAAAAAAPC/AhriWBe30f+/AuAtkKD4Mdo/AAAAABgAAAD8/AD8AAIAAAAAAADwvwIa4lgXt9H/vwIQ6bevA+fivwAAAAAYAAAA/PwA/AACAAAAAAAA8L8CC0YldQKa8L8CRWlv8IXJ7L8AAAAAHAAAAPz8APwAAgAAAAAAAPC/Agkbnl4py9y/Am+BBMWPMbe/AAAAABgAAAD8/AD8AAIAAAAAAADwvwILRiV1AprwvwLpSC7/If3mPwAAAAAYAAAA/PwA/AACAAAAAAAA8L8CfPKwUGua4T8Cb4EExY8xt78AAAAAHAAAAPz8APwAAgAAAAAAAPC/Aj55WKg1zfA/AlYwKqkT0Og/AAAAABgAAAD8/AD8AAIAAAAAAADwvwJnZmZmZmYAQAJWMCqpE9DoPwAAAAAYAAAA/PwA/AACAAAAAAAA8L8CZ2ZmZmZmBEACgEi/fR04t78AAAAAGAAAAPz8APwAAgAAAAAAAPC/Ap88LNSaZgBAApOpglFJne6/AAAAABwAAAD8/AD8AAIAAAAAAADwvwI+eVioNc3wPwKTqYJRSZ3uvwAAAAABEQAAAPz8APwAAgAAAAAAAPC/As3MzMzMzApAAgJNhA1Pr5Q/AAAAADQEAAFlBBAAAAAAAAAABAgBZQQAAAAAAAAAAAgMAWUEAAAAAAAAAAAMEAFlBAAAAAAAAAAAEBQBZQQAAAAAAAAAABQEAWUEAAAAAAAAAAAQGAFlBAAAAAAAAAAAGBwBZQgMAAAAAAAAABwgAWUEAAAAAAAAAAAgJAFlCAgAAAAAAAAAJCgBZQQAAAAAAAAAACgsAWUICAAAAAAAAAAsGAFlBAAAAAAAAAAAAAAAAA==</t>
        </r>
      </text>
    </comment>
    <comment ref="A559" authorId="0" shapeId="0" xr:uid="{8DFE0579-928E-4C55-ABAE-DE313C48396A}">
      <text>
        <r>
          <rPr>
            <sz val="9"/>
            <color indexed="81"/>
            <rFont val="MS P ゴシック"/>
            <family val="3"/>
            <charset val="128"/>
          </rPr>
          <t>Insight iXlW00001C0000559R0585476093S00001116P01020LAocjBAQBF1NjaVRlZ2ljLmRhdGEuTW9sZWN1bGUBbwF/ARJTY2lUZWdpYy5Nb2xlY3VsZQAAAQFkAv5qAQAAAAIBAjQcAAAA/PwA/AACAAAAAAAA8L8CUyegibBhBsACZO5aQj7o7z8AAAAAGAgAAPz8APwAAgAAAAAAAPC/AhriWBe30f+/AuAtkKD4Mdo/AAAAABgAAAD8/AD8AAIAAAAAAADwvwIa4lgXt9H/vwIQ6bevA+fivwAAAAAYAAAA/PwA/AACAAAAAAAA8L8CC0YldQKa8L8CRWlv8IXJ7L8AAAAAHAAAAPz8APwAAgAAAAAAAPC/Agkbnl4py9y/Am+BBMWPMbe/AAAAABgAAAD8/AD8AAIAAAAAAADwvwILRiV1AprwvwLpSC7/If3mPwAAAAAYAAAA/PwA/AACAAAAAAAA8L8CfPKwUGua4T8Cb4EExY8xt78AAAAAHAAAAPz8APwAAgAAAAAAAPC/Aj55WKg1zfA/AlYwKqkT0Og/AAAAABgAAAD8/AD8AAIAAAAAAADwvwJnZmZmZmYAQAJWMCqpE9DoPwAAAAAYAAAA/PwA/AACAAAAAAAA8L8CZ2ZmZmZmBEACgEi/fR04t78AAAAAGAAAAPz8APwAAgAAAAAAAPC/Ap88LNSaZgBAApOpglFJne6/AAAAABwAAAD8/AD8AAIAAAAAAADwvwI+eVioNc3wPwKTqYJRSZ3uvwAAAAABEQAAAPz8APwAAgAAAAAAAPC/As3MzMzMzApAAgJNhA1Pr5Q/AAAAADQEAAFlBBQAAAAAAAAABAgBZQQAAAAAAAAAAAgMAWUEAAAAAAAAAAAMEAFlBAAAAAAAAAAAEBQBZQQAAAAAAAAAABQEAWUEAAAAAAAAAAAQGAFlBAAAAAAAAAAAGBwBZQgMAAAAAAAAABwgAWUEAAAAAAAAAAAgJAFlCAgAAAAAAAAAJCgBZQQAAAAAAAAAACgsAWUICAAAAAAAAAAsGAFlBAAAAAAAAAAAAAAAAA==</t>
        </r>
      </text>
    </comment>
    <comment ref="A560" authorId="0" shapeId="0" xr:uid="{9F81F315-30CA-477D-B497-E3A9E33EAD43}">
      <text>
        <r>
          <rPr>
            <sz val="9"/>
            <color indexed="81"/>
            <rFont val="MS P ゴシック"/>
            <family val="3"/>
            <charset val="128"/>
          </rPr>
          <t>Insight iXlW00001C0000560R0585476093S00001118P00892LAocjBAQBF1NjaVRlZ2ljLmRhdGEuTW9sZWN1bGUBbwF/ARJTY2lUZWdpYy5Nb2xlY3VsZQAAAQFkAv5qAQAAAAIAAiwcAAAA/PwA/AACAAAAAAAA8L8CXkvIBz2btT8CTMgHPZtVz78AAAAAGAAAAPz8APwAAgAAAAAAAPC/Asl2vp8aL+e/AsHKoUW289U/AAAAABwAAAD8/AD8AAIAAAAAAADwvwIj2/l+arzMvwKn6Egu/yHzvwAAAAAYAAAA/PwA/AACAAAAAAAA8L8CYVRSJ6CJ+L8CTMgHPZtVz78AAAAAGAAAAPz8APwAAgAAAAAAAPC/Atbnaiv2l/O/AqfoSC7/IfO/AAAAABgAAAD8/AD8AAIAAAAAAADwvwLFILByaJHwPwIeOGdEaW+wPwAAAAAcAAAA/PwA/AACAAAAAAAA8L8CyXa+nxov578CsHJoke189T8AAAAAGAAAAPz8APwAAgAAAAAAAPC/Av8h/fZ14APAAi//If32dbA/AAAAABgAAAD8/AD8AAIAAAAAAADwvwIlBoGVQwsDQAKZKhiV1AngPwAAAAAYAAAA/PwA/AACAAAAAAAA8L8CokW28/3U9z8CVHQkl/+Q7j8AAAAAGAAAAPz8APwAAgAAAAAAAPC/Am3n+6nx0v4/Am7F/rJ78ti/AAAAADAEAAFlBAAAAAAAAAAACAABZQQAAAAAAAAAAAwEAWUIDAAAAAAAAAAQCAFlCAgAAAAAAAAAFAABZQQAAAAAAAAAABgEAWUEAAAAAAAAAAAcDAFlBAAAAAAAAAAAICgBZQQAAAAAAAAAACQUAWUEAAAAAAAAAAAoFAFlBAAAAAAAAAAAICQBZQQAAAAAAAAAAAwQAWUEAAAAAAAAAAAAAAAA</t>
        </r>
      </text>
    </comment>
    <comment ref="A561" authorId="0" shapeId="0" xr:uid="{05CFE3E5-B2A8-4C28-A109-F6B914E6B055}">
      <text>
        <r>
          <rPr>
            <sz val="9"/>
            <color indexed="81"/>
            <rFont val="MS P ゴシック"/>
            <family val="3"/>
            <charset val="128"/>
          </rPr>
          <t>Insight iXlW00001C0000561R0585476093S00001120P00804LAocjBAQBF1NjaVRlZ2ljLmRhdGEuTW9sZWN1bGUBbwF/ARJTY2lUZWdpYy5Nb2xlY3VsZQAAAQFkAv5qAQAAAAIAAigYAAAA/PwA/AACAAAAAAAA8L8CT6+UZYhj0T8ChC9MpgpG3b8AAAAAHAAAAPz8APwAAgAAAAAAAPC/As+I0t7gC6O/ArhAguLHmN8/AAAAABwAAAD8/AD8AAIAAAAAAADwvwKoV8oyxLHoPwJ3Tx4Wak3xPwAAAAAYAAAA/PwA/AACAAAAAAAA8L8CRdjw9EpZ9D8ChC9MpgpG3b8AAAAAGAAAAPz8APwAAgAAAAAAAPC/AtBE2PD0Svk/ArhAguLHmN8/AAAAABwAAAD8/AD8AAIAAAAAAADwvwKX/5B++zrUvwJseHqlLEP0vwAAAAAYAAAA/PwA/AACAAAAAAAA8L8Cq2BUUieg778Cc/kP6bev6T8AAAAAGAAAAPz8APwAAgAAAAAAAPC/Ao6XbhKDwP0/Amx4eqUsQ/S/AAAAACAAAAD8/AD8AAIAAAAAAADwvwL2KFyPwnUFwAIXak3zjlPcPwAAAAAYAAAA/PwA/AACAAAAAAAA8L8C3bWEfNCz+78CSgwCK4cWwT8AAAAAKAQAAWUEAAAAAAAAAAAIBAFlBAAAAAAAAAAADAABZQgIAAAAAAAAABAMAWUEAAAAAAAAAAAUAAFlBAAAAAAAAAAAGAQBZQQAAAAAAAAAABwMAWUEAAAAAAAAAAAgJAFlBAAAAAAAAAAAJBgBZQQAAAAAAAAAABAIAWUICAAAAAAAAAAAAAAA</t>
        </r>
      </text>
    </comment>
    <comment ref="A562" authorId="0" shapeId="0" xr:uid="{5D744ABA-3929-4657-8314-B20880872038}">
      <text>
        <r>
          <rPr>
            <sz val="9"/>
            <color indexed="81"/>
            <rFont val="MS P ゴシック"/>
            <family val="3"/>
            <charset val="128"/>
          </rPr>
          <t>Insight iXlW00001C0000562R0585476093S00001122P01088LAocjBAQBF1NjaVRlZ2ljLmRhdGEuTW9sZWN1bGUBbwF/ARJTY2lUZWdpYy5Nb2xlY3VsZQAAAQFkAv5qAQAAAAIAAjgYAAAA/PwA/AACAAAAAAAA8L8CHVpkO99P8r8C3GgAb4EE1b8AAAAAHAAAAPz8APwAAgAAAAAAAPC/AoIExY8xd9W/AgtGJXUCmtA/AAAAABwAAAD8/AD8AAIAAAAAAADwvwLo+6nx0k3ePwLcaABvgQTVvwAAAAAYAAAA/PwA/AACAAAAAAAA8L8CI9v5fmq86r8CRrbz/dR49L8AAAAAGAAAAPz8APwAAgAAAAAAAPC/Av32deCcEcU/AtUJaCJsePS/AAAAABgAAAD8/AD8AAIAAAAAAADwvwIJG55eKcv2PwLoaiv2l92TvwAAAAAYAAAA/PwA/AACAAAAAAAA8L8CH4XrUbge+j8CIPRsVn2u7j8AAAAAGAAAAPz8APwAAgAAAAAAAPC/At0kBoGVwwDAAuhqK/aX3ZO/AAAAACAAAAD8/AD8AAIAAAAAAADwvwLaPXlYqLUGwALVeOkmMQjmvwAAAAAkAAAA/PwA/AACAAAAAAAA8L8Cx7q4jQbw5D8CJuSDns2q8j8AAAAAJAAAAPz8APwAAgAAAAAAAPC/AjXvOEVHcv0/Alr1udqK/f4/AAAAACQAAAD8/AD8AAIAAAAAAADwvwI1gLdAguIEQAIRx7q4jQboPwAAAAAgAAAA/PwA/AACAAAAAAAA8L8C6Nms+lxtAsACIPRsVn2u7j8AAAAAGAAAAPz8APwAAgAAAAAAAPC/AjNVMCqpE+g/AjC7Jw8LtQDAAAAAADgEAAFlCAgAAAAAAAAACAQBZQQAAAAAAAAAAAwAAWUEAAAAAAAAAAAQDAFlCAwAAAAAAAAAFAgBZQQAAAAAAAAAABgUAWUEAAAAAAAAAAAcAAFlBAAAAAAAAAAAIBwBZQgAAAAAAAAAACQYAWUEAAAAAAAAAAAoGAFlBAAAAAAAAAAALBgBZQQAAAAAAAAAADAcAWUEAAAAAAAAAAA0EAFlBAAAAAAAAAAAEAgBZQQAAAAAAAAAAAAAAAA=</t>
        </r>
      </text>
    </comment>
    <comment ref="A563" authorId="0" shapeId="0" xr:uid="{42AE18A7-9430-4587-9CEA-243C42078663}">
      <text>
        <r>
          <rPr>
            <sz val="9"/>
            <color indexed="81"/>
            <rFont val="MS P ゴシック"/>
            <family val="3"/>
            <charset val="128"/>
          </rPr>
          <t>Insight iXlW00001C0000563R0585476093S00001124P01104LAocjBAQBF1NjaVRlZ2ljLmRhdGEuTW9sZWN1bGUBbwF/ARJTY2lUZWdpYy5Nb2xlY3VsZQAAAQFkAv5qAQAAAAIAAjgYAAAA/PwA/AACAAAAAAAA8L8C3GgAb4EE978CTtGRXP5D4j8AAAAAHAAAAPz8APwAAgAAAAAAAPC/AsRCrWneccI/Amu8dJMYBM4/AAAAABwAAAD8/AD8AAIAAAAAAADwvwK30QDeAgnuvwJa9bnaiv32PwAAAAAYAAAA/PwA/AACAAAAAAAA8L8CWFuxv+ye6L8CBOeMKO0Nxr8AAAAAGAAAAPz8APwAAgAAAAAAAPC/AvXb14FzRqQ/AtPe4AuTqfM/AAAAABgAAAD8/AD8AAIAAAAAAADwvwJJLv8h/XYDwAK6/If029fdPwAAAAAYAAAA/PwA/AACAAAAAAAA8L8Cmggbnl4p8D8Cy6FFtvP90L8AAAAAHAAAAPz8APwAAgAAAAAAAPC/AtxoAG+BBP4/Amu8dJMYBM4/AAAAACAAAAD8/AD8AAIAAAAAAADwvwJIcvkP6bcGwAIcDeAtkKDcvwAAAAAcAAAA/PwA/AACAAAAAAAA8L8C3GgAb4EE/j8Cc2iR7Xw//L8AAAAAIAAAAPz8APwAAgAAAAAAAPC/Aibkg57NKgjAArprCfmgZ/Q/AAAAABgAAAD8/AD8AAIAAAAAAADwvwKaCBueXinwPwJzaJHtfD/0vwAAAAAYAAAA/PwA/AACAAAAAAAA8L8Cj+TyH9LvBUACy6FFtvP90L8AAAAAGAAAAPz8APwAAgAAAAAAAPC/Ao/k8h/S7wVAAnNoke18P/S/AAAAADwEDAFlBAAAAAAAAAAACAABZQQAAAAAAAAAAAwAAWUICAAAAAAAAAAQCAFlCAgAAAAAAAAAFAABZQQAAAAAAAAAABgEAWUEAAAAAAAAAAAcGAFlBAAAAAAAAAAAIBQBZQgAAAAAAAAAACQsAWUEAAAAAAAAAAAoFAFlBAAAAAAAAAAALBgBZQgMAAAAAAAAADAcAWUICAAAAAAAAAA0JAFlCAgAAAAAAAAAEAQBZQQAAAAAAAAAADQwAWUEAAAAAAAAAAAAAAAA</t>
        </r>
      </text>
    </comment>
    <comment ref="A564" authorId="0" shapeId="0" xr:uid="{09E85431-B246-423E-8A06-6D32E15F37CA}">
      <text>
        <r>
          <rPr>
            <sz val="9"/>
            <color indexed="81"/>
            <rFont val="MS P ゴシック"/>
            <family val="3"/>
            <charset val="128"/>
          </rPr>
          <t>Insight iXlW00001C0000564R0585476093S00001126P00824LAocjBAQBF1NjaVRlZ2ljLmRhdGEuTW9sZWN1bGUBbwF/ARJTY2lUZWdpYy5Nb2xlY3VsZQAAAQFkAv5qAQAAAAIAAigcAAAA/PwA/AACAAAAAAAA8L8C8tJNYhBYqT8CI9v5fmq81D8AAAAAGAAAAPz8APwAAgAAAAAAAPC/AvLSTWIQWKk/Am8Sg8DKoeW/AAAAABwAAAD8/AD8AAIAAAAAAADwvwKnCkYldQLwPwKG61G4HoXvvwAAAAAcAAAA/PwA/AACAAAAAAAA8L8CYHZPHhZq+T8Cu0kMAiuHxr8AAAAAGAAAAPz8APwAAgAAAAAAAPC/AqcKRiV1AvA/AqjGSzeJQeQ/AAAAABwAAAD8/AD8AAIAAAAAAADwvwJU46WbxCDqvwI4iUFg5dDyvwAAAAAYAAAA/PwA/AACAAAAAAAA8L8CVOOlm8Qg6r8Cku18PzVe6j8AAAAAGAAAAPz8APwAAgAAAAAAAPC/AjJ3LSEf9PQ/AvLSTWIQWPk/AAAAABgAAAD8/AD8AAIAAAAAAADwvwLsUbgehev6vwIj2/l+arzUPwAAAAAYAAAA/PwA/AACAAAAAAAA8L8C7FG4HoXr+r8CbxKDwMqh5b8AAAAALAQAAWUEAAAAAAAAAAAIBAFlCAgAAAAAAAAADBABZQgIAAAAAAAAABAAAWUEAAAAAAAAAAAUBAFlBAAAAAAAAAAAGAABZQQAAAAAAAAAABwQAWUEAAAAAAAAAAAgGAFlBAAAAAAAAAAAJCABZQQAAAAAAAAAAAwIAWUEAAAAAAAAAAAkFAFlBAAAAAAAAAAAAAAAAA==</t>
        </r>
      </text>
    </comment>
    <comment ref="A565" authorId="0" shapeId="0" xr:uid="{5E1DDF43-DD33-41BF-9DC8-9AD1AB6B3234}">
      <text>
        <r>
          <rPr>
            <sz val="9"/>
            <color indexed="81"/>
            <rFont val="MS P ゴシック"/>
            <family val="3"/>
            <charset val="128"/>
          </rPr>
          <t>Insight iXlW00001C0000565R0585476093S00001128P01756LAocjBAQBF1NjaVRlZ2ljLmRhdGEuTW9sZWN1bGUBbwF/ARJTY2lUZWdpYy5Nb2xlY3VsZQAAAQFkAv5qAQAAAAIBAgEXGAAAAPz8APwAAgAAAAAAAPC/AiPb+X5qvPM/Au58PzVeurm/AAAAABwAAAD8/AD8AAIAAAAAAADwvwKF61G4HoXXPwKASL99HTjjvwAAAAAYAAAA/PwA/AACAAAAAAAA8L8C9P3UeOmmDkACgEi/fR04478AAAAAGAAAAPz8APwAAgAAAAAAAPC/ArKd76fGywBAAp7vp8ZLN+O/AAAAABgAAAD8/AD8AAIAAAAAAADwvwIDCYofY+4EwAI0orQ3+MK0PwAAAAAYAAAA/PwA/AACAAAAAAAA8L8C001iEFi5B0AC/0P67evAub8AAAAAHAAAAPz8APwAAgAAAAAAAPC/AiPb+X5qvPM/AoG3QILix+w/AAAAABwAAAD8/AD8AAIAAAAAAADwvwIFxY8xd60BwALCFyZTBaPqvwAAAAAcAAAA/PwA/AACAAAAAAAA8L8C001iEFi5B0ACgbdAguLH7D8AAAAAGAAAAPz8APwAAgAAAAAAAPC/Aka28/3UeOG/ApF++zpwzsi/AAAAABgAAAD8/AD8AAIAAAAAAADwvwKyne+nxssAQALAWyBB8WP2PwAAAAAgAAAA/PwA/AACAAAAAAAA8L8CF9nO91PjDMACaQBvgQTFxz8AAAAAGAAAAPz8APwAAgAAAAAAAPC/AqJFtvP91NA/AoXrUbgehfm/AAAAACAAAAD8/AD8AAIAAAAAAADwvwImUwWjkjoAwAJdbcX+snvsPwAAAAAYCAAA/PwA/AACAAAAAAAA8L8CU5YhjnVx878ClkOLbOf77b8AAAAAGAAAAPz8APwAAgAAAAAAAPC/AqYsQxzr4ua/Ag0CK4cW2fy/AAAAABgAAAD8/AD8AAIAAAAAAADwvwKLjuTyHxIQwAIRNjy9UpbxPwAAAAAkAAAA/PwA/AACAAAAAAAA8L8C+n5qvHRTEUACy6FFtvP90D8AAAAAJAAAAPz8APwAAgAAAAAAAPC/AifChqdXyhJAAkCk374OnPG/AAAAACQAAAD8/AD8AAIAAAAAAADwvwL0/dR46aYKQAKCBMWPMXf3vwAAAAAYAAAA/PwA/AACAAAAAAAA8L8CDCQofoy5E8ACKVyPwvUo5j8AAAAAGAAAAPz8APwAAgAAAAAAAPC/Aoqw4emVshHAAkMc6+I2GgBAAAAAABgAAAD8/AD8AAIAAAAAAADwvwLbG3xhMtUIwAIOvjCZKhj4PwAAAAABGAQAAWUEAAAAAAAAAAAIFAFlBAAAAAAAAAAADAABZQgMAAAAAAAAABAcAWUEAAAAAAAAAAAUDAFlBAAAAAAAAAAAGAABZQQAAAAAAAAAADgcAWUEEAAAAAAAAAAgKAFlBAAAAAAAAAAAJAQBZQQAAAAAAAAAACgYAWUICAAAAAAAAAAsEAFlBAAAAAAAAAAAMAQBZQQAAAAAAAAAADQQAWUIAAAAAAAAAAA4JAFlBAAAAAAAAAAAPDABZQQAAAAAAAAAAAEQLAFlBAAAAAAAAAAAAREIAWUEAAAAAAAAAAABEggBZQQAAAAAAAAAAAETCAFlBAAAAAAAAAAAARQBEAFlBAAAAAAAAAAAARUBEAFlBAAAAAAAAAAAARYBEAFlBAAAAAAAAAAAFCABZQgMAAAAAAAAADg8AWUEAAAAAAAAAAAAAAAA</t>
        </r>
      </text>
    </comment>
    <comment ref="A566" authorId="0" shapeId="0" xr:uid="{28954C7D-329A-4669-B2A4-112002E3C296}">
      <text>
        <r>
          <rPr>
            <sz val="9"/>
            <color indexed="81"/>
            <rFont val="MS P ゴシック"/>
            <family val="3"/>
            <charset val="128"/>
          </rPr>
          <t>Insight iXlW00001C0000566R0585476093S00001130P01072LAocjBAQBF1NjaVRlZ2ljLmRhdGEuTW9sZWN1bGUBbwF/ARJTY2lUZWdpYy5Nb2xlY3VsZQAAAQFkAv5qAQAAAAIBAjgcAAAA/PwA/AACAAAAAAAA8L8CUyegibBhBsACRkdy+Q/p7z8AAAAAGAwAAPz8APwAAgAAAAAAAPC/AhriWBe30f+/AqXfvg6cM9o/AAAAABgAAAD8/AD8AAIAAAAAAADwvwIa4lgXt9H/vwIukKD4MebivwAAAAAYAAAA/PwA/AACAAAAAAAA8L8CC0YldQKa8L8CJ8KGp1fK7L8AAAAAHAAAAPz8APwAAgAAAAAAAPC/Agkbnl4py9y/AoBIv30dOLe/AAAAABgAAAD8/AD8AAIAAAAAAADwvwILRiV1AprwvwIH8BZIUPzmPwAAAAAYAAAA/PwA/AACAAAAAAAA8L8CfPKwUGua4T8CgEi/fR04t78AAAAAGAAAAPz8APwAAgAAAAAAAPC/Aj55WKg1zfA/AlYwKqkT0Og/AAAAABgAAAD8/AD8AAIAAAAAAADwvwKfPCzUmmYAQAJWMCqpE9DoPwAAAAAcAAAA/PwA/AACAAAAAAAA8L8CZ2ZmZmZmBEACb4EExY8xt78AAAAAGAAAAPz8APwAAgAAAAAAAPC/AmdmZmZmZgBAApOpglFJne6/AAAAABwAAAD8/AD8AAIAAAAAAADwvwI+eVioNc3wPwKTqYJRSZ3uvwAAAAABEQAAAPz8APwAAgAAAAAAAPC/As3MzMzMzApAAkhQ/Bhz13I/AAAAAAERAAAA/PwA/AACAAAAAAAA8L8C9dvXgXOGEUAC+MJkqmBUoj8AAAAANAQAAWUEEAAAAAAAAAAECAFlBAAAAAAAAAAACAwBZQQAAAAAAAAAAAwQAWUEAAAAAAAAAAAQFAFlBAAAAAAAAAAAFAQBZQQAAAAAAAAAABAYAWUEAAAAAAAAAAAYHAFlCAwAAAAAAAAAHCABZQQAAAAAAAAAACAkAWUICAAAAAAAAAAkKAFlBAAAAAAAAAAAKCwBZQgIAAAAAAAAACwYAWUEAAAAAAAAAAAAAAAA</t>
        </r>
      </text>
    </comment>
    <comment ref="A567" authorId="0" shapeId="0" xr:uid="{0947C40C-3439-42A4-9782-681A3919DE94}">
      <text>
        <r>
          <rPr>
            <sz val="9"/>
            <color indexed="81"/>
            <rFont val="MS P ゴシック"/>
            <family val="3"/>
            <charset val="128"/>
          </rPr>
          <t>Insight iXlW00001C0000567R0585476093S00001132P01144LAocjBAQBF1NjaVRlZ2ljLmRhdGEuTW9sZWN1bGUBbwF/ARJTY2lUZWdpYy5Nb2xlY3VsZQAAAQFkAv5qAQAAAAIBAjwYAAAA/PwA/AACAAAAAAAA8L8Cam/whcnUAsACr7Zif9k9+L8AAAAAGAAAAPz8APwAAgAAAAAAAPC/AtPe4AuTqf2/Atqs+lxtxeS/AAAAABgAAAD8/AD8AAIAAAAAAADwvwKlvcEXJlPrvwLarPpcbcXkvwAAAAAYAAAA/PwA/AACAAAAAAAA8L8CSnuDL0ym1r8CpU5AE2HDyz8AAAAAHAAAAPz8APwAAgAAAAAAAPC/AqW9wRcmU+u/AhZqTfOOU/E/AAAAABgAAAD8/AD8AAIAAAAAAADwvwLT3uALk6n9vwIWak3zjlPxPwAAAAAcAAAA/PwA/AACAAAAAAAA8L8Cam/whcnUAsACpU5AE2HDyz8AAAAAHAAAAPz8APwAAgAAAAAAAPC/AltCPujZrOQ/AqVOQBNhw8s/AAAAABgAAAD8/AD8AAIAAAAAAADwvwJ24JwRpb3zPwJgdk8eFmrwPwAAAAAYAAAA/PwA/AACAAAAAAAA8L8CQz7o2ax6AUACqRPQRNjw5j8AAAAAGAgAAPz8APwAAgAAAAAAAPC/AkM+6NmsegFAAq7YX3ZPHtK/AAAAABwAAAD8/AD8AAIAAAAAAADwvwKI9NvXgfMHQALKw0Ktad7rvwAAAAAYAAAA/PwA/AACAAAAAAAA8L8CduCcEaW98z8CbsX+snvy4r8AAAAAAREAAAD8/AD8AAIAAAAAAADwvwLvWkI+6FkOQAKA2T15WKjNvwAAAAABEQAAAPz8APwAAgAAAAAAAPC/AgajkjoBTRNAAkSLbOf7qcm/AAAAADgABAFlBAAAAAAAAAAABAgBZQQAAAAAAAAAAAgMAWUICAAAAAAAAAAMEAFlBAAAAAAAAAAAEBQBZQgIAAAAAAAAABQYAWUEAAAAAAAAAAAYBAFlCAwAAAAAAAAADBwBZQQAAAAAAAAAABwgAWUEAAAAAAAAAAAgJAFlBAAAAAAAAAAAJCgBZQQAAAAAAAAAACgsAWUEEAAAAAAAAAAoMAFlBAAAAAAAAAAAMBwBZQQAAAAAAAAAAAAAAAA=</t>
        </r>
      </text>
    </comment>
    <comment ref="A568" authorId="0" shapeId="0" xr:uid="{8966EEA1-68E7-419D-A03D-97A0C758D7AD}">
      <text>
        <r>
          <rPr>
            <sz val="9"/>
            <color indexed="81"/>
            <rFont val="MS P ゴシック"/>
            <family val="3"/>
            <charset val="128"/>
          </rPr>
          <t>Insight iXlW00001C0000568R0585476093S00001134P01360LAocjBAQBF1NjaVRlZ2ljLmRhdGEuTW9sZWN1bGUBbwF/ARJTY2lUZWdpYy5Nb2xlY3VsZQAAAQFkAv5qAQAAAAIBAgESHAAAAPz8APwAAgAAAAAAAPC/AiUGgZVDCw7AArprCfmgZ9u/AAAAABgMAAD8/AD8AAIAAAAAAADwvwJKDAIrhxYGwALPiNLe4AvhvwAAAAAYAAAA/PwA/AACAAAAAAAA8L8CSgwCK4cWAsACGlHaG3xh9r8AAAAAGAAAAPz8APwAAgAAAAAAAPC/Atnw9EpZhvS/ApM6AU2EDfO/AAAAABwAAAD8/AD8AAIAAAAAAADwvwLRs1n1udryvwLjNhrAWyDJvwAAAAAYAAAA/PwA/AACAAAAAAAA8L8C6wQ0ETa8AMACAwmKH2Puyj8AAAAAGAAAAPz8APwAAgAAAAAAAPC/AjxO0ZFc/tO/Ao/k8h/Sb9M/AAAAABgAAAD8/AD8AAIAAAAAAADwvwJIcvkP6bfhPwLjNhrAWyDJvwAAAAAYAAAA/PwA/AACAAAAAAAA8L8CZRniWBe39j8CyzLEsS5u0z8AAAAAHAAAAPz8APwAAgAAAAAAAPC/AmUZ4lgXt/Y/ArMMcayL2/Q/AAAAABgAAAD8/AD8AAIAAAAAAADwvwJlGeJYF7fhPwKzDHGsi9v8PwAAAAAcAAAA/PwA/AACAAAAAAAA8L8CPE7RkVz+078CswxxrIvb9D8AAAAAGAAAAPz8APwAAgAAAAAAAPC/AtS84xQdSQJAAmyad5yiI8m/AAAAACQAAAD8/AD8AAIAAAAAAADwvwLUvOMUHUkGQALLMsSxLm7lPwAAAAAkAAAA/PwA/AACAAAAAAAA8L8C9GxWfa42CUACm+Ydp+hI5r8AAAAAJAAAAPz8APwAAgAAAAAAAPC/Aqd5xyk6kvw/Ao9TdCSX//C/AAAAAAERAAAA/PwA/AACAAAAAAAA8L8CW9O84xSdD0ACRkdy+Q/pxz8AAAAAAREAAAD8/AD8AAIAAAAAAADwvwI830+Nl+4TQAKBlUOLbOfLPwAAAAABEQQAAWUEEAAAAAAAAAAECAFlBAAAAAAAAAAACAwBZQQAAAAAAAAAAAwQAWUEAAAAAAAAAAAQFAFlBAAAAAAAAAAAFAQBZQQAAAAAAAAAABAYAWUEAAAAAAAAAAAYHAFlBAAAAAAAAAAAHCABZQgIAAAAAAAAACAkAWUEAAAAAAAAAAAkKAFlCAgAAAAAAAAAKCwBZQQAAAAAAAAAACwYAWUIDAAAAAAAAAAgMAFlBAAAAAAAAAAAMDQBZQQAAAAAAAAAADA4AWUEAAAAAAAAAAAwPAFlBAAAAAAAAAAAAAAAAA==</t>
        </r>
      </text>
    </comment>
    <comment ref="A569" authorId="0" shapeId="0" xr:uid="{ABC58F4A-66E3-44C3-9855-89AC1029DC4D}">
      <text>
        <r>
          <rPr>
            <sz val="9"/>
            <color indexed="81"/>
            <rFont val="MS P ゴシック"/>
            <family val="3"/>
            <charset val="128"/>
          </rPr>
          <t>Insight iXlW00001C0000569R0585476093S00001136P01756LAocjBAQBF1NjaVRlZ2ljLmRhdGEuTW9sZWN1bGUBbwF/ARJTY2lUZWdpYy5Nb2xlY3VsZQAAAQFkAv5qAQAAAAIBAgEXGAAAAPz8APwAAgAAAAAAAPC/AiPb+X5qvPM/Au58PzVeurm/AAAAABwAAAD8/AD8AAIAAAAAAADwvwKF61G4HoXXPwKASL99HTjjvwAAAAAYAAAA/PwA/AACAAAAAAAA8L8C9P3UeOmmDkACgEi/fR04478AAAAAGAAAAPz8APwAAgAAAAAAAPC/ArKd76fGywBAAp7vp8ZLN+O/AAAAABgAAAD8/AD8AAIAAAAAAADwvwIDCYofY+4EwAI0orQ3+MK0PwAAAAAYAAAA/PwA/AACAAAAAAAA8L8C001iEFi5B0AC/0P67evAub8AAAAAHAAAAPz8APwAAgAAAAAAAPC/AiPb+X5qvPM/AoG3QILix+w/AAAAABwAAAD8/AD8AAIAAAAAAADwvwIFxY8xd60BwALCFyZTBaPqvwAAAAAcAAAA/PwA/AACAAAAAAAA8L8C001iEFi5B0ACgbdAguLH7D8AAAAAGAAAAPz8APwAAgAAAAAAAPC/Aka28/3UeOG/ApF++zpwzsi/AAAAABgAAAD8/AD8AAIAAAAAAADwvwKyne+nxssAQALAWyBB8WP2PwAAAAAgAAAA/PwA/AACAAAAAAAA8L8CF9nO91PjDMACaQBvgQTFxz8AAAAAGAAAAPz8APwAAgAAAAAAAPC/AqJFtvP91NA/AoXrUbgehfm/AAAAACAAAAD8/AD8AAIAAAAAAADwvwImUwWjkjoAwAJdbcX+snvsPwAAAAAYDAAA/PwA/AACAAAAAAAA8L8CU5YhjnVx878ClkOLbOf77b8AAAAAGAAAAPz8APwAAgAAAAAAAPC/AqYsQxzr4ua/Ag0CK4cW2fy/AAAAABgAAAD8/AD8AAIAAAAAAADwvwKLjuTyHxIQwAIRNjy9UpbxPwAAAAAkAAAA/PwA/AACAAAAAAAA8L8C+n5qvHRTEUACy6FFtvP90D8AAAAAJAAAAPz8APwAAgAAAAAAAPC/AifChqdXyhJAAkCk374OnPG/AAAAACQAAAD8/AD8AAIAAAAAAADwvwL0/dR46aYKQAKCBMWPMXf3vwAAAAAYAAAA/PwA/AACAAAAAAAA8L8CDCQofoy5E8ACKVyPwvUo5j8AAAAAGAAAAPz8APwAAgAAAAAAAPC/Aoqw4emVshHAAkMc6+I2GgBAAAAAABgAAAD8/AD8AAIAAAAAAADwvwLbG3xhMtUIwAIOvjCZKhj4PwAAAAABGAQAAWUEAAAAAAAAAAAIFAFlBAAAAAAAAAAADAABZQgMAAAAAAAAABAcAWUEAAAAAAAAAAAUDAFlBAAAAAAAAAAAGAABZQQAAAAAAAAAADgcAWUEFAAAAAAAAAAgKAFlBAAAAAAAAAAAJAQBZQQAAAAAAAAAACgYAWUICAAAAAAAAAAsEAFlBAAAAAAAAAAAMAQBZQQAAAAAAAAAADQQAWUIAAAAAAAAAAA4JAFlBAAAAAAAAAAAPDABZQQAAAAAAAAAAAEQLAFlBAAAAAAAAAAAAREIAWUEAAAAAAAAAAABEggBZQQAAAAAAAAAAAETCAFlBAAAAAAAAAAAARQBEAFlBAAAAAAAAAAAARUBEAFlBAAAAAAAAAAAARYBEAFlBAAAAAAAAAAAFCABZQgMAAAAAAAAADg8AWUEAAAAAAAAAAAAAAAA</t>
        </r>
      </text>
    </comment>
    <comment ref="A570" authorId="0" shapeId="0" xr:uid="{784D278B-C93A-48DC-BE7C-452052152CA2}">
      <text>
        <r>
          <rPr>
            <sz val="9"/>
            <color indexed="81"/>
            <rFont val="MS P ゴシック"/>
            <family val="3"/>
            <charset val="128"/>
          </rPr>
          <t>Insight iXlW00001C0000570R0585476093S00001138P01360LAocjBAQBF1NjaVRlZ2ljLmRhdGEuTW9sZWN1bGUBbwF/ARJTY2lUZWdpYy5Nb2xlY3VsZQAAAQFkAv5qAQAAAAIBAgESHAAAAPz8APwAAgAAAAAAAPC/AiUGgZVDCw7AArprCfmgZ9u/AAAAABgIAAD8/AD8AAIAAAAAAADwvwJKDAIrhxYGwALPiNLe4AvhvwAAAAAYAAAA/PwA/AACAAAAAAAA8L8CSgwCK4cWAsACGlHaG3xh9r8AAAAAGAAAAPz8APwAAgAAAAAAAPC/Atnw9EpZhvS/ApM6AU2EDfO/AAAAABwAAAD8/AD8AAIAAAAAAADwvwLRs1n1udryvwLjNhrAWyDJvwAAAAAYAAAA/PwA/AACAAAAAAAA8L8C6wQ0ETa8AMACAwmKH2Puyj8AAAAAGAAAAPz8APwAAgAAAAAAAPC/AjxO0ZFc/tO/Ao/k8h/Sb9M/AAAAABgAAAD8/AD8AAIAAAAAAADwvwJIcvkP6bfhPwLjNhrAWyDJvwAAAAAYAAAA/PwA/AACAAAAAAAA8L8CZRniWBe39j8CyzLEsS5u0z8AAAAAHAAAAPz8APwAAgAAAAAAAPC/AmUZ4lgXt/Y/ArMMcayL2/Q/AAAAABgAAAD8/AD8AAIAAAAAAADwvwJlGeJYF7fhPwKzDHGsi9v8PwAAAAAcAAAA/PwA/AACAAAAAAAA8L8CPE7RkVz+078CswxxrIvb9D8AAAAAGAAAAPz8APwAAgAAAAAAAPC/AtS84xQdSQJAAmyad5yiI8m/AAAAACQAAAD8/AD8AAIAAAAAAADwvwLUvOMUHUkGQALLMsSxLm7lPwAAAAAkAAAA/PwA/AACAAAAAAAA8L8C9GxWfa42CUACm+Ydp+hI5r8AAAAAJAAAAPz8APwAAgAAAAAAAPC/Aqd5xyk6kvw/Ao9TdCSX//C/AAAAAAERAAAA/PwA/AACAAAAAAAA8L8CW9O84xSdD0ACRkdy+Q/pxz8AAAAAAREAAAD8/AD8AAIAAAAAAADwvwI830+Nl+4TQAKBlUOLbOfLPwAAAAABEQQAAWUEFAAAAAAAAAAECAFlBAAAAAAAAAAACAwBZQQAAAAAAAAAAAwQAWUEAAAAAAAAAAAQFAFlBAAAAAAAAAAAFAQBZQQAAAAAAAAAABAYAWUEAAAAAAAAAAAYHAFlBAAAAAAAAAAAHCABZQgIAAAAAAAAACAkAWUEAAAAAAAAAAAkKAFlCAgAAAAAAAAAKCwBZQQAAAAAAAAAACwYAWUIDAAAAAAAAAAgMAFlBAAAAAAAAAAAMDQBZQQAAAAAAAAAADA4AWUEAAAAAAAAAAAwPAFlBAAAAAAAAAAAAAAAAA==</t>
        </r>
      </text>
    </comment>
    <comment ref="A571" authorId="0" shapeId="0" xr:uid="{D11524EC-6794-4308-9717-AFE56ED783CD}">
      <text>
        <r>
          <rPr>
            <sz val="9"/>
            <color indexed="81"/>
            <rFont val="MS P ゴシック"/>
            <family val="3"/>
            <charset val="128"/>
          </rPr>
          <t>Insight iXlW00001C0000571R0585476093S00001140P01216LAocjBAQBF1NjaVRlZ2ljLmRhdGEuTW9sZWN1bGUBbwF/ARJTY2lUZWdpYy5Nb2xlY3VsZQAAAQFkAv5qAQAAAAIAAgEQHAAAAPz8APwAAgAAAAAAAPC/Ai1DHOvitgtAArIubqMBvOk/AAAAABgAAAD8/AD8AAIAAAAAAADwvwItQxzr4rYHQAI3qz5XW7GvvwAAAAAYAAAA/PwA/AACAAAAAAAA8L8CWoY41sVt/z8CN6s+V1uxr78AAAAAGAAAAPz8APwAAgAAAAAAAPC/AlqGONbFbfc/AtDVVuwvu+k/AAAAABgAAAD8/AD8AAIAAAAAAADwvwJmGeJYF7fdPwLQ1VbsL7vpPwAAAAAcAAAA/PwA/AACAAAAAAAA8L8C1zTvOEVHor8CN6s+V1uxr78AAAAAGAAAAPz8APwAAgAAAAAAAPC/AmYZ4lgXt90/AjerPldbse2/AAAAABgAAAD8/AD8AAIAAAAAAADwvwJahjjWxW33PwI3qz5XW7HtvwAAAAAYAAAA/PwA/AACAAAAAAAA8L8Cp3nHKTqS8L8CN6s+V1uxr78AAAAAHAAAAPz8APwAAgAAAAAAAPC/Aqd5xyk6kvi/AjerPldbse2/AAAAABgAAAD8/AD8AAIAAAAAAADwvwLUvOMUHUkEwAI3qz5XW7HtvwAAAAAYAAAA/PwA/AACAAAAAAAA8L8C1LzjFB1JCMACFR3J5T+kr78AAAAAGAAAAPz8APwAAgAAAAAAAPC/AtS84xQdSQTAArIubqMBvOk/AAAAABwAAAD8/AD8AAIAAAAAAADwvwKneccpOpL4vwKyLm6jAbzpPwAAAAABEQAAAPz8APwAAgAAAAAAAPC/AspUwaikDhFAAsfctYR80LO/AAAAAAERAAAA/PwA/AACAAAAAAAA8L8CWMoyxLEuFUACnoAmwoanp78AAAAAPAAEAWUEAAAAAAAAAAAECAFlBAAAAAAAAAAACAwBZQQAAAAAAAAAAAwQAWUEAAAAAAAAAAAQFAFlBAAAAAAAAAAAFBgBZQQAAAAAAAAAABgcAWUEAAAAAAAAAAAcCAFlBAAAAAAAAAAAFCABZQQAAAAAAAAAACAkAWUIDAAAAAAAAAAkKAFlBAAAAAAAAAAAKCwBZQgIAAAAAAAAACwwAWUEAAAAAAAAAAAwNAFlCAgAAAAAAAAANCABZQQAAAAAAAAAAAAAAAA=</t>
        </r>
      </text>
    </comment>
    <comment ref="A572" authorId="0" shapeId="0" xr:uid="{176E99B8-CA7D-4434-B51B-7B69DDCDDE07}">
      <text>
        <r>
          <rPr>
            <sz val="9"/>
            <color indexed="81"/>
            <rFont val="MS P ゴシック"/>
            <family val="3"/>
            <charset val="128"/>
          </rPr>
          <t>Insight iXlW00001C0000572R0585476093S00001142P00876LAocjBAQBF1NjaVRlZ2ljLmRhdGEuTW9sZWN1bGUBbwF/ARJTY2lUZWdpYy5Nb2xlY3VsZQAAAQFkAv5qAQAAAAIAAiwYAAAA/PwA/AACAAAAAAAA8L8CTvOOU3QEJkACOPjCZKowOsAAAAAAGAAAAPz8APwAAgAAAAAAAPC/AqvP1VbsbydAAjC7Jw8LxTnAAAAAABwAAAD8/AD8AAIAAAAAAADwvwKI9NvXgRMnQAK7uI0G8PY4wAAAAAAcAAAA/PwA/AACAAAAAAAA8L8CkKD4MeZuJUACNDMzMzPjOMAAAAAAGAAAAPz8APwAAgAAAAAAAPC/Ag8LtaZ5xyRAAr4wmSoYpTnAAAAAABwAAAD8/AD8AAIAAAAAAADwvwKI9NvXgfMoQALxhclUwRg6wAAAAAAYAAAA/PwA/AACAAAAAAAA8L8C0SLb+X4qKEAC8fRKWYZYOMAAAAAAGAAAAPz8APwAAgAAAAAAAPC/AoDZPXlYyClAAouO5PIfgjjAAAAAACQAAAD8/AD8AAIAAAAAAADwvwJz1xLyQU8qQAInMQisHEo5wAAAAAAkAAAA/PwA/AACAAAAAAAA8L8CO5LLf0jfKkAC+g/pt6/jN8AAAAAAJAAAAPz8APwAAgAAAAAAAPC/AiBj7lpCXitAAg5Pr5RluDjAAAAAACwABAFlCAgAAAAAAAAABAgBZQQAAAAAAAAAAAgMAWUEAAAAAAAAAAAMEAFlCAgAAAAAAAAAEAABZQQAAAAAAAAAAAQUAWUEAAAAAAAAAAAIGAFlBAAAAAAAAAAAGBwBZQQAAAAAAAAAABwgAWUEAAAAAAAAAAAcJAFlBAAAAAAAAAAAHCgBZQQAAAAAAAAAAAAAAAA=</t>
        </r>
      </text>
    </comment>
    <comment ref="A573" authorId="0" shapeId="0" xr:uid="{1AE681D9-1F23-496B-9262-540B22DE3E17}">
      <text>
        <r>
          <rPr>
            <sz val="9"/>
            <color indexed="81"/>
            <rFont val="MS P ゴシック"/>
            <family val="3"/>
            <charset val="128"/>
          </rPr>
          <t>Insight iXlW00001C0000573R0585476093S00001144P00948LAocjBAQBF1NjaVRlZ2ljLmRhdGEuTW9sZWN1bGUBbwF/ARJTY2lUZWdpYy5Nb2xlY3VsZQAAAQFkAv5qAQAAAAIAAjAcAAAA/PwA/AACAAAAAAAA8L8CYxBYObTIxj8CJzEIrBxa2D8AAAAAGAAAAPz8APwAAgAAAAAAAPC/ApoIG55eKd8/AqjGSzeJQeK/AAAAABwAAAD8/AD8AAIAAAAAAADwvwJNhA1Pr5TvPwIH8BZIUPzuPwAAAAAYAAAA/PwA/AACAAAAAAAA8L8CmG4Sg8DK9z8Cih9j7lpC4r8AAAAAGAAAAPz8APwAAgAAAAAAAPC/AgU0ETY8vei/Aqrx0k1iEOY/AAAAABgAAAD8/AD8AAIAAAAAAADwvwKKH2PuWkL4vwKIhVrTvOOUPwAAAAAYAAAA/PwA/AACAAAAAAAA8L8CI9v5fmq8/D8CJzEIrBxa2D8AAAAAHAAAAPz8APwAAgAAAAAAAPC/AjGZKhiV1Lm/AuBPjZduEva/AAAAACQAAAD8/AD8AAIAAAAAAADwvwKXIY51cRvrvwLFjzF3LSHnvwAAAAAkAAAA/PwA/AACAAAAAAAA8L8CidLe4AsTAsACNKK0N/jC5L8AAAAAJAAAAPz8APwAAgAAAAAAAPC/AiWX/5B+ewHAAjzfT42Xbug/AAAAABgAAAD8/AD8AAIAAAAAAADwvwJh5dAi2/kFQAKq8dJNYhDmPwAAAAAwBAABZQQAAAAAAAAAAAgAAWUEAAAAAAAAAAAMBAFlCAgAAAAAAAAAEAABZQQAAAAAAAAAABQQAWUEAAAAAAAAAAAYCAFlCAwAAAAAAAAAHAQBZQQAAAAAAAAAACAUAWUEAAAAAAAAAAAkFAFlBAAAAAAAAAAAKBQBZQQAAAAAAAAAACwYAWUEAAAAAAAAAAAYDAFlBAAAAAAAAAAAAAAAAA==</t>
        </r>
      </text>
    </comment>
    <comment ref="A574" authorId="0" shapeId="0" xr:uid="{705178D5-D5A9-44E9-A731-A3BC1D335A70}">
      <text>
        <r>
          <rPr>
            <sz val="9"/>
            <color indexed="81"/>
            <rFont val="MS P ゴシック"/>
            <family val="3"/>
            <charset val="128"/>
          </rPr>
          <t>Insight iXlW00001C0000574R0585476093S00001146P01088LAocjBAQBF1NjaVRlZ2ljLmRhdGEuTW9sZWN1bGUBbwF/ARJTY2lUZWdpYy5Nb2xlY3VsZQAAAQFkAv5qAQAAAAIAAjgcAAAA/PwA/AACAAAAAAAA8L8CO5LLf0i/rT8CzV1LyAc9m78AAAAAGAAAAPz8APwAAgAAAAAAAPC/AvMf0m9fB+i/AoDZPXlYqOO/AAAAABwAAAD8/AD8AAIAAAAAAADwvwI7kst/SL/rPwKA2T15WKjjvwAAAAAYAAAA/PwA/AACAAAAAAAA8L8CuY0G8BZI3L8Cz4jS3uAL+b8AAAAAGAAAAPz8APwAAgAAAAAAAPC/AjuSy39Iv60/AhKlvcEXJu8/AAAAABgAAAD8/AD8AAIAAAAAAADwvwKneccpOpLtPwKJ0t7gC5P3PwAAAAAYAAAA/PwA/AACAAAAAAAA8L8CCawcWmQ7+78CDk+vlGWI078AAAAAGAAAAPz8APwAAgAAAAAAAPC/AiS5/If02+E/As+I0t7gC/m/AAAAACAAAAD8/AD8AAIAAAAAAADwvwLImLuWkI8DwAIFxY8xdy3vvwAAAAAkAAAA/PwA/AACAAAAAAAA8L8CTvOOU3Qk2z8CZRniWBe3AkAAAAAAJAAAAPz8APwAAgAAAAAAAPC/AhUdyeU/pPw/AonS3uALk/8/AAAAACQAAAD8/AD8AAIAAAAAAADwvwLUvOMUHcn2PwKP5PIf0m/jPwAAAAAgAAAA/PwA/AACAAAAAAAA8L8CrmnecYqO/r8CDk+vlGWI5T8AAAAAGAAAAPz8APwAAgAAAAAAAPC/AkzIBz2bVfI/Aq36XG3F/gLAAAAAADgEAAFlBAAAAAAAAAAACAABZQQAAAAAAAAAAAwEAWUICAAAAAAAAAAQAAFlBAAAAAAAAAAAFBABZQQAAAAAAAAAABgEAWUEAAAAAAAAAAAcCAFlCAwAAAAAAAAAIBgBZQgAAAAAAAAAACQUAWUEAAAAAAAAAAAoFAFlBAAAAAAAAAAALBQBZQQAAAAAAAAAADAYAWUEAAAAAAAAAAA0HAFlBAAAAAAAAAAADBwBZQQAAAAAAAAAAAAAAAA=</t>
        </r>
      </text>
    </comment>
    <comment ref="A575" authorId="0" shapeId="0" xr:uid="{448A7C18-DB86-4669-8832-279FFC631C38}">
      <text>
        <r>
          <rPr>
            <sz val="9"/>
            <color indexed="81"/>
            <rFont val="MS P ゴシック"/>
            <family val="3"/>
            <charset val="128"/>
          </rPr>
          <t>Insight iXlW00001C0000575R0585476093S00001148P01324LAocjBAQBF1NjaVRlZ2ljLmRhdGEuTW9sZWN1bGUBbwF/ARJTY2lUZWdpYy5Nb2xlY3VsZQAAAQFkAv5qAQAAAAIAAgERHAAAAPz8APwAAgAAAAAAAPC/AhIUP8bctew/AmaIY13cRtc/AAAAABwAAAD8/AD8AAIAAAAAAADwvwKWsgxxrIurvwJKnYAmwoblPwAAAAAYAAAA/PwA/AACAAAAAAAA8L8CuECC4seYq78C5BQdyeU/7r8AAAAAGAAAAPz8APwAAgAAAAAAAPC/AhIUP8bctew/As07TtGRXOS/AAAAABgAAAD8/AD8AAIAAAAAAADwvwKdoiO5/IfkvwI17zhFR3LBvwAAAAAYAAAA/PwA/AACAAAAAAAA8L8ClfYGX5hM+z8CppvEILBy7j8AAAAAGAAAAPz8APwAAgAAAAAAAPC/AkymCkYl9QRAAssyxLEubuE/AAAAABgAAAD8/AD8AAIAAAAAAADwvwJP0ZFc/kP6vwI17zhFR3LBvwAAAAAcAAAA/PwA/AACAAAAAAAA8L8CBqOSOgFN+z8CL90kBoGV878AAAAAJAAAAPz8APwAAgAAAAAAAPC/AkvqBDQRNghAAtsbfGEyVfc/AAAAACQAAAD8/AD8AAIAAAAAAADwvwKHp1fKMkQMQAJEi2zn+6nBPwAAAAAkAAAA/PwA/AACAAAAAAAA8L8CTmIQWDm0AUACfPKwUGua178AAAAAGAAAAPz8APwAAgAAAAAAAPC/AqfoSC7/IQHAAraEfNCzWec/AAAAABgAAAD8/AD8AAIAAAAAAADwvwKn6Egu/yEBwAIofoy5awnwvwAAAAAYAAAA/PwA/AACAAAAAAAA8L8Cp+hILv8hCcACKH6MuWsJ8L8AAAAAGAAAAPz8APwAAgAAAAAAAPC/AqfoSC7/IQnAAraEfNCzWec/AAAAABgAAAD8/AD8AAIAAAAAAADwvwKo6Egu/yENwAI17zhFR3LBvwAAAAABEgQAAWUEAAAAAAAAAAAIDAFlCAgAAAAAAAAADAABZQQAAAAAAAAAABAEAWUIDAAAAAAAAAAUAAFlBAAAAAAAAAAAGBQBZQQAAAAAAAAAABwQAWUEAAAAAAAAAAAgDAFlBAAAAAAAAAAAJBgBZQQAAAAAAAAAACgYAWUEAAAAAAAAAAAsGAFlBAAAAAAAAAAAMBwBZQQAAAAAAAAAADQcAWUIDAAAAAAAAAA4NAFlBAAAAAAAAAAAPDABZQgIAAAAAAAAAAEQOAFlCAgAAAAAAAAAEAgBZQQAAAAAAAAAADwBEAFlBAAAAAAAAAAAAAAAAA==</t>
        </r>
      </text>
    </comment>
    <comment ref="A576" authorId="0" shapeId="0" xr:uid="{E3D3363C-78BC-4A14-80C8-8592AA4BC7FF}">
      <text>
        <r>
          <rPr>
            <sz val="9"/>
            <color indexed="81"/>
            <rFont val="MS P ゴシック"/>
            <family val="3"/>
            <charset val="128"/>
          </rPr>
          <t>Insight iXlW00001C0000576R0585476093S00001150P01320LAocjBAQBF1NjaVRlZ2ljLmRhdGEuTW9sZWN1bGUBbwF/ARJTY2lUZWdpYy5Nb2xlY3VsZQAAAQFkAv5qAQAAAAIAAgERGAAAAPz8APwAAgAAAAAAAPC/AnDOiNLeYAJAAhsv3SQGgdG/AAAAABwAAAD8/AD8AAIAAAAAAADwvwITg8DKoUXoPwLLoUW28/3MPwAAAAAcAAAA/PwA/AACAAAAAAAA8L8C0gDeAgmK9T8CxSCwcmiR8D8AAAAAGAAAAPz8APwAAgAAAAAAAPC/AtIA3gIJivU/AqRwPQrXo+K/AAAAABwAAAD8/AD8AAIAAAAAAADwvwI830+Nl+4BwALLoUW28/3MPwAAAAAYAAAA/PwA/AACAAAAAAAA8L8CtoR80LPZCEACAW+BBMWP678AAAAAGAAAAPz8APwAAgAAAAAAAPC/AnDOiNLeYAJAAnNoke18P+c/AAAAABgAAAD8/AD8AAIAAAAAAADwvwI830+Nl+4JwALLoUW28/3MPwAAAAAYAAAA/PwA/AACAAAAAAAA8L8Ct/P91Hjpzr8Cy6FFtvP9zD8AAAAAGAAAAPz8APwAAgAAAAAAAPC/Au58PzVeuue/AnsUrkfhevE/AAAAABgAAAD8/AD8AAIAAAAAAADwvwLufD81XrrnvwIRWDm0yHbkvwAAAAAYAAAA/PwA/AACAAAAAAAA8L8Cd76fGi/d+78CEVg5tMh25L8AAAAAGAAAAPz8APwAAgAAAAAAAPC/Ane+nxov3fu/AnsUrkfhevE/AAAAACAAAAD8/AD8AAIAAAAAAADwvwL4wmSqYBQQQAJKDAIrhxbdvwAAAAAgAAAA/PwA/AACAAAAAAAA8L8CPN9PjZfuDcAC7MA5I0p78T8AAAAAIAAAAPz8APwAAgAAAAAAAPC/AvoP6bevAwhAAjerPldbsf2/AAAAABgAAAD8/AD8AAIAAAAAAADwvwI830+Nl+4NwAIRWDm0yHbkvwAAAAABEgQMAWUEAAAAAAAAAAAIGAFlCAgAAAAAAAAADAABZQgMAAAAAAAAABAsAWUEAAAAAAAAAAAUAAFlBAAAAAAAAAAAGAABZQQAAAAAAAAAABwQAWUEAAAAAAAAAAAgBAFlBAAAAAAAAAAAJCABZQQAAAAAAAAAACggAWUEAAAAAAAAAAAsKAFlBAAAAAAAAAAAMCQBZQQAAAAAAAAAADQUAWUIAAAAAAAAAAA4HAFlCAAAAAAAAAAAPBQBZQQAAAAAAAAAAAEQHAFlBAAAAAAAAAAABAgBZQQAAAAAAAAAADAQAWUEAAAAAAAAAAAAAAAA</t>
        </r>
      </text>
    </comment>
    <comment ref="A577" authorId="0" shapeId="0" xr:uid="{D8B31379-4465-4FEB-8191-1496F0FF106A}">
      <text>
        <r>
          <rPr>
            <sz val="9"/>
            <color indexed="81"/>
            <rFont val="MS P ゴシック"/>
            <family val="3"/>
            <charset val="128"/>
          </rPr>
          <t>Insight iXlW00001C0000577R0585476093S00001152P00980LAocjBAQBF1NjaVRlZ2ljLmRhdGEuTW9sZWN1bGUBbwF/ARJTY2lUZWdpYy5Nb2xlY3VsZQAAAQFkAv5qAQAAAAIAAjQcAAAA/PwA/AACAAAAAAAA8L8C1zTvOEVHsr8AAAAAABgAAAD8/AD8AAIAAAAAAADwvwLarPpcbcX3vwAAAAAAGAAAAPz8APwAAgAAAAAAAPC/AmYZ4lgXt+0/AAAAAAAYAAAA/PwA/AACAAAAAAAA8L8Ct/P91Hjp6L8CHA3gLZCg5j8AAAAAGAAAAPz8APwAAgAAAAAAAPC/AplMFYxK6ui/AhwN4C2QoOa/AAAAABgAAAD8/AD8AAIAAAAAAADwvwJtVn2utuIDwAAAAAAAHAAAAPz8APwAAgAAAAAAAPC/AkJg5dAi2/Y/AoPAyqFFtuu/AAAAABwAAAD8/AD8AAIAAAAAAADwvwIhsHJokW0HQAAAAAAAGAAAAPz8APwAAgAAAAAAAPC/ArMMcayL2/Y/AoPAyqFFtus/AAAAACAAAAD8/AD8AAIAAAAAAADwvwJtVn2utuIHwAKDwMqhRbbrvwAAAAAYAAAA/PwA/AACAAAAAAAA8L8CIbByaJFtA0ACg8DKoUW2678AAAAAIAAAAPz8APwAAgAAAAAAAPC/Am1Wfa624gfAAoPAyqFFtus/AAAAABgAAAD8/AD8AAIAAAAAAADwvwIhsHJokW0DQAKDwMqhRbbrPwAAAAA4BBABZQQAAAAAAAAAAAgAAWUEAAAAAAAAAAAMAAFlBAAAAAAAAAAAEAABZQQAAAAAAAAAABQEAWUEAAAAAAAAAAAYCAFlBAAAAAAAAAAAHDABZQgIAAAAAAAAACAIAWUIDAAAAAAAAAAkFAFlCAAAAAAAAAAAKBgBZQgIAAAAAAAAACwUAWUEAAAAAAAAAAAwIAFlBAAAAAAAAAAABAwBZQQAAAAAAAAAACgcAWUEAAAAAAAAAAAAAAAA</t>
        </r>
      </text>
    </comment>
    <comment ref="A578" authorId="0" shapeId="0" xr:uid="{2758B4F3-B3A0-45DB-8F83-A97ACAF2AE95}">
      <text>
        <r>
          <rPr>
            <sz val="9"/>
            <color indexed="81"/>
            <rFont val="MS P ゴシック"/>
            <family val="3"/>
            <charset val="128"/>
          </rPr>
          <t>Insight iXlW00001C0000578R0585476093S00001154P00876LAocjBAQBF1NjaVRlZ2ljLmRhdGEuTW9sZWN1bGUBbwF/ARJTY2lUZWdpYy5Nb2xlY3VsZQAAAQFkAv5qAQAAAAIAAiwcAAAA/PwA/AACAAAAAAAA8L8Ce6UsQxzr878C6Pup8dJN8L8AAAAAGAAAAPz8APwAAgAAAAAAAPC/At1GA3gLJPG/At/gC5OpgqG/AAAAABgAAAD8/AD8AAIAAAAAAADwvwJ7pSxDHOvzvwKze/KwUGvuPwAAAAAYAAAA/PwA/AACAAAAAAAA8L8CSgwCK4cWAMAC+1xtxf6y0z8AAAAAGAAAAPz8APwAAgAAAAAAAPC/AsZtNIC3QLK/At/gC5OpgqG/AAAAABwAAAD8/AD8AAIAAAAAAADwvwKP5PIf0m/bPwJ2ApoIG57qPwAAAAAYAAAA/PwA/AACAAAAAAAA8L8CJLn8h/Tb9j8CdgKaCBue6j8AAAAAGAAAAPz8APwAAgAAAAAAAPC/AiS5/If02/4/At/gC5OpgqG/AAAAABgAAAD8/AD8AAIAAAAAAADwvwIkufyH9Nv2PwKRfvs6cM7svwAAAAAcAAAA/PwA/AACAAAAAAAA8L8Cj+TyH9Jv2z8CkX77OnDO7L8AAAAAAREAAAD8/AD8AAIAAAAAAADwvwL5wmSqYNQFQALf4AuTqYKhvwAAAAAsAAQBZQQAAAAAAAAAAAQIAWUEAAAAAAAAAAAIDAFlBAAAAAAAAAAADAQBZQQAAAAAAAAAAAQQAWUEAAAAAAAAAAAQFAFlCAwAAAAAAAAAFBgBZQQAAAAAAAAAABgcAWUICAAAAAAAAAAcIAFlBAAAAAAAAAAAICQBZQgIAAAAAAAAACQQAWUEAAAAAAAAAAAAAAAA</t>
        </r>
      </text>
    </comment>
    <comment ref="A579" authorId="0" shapeId="0" xr:uid="{8879F56F-EF68-4315-9099-42622475990A}">
      <text>
        <r>
          <rPr>
            <sz val="9"/>
            <color indexed="81"/>
            <rFont val="MS P ゴシック"/>
            <family val="3"/>
            <charset val="128"/>
          </rPr>
          <t>Insight iXlW00001C0000579R0585476093S00001156P00964LAocjBAQBF1NjaVRlZ2ljLmRhdGEuTW9sZWN1bGUBbwF/ARJTY2lUZWdpYy5Nb2xlY3VsZQAAAQFkAv5qAQAAAAIAAjAYAAAA/PwA/AACAAAAAAAA8L8Cc2iR7Xw/+L8CtoR80LNZpb8AAAAAHAAAAPz8APwAAgAAAAAAAPC/AnNoke18P/i/Aibkg57NqvC/AAAAABwAAAD8/AD8AAIAAAAAAADwvwKUGARWDi3/PwK1N/jCZKruPwAAAAAYAAAA/PwA/AACAAAAAAAA8L8Cg8DKoUW2yz8CtoR80LNZpb8AAAAAIAAAAPz8APwAAgAAAAAAAPC/AlpkO99PDQPAAmpv8IXJVN0/AAAAABgAAAD8/AD8AAIAAAAAAADwvwJjEFg5tMjkvwJqb/CFyVTdPwAAAAAYAAAA/PwA/AACAAAAAAAA8L8CYxBYObTI5L8CJuSDns2q+L8AAAAAGAAAAPz8APwAAgAAAAAAAPC/AoPAyqFFtss/Aibkg57NqvC/AAAAABgAAAD8/AD8AAIAAAAAAADwvwJSuB6F61HxPwLbG3xhMlX3PwAAAAAYAAAA/PwA/AACAAAAAAAA8L8ClBgEVg4t/z8CtoR80LNZpb8AAAAAGAAAAPz8APwAAgAAAAAAAPC/AoPAyqFFtss/ArU3+MJkqu4/AAAAABgAAAD8/AD8AAIAAAAAAADwvwJSuB6F61HxPwJqb/CFyVThvwAAAAA0BAABZQQAAAAAAAAAAAgkAWUEAAAAAAAAAAAMFAFlBAAAAAAAAAAAEAABZQgAAAAAAAAAABQAAWUEAAAAAAAAAAAYBAFlBAAAAAAAAAAAHAwBZQQAAAAAAAAAACAoAWUEAAAAAAAAAAAkLAFlBAAAAAAAAAAAKAwBZQQAAAAAAAAAACwMAWUEAAAAAAAAAAAcGAFlBAAAAAAAAAAACCABZQQAAAAAAAAAAAAAAAA=</t>
        </r>
      </text>
    </comment>
    <comment ref="A580" authorId="0" shapeId="0" xr:uid="{BB2A4EEC-53EB-4450-BCA6-E0B8D9F9F0B8}">
      <text>
        <r>
          <rPr>
            <sz val="9"/>
            <color indexed="81"/>
            <rFont val="MS P ゴシック"/>
            <family val="3"/>
            <charset val="128"/>
          </rPr>
          <t>Insight iXlW00001C0000580R0585476093S00001158P01124LAocjBAQBF1NjaVRlZ2ljLmRhdGEuTW9sZWN1bGUBbwF/ARJTY2lUZWdpYy5Nb2xlY3VsZQAAAQFkAv5qAQAAAAIAAjggAAAA/PwA/AACAAAAAAAA8L8Cx0s3iUFgzT8CqFfKMsSx+b8AAAAAGAAAAPz8APwAAgAAAAAAAPC/AgdfmEwVjOK/AqXfvg6cM8q/AAAAABgAAAD8/AD8AAIAAAAAAADwvwIbL90kBoHZPwItQxzr4jZqPwAAAAAYAAAA/PwA/AACAAAAAAAA8L8CjpduEoPA7D8CQKTfvg6c678AAAAAGAAAAPz8APwAAgAAAAAAAPC/Avkx5q4l5OW/Ahx8YTJVMPO/AAAAABwAAAD8/AD8AAIAAAAAAADwvwK7SQwCK4cAwAKJQWDl0CLyPwAAAAAYAAAA/PwA/AACAAAAAAAA8L8CescpOpLL178CrD5XW7G/6D8AAAAAGAAAAPz8APwAAgAAAAAAAPC/AiIf9GxWffi/AuLplbIMceC/AAAAABgAAAD8/AD8AAIAAAAAAADwvwKOl24Sg8DsPwLH3LWEfNDrPwAAAAAYAAAA/PwA/AACAAAAAAAA8L8CjSjtDb4wAsACcM6I0t7gwz8AAAAAGAAAAPz8APwAAgAAAAAAAPC/Amb35GGh1vG/AhWuR+F6FPc/AAAAABgAAAD8/AD8AAIAAAAAAADwvwLHSzeJQWD+PwJApN++DpzrvwAAAAAYAAAA/PwA/AACAAAAAAAA8L8Cx0s3iUFg/j8Cx9y1hHzQ6z8AAAAAGAAAAPz8APwAAgAAAAAAAPC/AuSlm8QgMANAAi1DHOviNmo/AAAAAAEQBBABZQQAAAAAAAAAAAgMAWUEAAAAAAAAAAAMAAFlBAAAAAAAAAAAEAABZQQAAAAAAAAAABQkAWUEAAAAAAAAAAAYBAFlBAAAAAAAAAAAHAQBZQQAAAAAAAAAACAIAWUICAAAAAAAAAAkHAFlBAAAAAAAAAAAKBgBZQQAAAAAAAAAACwMAWUICAAAAAAAAAAwNAFlCAgAAAAAAAAANCwBZQQAAAAAAAAAAAQIAWUEAAAAAAAAAAAoFAFlBAAAAAAAAAAAIDABZQQAAAAAAAAAAAAAAAA=</t>
        </r>
      </text>
    </comment>
    <comment ref="A581" authorId="0" shapeId="0" xr:uid="{837ACC31-AE59-4F9A-9F78-4F80D3FB6EE4}">
      <text>
        <r>
          <rPr>
            <sz val="9"/>
            <color indexed="81"/>
            <rFont val="MS P ゴシック"/>
            <family val="3"/>
            <charset val="128"/>
          </rPr>
          <t>Insight iXlW00001C0000581R0585476093S00001160P01268LAocjBAQBF1NjaVRlZ2ljLmRhdGEuTW9sZWN1bGUBbwF/ARJTY2lUZWdpYy5Nb2xlY3VsZQAAAQFkAv5qAQAAAAIAAgEQHAAAAPz8APwAAgAAAAAAAPC/AtnO91PjpeO/AsWxLm6jAbw/AAAAABgAAAD8/AD8AAIAAAAAAADwvwKjI7n8h/SrPwIjSnuDL0zkvwAAAAAcAAAA/PwA/AACAAAAAAAA8L8CchsN4C2Q3L8CAAAAAAAA+L8AAAAAGAAAAPz8APwAAgAAAAAAAPC/AjXvOEVHcvi/AmHl0CLb+dK/AAAAABwAAAD8/AD8AAIAAAAAAADwvwJFaW/whcn2vwLxhclUwaj0vwAAAAAcAAAA/PwA/AACAAAAAAAA8L8Ci47k8h9SA8ACH4XrUbgexT8AAAAAGAAAAPz8APwAAgAAAAAAAPC/AkVpb/CFyfA/AkM+6Nms+uC/AAAAABwAAAD8/AD8AAIAAAAAAADwvwLKVMGopE4IQALG/rJ78rDUvwAAAAAYAAAA/PwA/AACAAAAAAAA8L8CTvOOU3Qk178Cl/+Qfvs68T8AAAAAGAAAAPz8APwAAgAAAAAAAPC/AiS5/If02wTAAp/Nqs/VVvI/AAAAABgAAAD8/AD8AAIAAAAAAADwvwJ5eqUsQ5wDQAI9LNSa5h3fPwAAAAAYAAAA/PwA/AACAAAAAAAA8L8CB1+YTBUMBUAC8mPMXUvI878AAAAAGAAAAPz8APwAAgAAAAAAAPC/AspUwaikTvc/AnsUrkfhetg/AAAAABgAAAD8/AD8AAIAAAAAAADwvwLnHafoSC76PwLi6ZWyDHH1vwAAAAAYAAAA/PwA/AACAAAAAAAA8L8C54wo7Q2+7r8C7S+7Jw8L/j8AAAAAGAAAAPz8APwAAgAAAAAAAPC/Aj/o2az6XP+/An/7OnDOiP4/AAAAAAESBAABZQQAAAAAAAAAAAgEAWUICAAAAAAAAAAMAAFlBAAAAAAAAAAAEAwBZQgIAAAAAAAAABQMAWUEAAAAAAAAAAAYBAFlBAAAAAAAAAAAHCwBZQQAAAAAAAAAACAAAWUEAAAAAAAAAAAkFAFlBAAAAAAAAAAAKDABZQQAAAAAAAAAACw0AWUICAAAAAAAAAAwGAFlCAwAAAAAAAAANBgBZQQAAAAAAAAAADggAWUEAAAAAAAAAAA8OAFlBAAAAAAAAAAACBABZQQAAAAAAAAAACQ8AWUEAAAAAAAAAAAoHAFlCAgAAAAAAAAAAAAAAA==</t>
        </r>
      </text>
    </comment>
    <comment ref="A582" authorId="0" shapeId="0" xr:uid="{412B7C18-AC7B-44DD-9657-D8C325041C9A}">
      <text>
        <r>
          <rPr>
            <sz val="9"/>
            <color indexed="81"/>
            <rFont val="MS P ゴシック"/>
            <family val="3"/>
            <charset val="128"/>
          </rPr>
          <t>Insight iXlW00001C0000582R0585476093S00001162P01776LAocjBAQBF1NjaVRlZ2ljLmRhdGEuTW9sZWN1bGUBbwF/ARJTY2lUZWdpYy5Nb2xlY3VsZQAAAQFkAv5qAQAAAAIAAgEXGAAAAPz8APwAAgAAAAAAAPC/Au/Jw0Kt6QHAAne+nxov3dA/AAAAABgAAAD8/AD8AAIAAAAAAADwvwKyv+yePCz0PwJR/Bhz1xLyPwAAAAAcAAAA/PwA/AACAAAAAAAA8L8C2V92Tx4WAkACUfwYc9cS8j8AAAAAGAAAAPz8APwAAgAAAAAAAPC/AkXY8PRKWeg/AjtwzojS3tA/AAAAABwAAAD8/AD8AAIAAAAAAADwvwLek4eFWtPzvwJ3vp8aL93QPwAAAAAYAAAA/PwA/AACAAAAAAAA8L8CEjY8vVIWBkACO3DOiNLe0D8AAAAAIAAAAPz8APwAAgAAAAAAAPC/Au/Jw0Kt6QXAAkjhehSuR+O/AAAAABgAAAD8/AD8AAIAAAAAAADwvwIjbHh6pSz0PwJmiGNd3EbjvwAAAAAYAAAA/PwA/AACAAAAAAAA8L8CETY8vVIWAkACZohjXdxG478AAAAAIAAAAPz8APwAAgAAAAAAAPC/AiigibDh6QXAAt9PjZduEvI/AAAAACAAAAD8/AD8AAIAAAAAAADwvwJjf9k9eVjoPwKSXP5D+u3/PwAAAAAYAAAA/PwA/AACAAAAAAAA8L8CvCcPC7Wm578CZohjXdxG478AAAAAGAAAAPz8APwAAgAAAAAAAPC/Ap6AJsKGp+e/AlH8GHPXEvI/AAAAABgAAAD8/AD8AAIAAAAAAADwvwKKsOHplbLQPwJmiGNd3EbjvwAAAAAYAAAA/PwA/AACAAAAAAAA8L8Cxv6ye/Kw0D8CUfwYc9cS8j8AAAAAGAAAAPz8APwAAgAAAAAAAPC/Au/Jw0Kt6Q3AAkjhehSuR+O/AAAAABgAAAD8/AD8AAIAAAAAAADwvwLZX3ZPHhYOQAI7cM6I0t7QPwAAAAAYAAAA/PwA/AACAAAAAAAA8L8CEjY8vVIWBkACdSSX/5B+978AAAAAGAAAAPz8APwAAgAAAAAAAPC/Au/Jw0Kt6Q3AAqRwPQrXo/m/AAAAABgAAAD8/AD8AAIAAAAAAADwvwL45GGh1vQSwAIqOpLLf0jjvwAAAAAYAAAA/PwA/AACAAAAAAAA8L8C78nDQq3pDcACcT0K16Nw2T8AAAAAGAAAAPz8APwAAgAAAAAAAPC/Au0vuycPCxFAAmaIY13cRuO/AAAAABgAAAD8/AD8AAIAAAAAAADwvwISNjy9UhYOQAJ1JJf/kH73vwAAAAABGQQMAWUEAAAAAAAAAAAIBAFlBAAAAAAAAAAADDgBZQQAAAAAAAAAABAAAWUEAAAAAAAAAAAUIAFlBAAAAAAAAAAAGAABZQQAAAAAAAAAABwMAWUEAAAAAAAAAAAgHAFlBAAAAAAAAAAAJAABZQgAAAAAAAAAACgEAWUIAAAAAAAAAAAsEAFlBAAAAAAAAAAAMBABZQQAAAAAAAAAADQsAWUEAAAAAAAAAAA4MAFlBAAAAAAAAAAAPBgBZQQAAAAAAAAAAAEQFAFlCAgAAAAAAAAAAREgAWUICAAAAAAAAAABEjwBZQQAAAAAAAAAAAETPAFlBAAAAAAAAAAAARQ8AWUEAAAAAAAAAAABFQEWAWUICAAAAAAAAAABFgERAWUEAAAAAAAAAAA0DAFlBAAAAAAAAAAAFAgBZQQAAAAAAAAAAAEVARABZQQAAAAAAAAAAAAAAAA=</t>
        </r>
      </text>
    </comment>
    <comment ref="A583" authorId="0" shapeId="0" xr:uid="{72DEE59F-3244-43A8-B38C-2D74702C54CC}">
      <text>
        <r>
          <rPr>
            <sz val="9"/>
            <color indexed="81"/>
            <rFont val="MS P ゴシック"/>
            <family val="3"/>
            <charset val="128"/>
          </rPr>
          <t>Insight iXlW00001C0000583R0585476093S00001164P01320LAocjBAQBF1NjaVRlZ2ljLmRhdGEuTW9sZWN1bGUBbwF/ARJTY2lUZWdpYy5Nb2xlY3VsZQAAAQFkAv5qAQAAAAIAAgERIAAAAPz8APwAAgAAAAAAAPC/Asx/SL99Hfm/AsgpOpLLf/Q/AAAAABgAAAD8/AD8AAIAAAAAAADwvwIUP8bctYTmvwKPU3Qkl//oPwAAAAAcAAAA/PwA/AACAAAAAAAA8L8CRWlv8IXJxD8CyCk6kst/9D8AAAAAGAAAAPz8APwAAgAAAAAAAPC/AmpN845TdPA/AnGsi9toAOk/AAAAABgAAAD8/AD8AAIAAAAAAADwvwKsrdhfdk/+PwI51sVtNID0PwAAAAAYAAAA/PwA/AACAAAAAAAA8L8C9wZfmEwVBkACcayL22gA6T8AAAAAGAAAAPz8APwAAgAAAAAAAPC/AvcGX5hMFQZAAjxO0ZFc/su/AAAAABgAAAD8/AD8AAIAAAAAAADwvwKsrdhfdk/+PwKPU3Qkl//mvwAAAAAYAAAA/PwA/AACAAAAAAAA8L8Cak3zjlN08D8CPE7RkVz+y78AAAAAGAAAAPz8APwAAgAAAAAAAPC/AkVpb/CFycQ/Ao9TdCSX/+a/AAAAABgAAAD8/AD8AAIAAAAAAADwvwIy5q4l5IPmvwLFsS5uowHMvwAAAAAYAAAA/PwA/AACAAAAAAAA8L8CMuauJeSD5r8CyCk6kst/878AAAAAGAAAAPz8APwAAgAAAAAAAPC/AlvTvOMUHfm/AjnWxW00gPu/AAAAABwAAAD8/AD8AAIAAAAAAADwvwIH8BZIUHwDwAI51sVtNIDzvwAAAAAYAAAA/PwA/AACAAAAAAAA8L8CB/AWSFB8A8ACxbEubqMBzL8AAAAAGAAAAPz8APwAAgAAAAAAAPC/Asx/SL99Hfm/Ah6n6Egu/9E/AAAAAAERAAAA/PwA/AACAAAAAAAA8L8CXW3F/rJ7DEACxbEubqMBzL8AAAAAARIABAFlCAAAAAAAAAAABAgBZQQAAAAAAAAAAAgMAWUEAAAAAAAAAAAMEAFlCAwAAAAAAAAAEBQBZQQAAAAAAAAAABQYAWUICAAAAAAAAAAYHAFlBAAAAAAAAAAAHCABZQgIAAAAAAAAACAMAWUEAAAAAAAAAAAgJAFlBAAAAAAAAAAAJCgBZQQAAAAAAAAAACgEAWUEAAAAAAAAAAAoLAFlBAAAAAAAAAAALDABZQQAAAAAAAAAADA0AWUEAAAAAAAAAAA0OAFlBAAAAAAAAAAAODwBZQQAAAAAAAAAADwoAWUEAAAAAAAAAAAAAAAA</t>
        </r>
      </text>
    </comment>
    <comment ref="A584" authorId="0" shapeId="0" xr:uid="{3C0C5B2E-3BD3-451F-8514-7835F7A0FA0D}">
      <text>
        <r>
          <rPr>
            <sz val="9"/>
            <color indexed="81"/>
            <rFont val="MS P ゴシック"/>
            <family val="3"/>
            <charset val="128"/>
          </rPr>
          <t>Insight iXlW00001C0000584R0585476093S00001166P01704LAocjBAQBF1NjaVRlZ2ljLmRhdGEuTW9sZWN1bGUBbwF/ARJTY2lUZWdpYy5Nb2xlY3VsZQAAAQFkAv5qAQAAAAIAAgEWGAAAAPz8APwAAgAAAAAAAPC/AolBYOXQogHAApeQD3o2q9Y/AAAAABwAAAD8/AD8AAIAAAAAAADwvwITg8DKoUXzvwJbQj7o2azWPwAAAAAcAAAA/PwA/AACAAAAAAAA8L8CP+jZrPpcAkAC2fD0SlmG8z8AAAAAIAAAAPz8APwAAgAAAAAAAPC/AopBYOXQogXAAjj4wmSqYOC/AAAAABgAAAD8/AD8AAIAAAAAAADwvwJ3vp8aL10CQAJWn6ut2F/gvwAAAAAYAAAA/PwA/AACAAAAAAAA8L8Cd76fGi9dBkACH/RsVn2u1j8AAAAAGAAAAPz8APwAAgAAAAAAAPC/Atv5fmq8dOk/AltCPujZrNY/AAAAACAAAAD8/AD8AAIAAAAAAADwvwLCFyZTBaMFwAJnRGlv8IXzPwAAAAAYAAAA/PwA/AACAAAAAAAA8L8C7nw/NV669D8CVp+rrdhf4L8AAAAAGAAAAPz8APwAAgAAAAAAAPC/AiUGgZVDi+a/Alafq63YX+C/AAAAABgAAAD8/AD8AAIAAAAAAADwvwIHX5hMFYzmvwLZ8PRKWYbzPwAAAAAYAAAA/PwA/AACAAAAAAAA8L8CikFg5dCiDcACOPjCZKpg4L8AAAAAGAAAAPz8APwAAgAAAAAAAPC/An3Qs1n1ufQ/Atnw9EpZhvM/AAAAABgAAAD8/AD8AAIAAAAAAADwvwLyQc9m1efSPwLZ8PRKWYbzPwAAAAAYAAAA/PwA/AACAAAAAAAA8L8Ct/P91Hjp0j8CVp+rrdhf4L8AAAAAGAAAAPz8APwAAgAAAAAAAPC/Ane+nxovXQZAAu0vuycPC/a/AAAAABgAAAD8/AD8AAIAAAAAAADwvwI/6Nms+lwOQAJbQj7o2azWPwAAAAAYAAAA/PwA/AACAAAAAAAA8L8CikFg5dCiDcACHHxhMlUw+L8AAAAAGAAAAPz8APwAAgAAAAAAAPC/AsUgsHJo0RLAAhpR2ht8YeC/AAAAABgAAAD8/AD8AAIAAAAAAADwvwLCFyZTBaMNwAKRD3o2qz7fPwAAAAAYAAAA/PwA/AACAAAAAAAA8L8Cd76fGi9dDkAC7S+7Jw8L9r8AAAAAGAAAAPz8APwAAgAAAAAAAPC/Ah/0bFZ9LhFAAlafq63YX+C/AAAAAAEYBAABZQQAAAAAAAAAAAgwAWUEAAAAAAAAAAAMAAFlBAAAAAAAAAAAECABZQQAAAAAAAAAABQIAWUEAAAAAAAAAAAYNAFlBAAAAAAAAAAAHAABZQgAAAAAAAAAACAYAWUEAAAAAAAAAAAkBAFlBAAAAAAAAAAAKAQBZQQAAAAAAAAAACwMAWUEAAAAAAAAAAAwGAFlBAAAAAAAAAAANCgBZQQAAAAAAAAAADgkAWUEAAAAAAAAAAA8EAFlBAAAAAAAAAAAARAUAWUEAAAAAAAAAAABESwBZQQAAAAAAAAAAAESLAFlBAAAAAAAAAAAARMsAWUEAAAAAAAAAAABFDwBZQgIAAAAAAAAAAEVARABZQgIAAAAAAAAADgYAWUEAAAAAAAAAAAQFAFlCAgAAAAAAAAAARQBFQFlBAAAAAAAAAAAAAAAAA==</t>
        </r>
      </text>
    </comment>
    <comment ref="A585" authorId="0" shapeId="0" xr:uid="{412F4D25-FA60-4C0B-957F-AA723C4FF205}">
      <text>
        <r>
          <rPr>
            <sz val="9"/>
            <color indexed="81"/>
            <rFont val="MS P ゴシック"/>
            <family val="3"/>
            <charset val="128"/>
          </rPr>
          <t>Insight iXlW00001C0000585R0585476093S00001168P00964LAocjBAQBF1NjaVRlZ2ljLmRhdGEuTW9sZWN1bGUBbwF/ARJTY2lUZWdpYy5Nb2xlY3VsZQAAAQFkAv5qAQAAAAIAAjAcAAAA/PwA/AACAAAAAAAA8L8CTDeJQWDlyL8CpU5AE2HDk78AAAAAGAAAAPz8APwAAgAAAAAAAPC/AkvqBDQRNug/AkOtad5xitI/AAAAABwAAAD8/AD8AAIAAAAAAADwvwLf4AuTqYL1PwJ1ApoIG57gvwAAAAAYAAAA/PwA/AACAAAAAAAA8L8CTDeJQWDlyL8COwFNhA1P8L8AAAAAHAAAAPz8APwAAgAAAAAAAPC/AkvqBDQRNug/AsZtNIC3QPW/AAAAABwAAAD8/AD8AAIAAAAAAADwvwIrhxbZzvfwvwI7AU2EDU/4vwAAAAAYAAAA/PwA/AACAAAAAAAA8L8CseHplbIM8T8CYAfOGVHa8z8AAAAAGAAAAPz8APwAAgAAAAAAAPC/AiuHFtnO9/C/Ahb7y+7Jw94/AAAAABgAAAD8/AD8AAIAAAAAAADwvwJt5/up8dL+vwKlTkATYcOTvwAAAAAYAAAA/PwA/AACAAAAAAAA8L8Cbef7qfHS/r8COwFNhA1P8L8AAAAAGAAAAPz8APwAAgAAAAAAAPC/AsdLN4lBYNk/AueMKO0Nvv8/AAAAABgAAAD8/AD8AAIAAAAAAADwvwJ+rrZif1kAQAJ2cRsN4C33PwAAAAA0BAABZQQAAAAAAAAAAAgEAWUICAAAAAAAAAAMAAFlBAAAAAAAAAAAEAwBZQgIAAAAAAAAABQMAWUEAAAAAAAAAAAYBAFlBAAAAAAAAAAAHAABZQQAAAAAAAAAACAcAWUEAAAAAAAAAAAkIAFlBAAAAAAAAAAAKBgBZQQAAAAAAAAAACwYAWUEAAAAAAAAAAAQCAFlBAAAAAAAAAAAFCQBZQQAAAAAAAAAAAAAAAA=</t>
        </r>
      </text>
    </comment>
    <comment ref="A586" authorId="0" shapeId="0" xr:uid="{E12016C1-7D61-496A-97B3-81CD3CBE0D1C}">
      <text>
        <r>
          <rPr>
            <sz val="9"/>
            <color indexed="81"/>
            <rFont val="MS P ゴシック"/>
            <family val="3"/>
            <charset val="128"/>
          </rPr>
          <t>Insight iXlW00001C0000586R0585476093S00001170P01024LAocjBAQBF1NjaVRlZ2ljLmRhdGEuTW9sZWN1bGUBbwF/ARJTY2lUZWdpYy5Nb2xlY3VsZQAAAQFkAv5qAQAAAAIAAjQYAAAA/PwA/AACAAAAAAAA8L8Cg8DKoUW26z8CpAG8BRIU278AAAAAHAAAAPz8APwAAgAAAAAAAPC/AoPAyqFFtvs/AtIA3gIJiu2/AAAAABwAAAD8/AD8AAIAAAAAAADwvwKb5h2n6MgEwAIv/yH99nXiPwAAAAAgAAAA/PwA/AACAAAAAAAA8L8AAtIA3gIJiu2/AAAAABgAAAD8/AD8AAIAAAAAAADwvwKDwMqhRbbrvwKkAbwFEhTbvwAAAAAYAAAA/PwA/AACAAAAAAAA8L8Cg8DKoUW2+78C0gDeAgmK7b8AAAAAGAAAAPz8APwAAgAAAAAAAPC/AoPAyqFFtuu/Ai//If32deI/AAAAABgAAAD8/AD8AAIAAAAAAADwvwKb5h2n6MgEwAKkAbwFEhTbvwAAAAAYAAAA/PwA/AACAAAAAAAA8L8C9GxWfa62+78Cl/+Qfvs68T8AAAAAGAAAAPz8APwAAgAAAAAAAPC/AmMQWDm0yARAAqQBvAUSFNu/AAAAABgAAAD8/AD8AAIAAAAAAADwvwKDwMqhRbbrPwIv/yH99nXiPwAAAAAYAAAA/PwA/AACAAAAAAAA8L8CYxBYObTIBEACL/8h/fZ14j8AAAAAGAAAAPz8APwAAgAAAAAAAPC/AoPAyqFFtvs/Apf/kH77OvE/AAAAADgEAAFlBAAAAAAAAAAACCABZQQAAAAAAAAAAAwAAWUEAAAAAAAAAAAQDAFlBAAAAAAAAAAAFBABZQQAAAAAAAAAABgQAWUEAAAAAAAAAAAcFAFlBAAAAAAAAAAAIBgBZQQAAAAAAAAAACQEAWUICAAAAAAAAAAoAAFlCAgAAAAAAAAALDABZQgIAAAAAAAAADAoAWUEAAAAAAAAAAAkLAFlBAAAAAAAAAAAHAgBZQQAAAAAAAAAAAAAAAA=</t>
        </r>
      </text>
    </comment>
    <comment ref="A587" authorId="0" shapeId="0" xr:uid="{0C8B6546-6F05-47D1-BC25-C7DD47425336}">
      <text>
        <r>
          <rPr>
            <sz val="9"/>
            <color indexed="81"/>
            <rFont val="MS P ゴシック"/>
            <family val="3"/>
            <charset val="128"/>
          </rPr>
          <t>Insight iXlW00001C0000587R0585476093S00001172P01072LAocjBAQBF1NjaVRlZ2ljLmRhdGEuTW9sZWN1bGUBbwF/ARJTY2lUZWdpYy5Nb2xlY3VsZQAAAQFkAv5qAQAAAAIBAjgYAAAA/PwA/AACAAAAAAAA8L8ClBgEVg4tAcAC3UYDeAsk6r8AAAAAGAAAAPz8APwAAgAAAAAAAPC/AmwJ+aBns/K/ArByaJHtfOO/AAAAABgMAAD8/AD8AAIAAAAAAADwvwKCc0aU9gbxvwJ56SYxCKzYPwAAAAAYAAAA/PwA/AACAAAAAAAA8L8C93XgnBGl/78CmN2Th4Va6T8AAAAAHAAAAPz8APwAAgAAAAAAAPC/AltCPujZLAXAAo0o7Q2+MKk/AAAAABwAAAD8/AD8AAIAAAAAAADwvwIDmggbnl7JvwK9dJMYBFbsPwAAAAAYAAAA/PwA/AACAAAAAAAA8L8CA5oIG55e5T8CeekmMQis2D8AAAAAGAAAAPz8APwAAgAAAAAAAPC/AkOtad5xivg/Ar10kxgEVuw/AAAAABgAAAD8/AD8AAIAAAAAAADwvwLChqdXyjIDQAI9m1Wfq63YPwAAAAAYAAAA/PwA/AACAAAAAAAA8L8CwoanV8oyA0ACYjJVMCqp478AAAAAGAAAAPz8APwAAgAAAAAAAPC/AkOtad5xivg/AjGZKhiV1PG/AAAAABwAAAD8/AD8AAIAAAAAAADwvwIDmggbnl7lPwJiMlUwKqnjvwAAAAABEQAAAPz8APwAAgAAAAAAAPC/AintDb4wmQlAAqRwPQrXo8C/AAAAAAERAAAA/PwA/AACAAAAAAAA8L8CI2x4eqXsEEAC0ETY8PRKub8AAAAANAAEAWUEAAAAAAAAAAAECAFlBAAAAAAAAAAACAwBZQQAAAAAAAAAAAwQAWUEAAAAAAAAAAAQAAFlBAAAAAAAAAAACBQBZQQUAAAAAAAAABQYAWUEAAAAAAAAAAAYHAFlCAwAAAAAAAAAHCABZQQAAAAAAAAAACAkAWUICAAAAAAAAAAkKAFlBAAAAAAAAAAAKCwBZQgIAAAAAAAAACwYAWUEAAAAAAAAAAAAAAAA</t>
        </r>
      </text>
    </comment>
    <comment ref="A588" authorId="0" shapeId="0" xr:uid="{A86FA6E5-C5E9-4148-8EF7-35F0C5976608}">
      <text>
        <r>
          <rPr>
            <sz val="9"/>
            <color indexed="81"/>
            <rFont val="MS P ゴシック"/>
            <family val="3"/>
            <charset val="128"/>
          </rPr>
          <t>Insight iXlW00001C0000588R0585476093S00001174P01268LAocjBAQBF1NjaVRlZ2ljLmRhdGEuTW9sZWN1bGUBbwF/ARJTY2lUZWdpYy5Nb2xlY3VsZQAAAQFkAv5qAQAAAAIBAgEQGAAAAPz8APwAAgAAAAAAAPC/AtIA3gIJio8/AvtcbcX+sqs/AAAAABgAAAD8/AD8AAIAAAAAAADwvwL9h/Tb14HvvwL7XG3F/rKrPwAAAAAcAAAA/PwA/AACAAAAAAAA8L8CA3gLJCh+4D8CU5YhjnVx7T8AAAAAHAAAAPz8APwAAgAAAAAAAPC/AubQItv5fuA/ArTqc7UV++m/AAAAABwAAAD8/AD8AAIAAAAAAADwvwL9h/Tb14HvvwLc14FzRpT8PwAAAAAYAAAA/PwA/AACAAAAAAAA8L8C0gDeAgmKjz8C3NeBc0aU/D8AAAAAGAAAAPz8APwAAgAAAAAAAPC/Av9D+u3rwPe/AlOWIY51ce0/AAAAABwAAAD8/AD8AAIAAAAAAADwvwLlYaHWNG8IQALpSC7/If30vwAAAAAYDAAA/PwA/AACAAAAAAAA8L8Cc2iR7Xw/+D8CtOpztRX76b8AAAAAGAAAAPz8APwAAgAAAAAAAPC/Av9D+u3rwPe/ArTqc7UV++m/AAAAABgAAAD8/AD8AAIAAAAAAADwvwLek4eFWtMAQALHuriNBvBmvwAAAAAYAAAA/PwA/AACAAAAAAAA8L8C5WGh1jRvCEACZ9Xnaiv2078AAAAAGAAAAPz8APwAAgAAAAAAAPC/AhZqTfOO0wBAAuVhodY07/m/AAAAABgAAAD8/AD8AAIAAAAAAADwvwL/If32deADwAJTliGOdXHtPwAAAAAYAAAA/PwA/AACAAAAAAAA8L8C/yH99nXgA8ACtOpztRX76b8AAAAAGAAAAPz8APwAAgAAAAAAAPC/AgAi/fZ14AfAAvtcbcX+sqs/AAAAAAESBAABZQgIAAAAAAAAAAgAAWUEAAAAAAAAAAAMAAFlBAAAAAAAAAAAEBQBZQQAAAAAAAAAABQIAWUICAAAAAAAAAAYBAFlBAAAAAAAAAAAHDABZQQAAAAAAAAAACAMAWUEFAAAAAAAAAAkBAFlBAAAAAAAAAAAKCABZQQAAAAAAAAAACwoAWUEAAAAAAAAAAAwIAFlBAAAAAAAAAAANBgBZQQAAAAAAAAAADgkAWUICAAAAAAAAAA8OAFlBAAAAAAAAAAAGBABZQgIAAAAAAAAACwcAWUEAAAAAAAAAAA8NAFlCAgAAAAAAAAAAAAAAA==</t>
        </r>
      </text>
    </comment>
    <comment ref="A589" authorId="0" shapeId="0" xr:uid="{2B2E27CF-35D3-4082-B690-0B9C8B1B5D35}">
      <text>
        <r>
          <rPr>
            <sz val="9"/>
            <color indexed="81"/>
            <rFont val="MS P ゴシック"/>
            <family val="3"/>
            <charset val="128"/>
          </rPr>
          <t>Insight iXlW00001C0000589R0585476093S00001176P01268LAocjBAQBF1NjaVRlZ2ljLmRhdGEuTW9sZWN1bGUBbwF/ARJTY2lUZWdpYy5Nb2xlY3VsZQAAAQFkAv5qAQAAAAIBAgEQGAAAAPz8APwAAgAAAAAAAPC/AlUwKqkT0MS/Ald9rrZif+M/AAAAABwAAAD8/AD8AAIAAAAAAADwvwLrc7UV+8vqPwJXfa62Yn/jPwAAAAAYAAAA/PwA/AACAAAAAAAA8L8CFoxK6gQ05b8CHjhnRGlv0L8AAAAAHAAAAPz8APwAAgAAAAAAAPC/AhaMSuoENOW/Au2ePCzUmvc/AAAAABgAAAD8/AD8AAIAAAAAAADwvwKvJeSDns32PwIBb4EExY/JvwAAAAAcAAAA/PwA/AACAAAAAAAA8L8CBqOSOgFNAcACV32utmJ/4z8AAAAAGAAAAPz8APwAAgAAAAAAAPC/AgtGJXUCmvq/Au2ePCzUmvc/AAAAABgAAAD8/AD8AAIAAAAAAADwvwI+eVioNc32PwI3qz5XW7H2PwAAAAAYAAAA/PwA/AACAAAAAAAA8L8CC0YldQKa+r8CHjhnRGlv0L8AAAAAGAAAAPz8APwAAgAAAAAAAPC/AqcKRiV1AgNAAqs+V1uxv/E/AAAAABgMAAD8/AD8AAIAAAAAAADwvwLf4AuTqQIDQAK06nO1Ffu7PwAAAAAcAAAA/PwA/AACAAAAAAAA8L8CJZf/kH57CUACOrTIdr6f3r8AAAAAGAAAAPz8APwAAgAAAAAAAPC/AlUwKqkT0MS/Akku/yH99vG/AAAAABgAAAD8/AD8AAIAAAAAAADwvwIGo5I6AU0BwAJJLv8h/fbxvwAAAAAYAAAA/PwA/AACAAAAAAAA8L8CFoxK6gQ05b8Ci47k8h/S/78AAAAAGAAAAPz8APwAAgAAAAAAAPC/AgtGJXUCmvq/AouO5PIf0v+/AAAAAAESBAABZQQAAAAAAAAAAAgAAWUIDAAAAAAAAAAMAAFlBAAAAAAAAAAAEAQBZQQAAAAAAAAAABQYAWUEAAAAAAAAAAAYDAFlCAgAAAAAAAAAHAQBZQQAAAAAAAAAACAIAWUEAAAAAAAAAAAkHAFlBAAAAAAAAAAAKBABZQQAAAAAAAAAACgsAWUEEAAAAAAAAAAwCAFlBAAAAAAAAAAANCABZQQAAAAAAAAAADgwAWUICAAAAAAAAAA8OAFlBAAAAAAAAAAAIBQBZQgIAAAAAAAAACgkAWUEAAAAAAAAAAA0PAFlCAgAAAAAAAAAAAAAAA==</t>
        </r>
      </text>
    </comment>
    <comment ref="A590" authorId="0" shapeId="0" xr:uid="{D09EC784-0738-4208-ABA6-41146B542BDD}">
      <text>
        <r>
          <rPr>
            <sz val="9"/>
            <color indexed="81"/>
            <rFont val="MS P ゴシック"/>
            <family val="3"/>
            <charset val="128"/>
          </rPr>
          <t>Insight iXlW00001C0000590R0585476093S00001178P01104LAocjBAQBF1NjaVRlZ2ljLmRhdGEuTW9sZWN1bGUBbwF/ARJTY2lUZWdpYy5Nb2xlY3VsZQAAAQFkAv5qAQAAAAIAAjgcAAAA/PwA/AACAAAAAAAA8L8C1zTvOEVHor8CN6s+V1uxr78AAAAAGAAAAPz8APwAAgAAAAAAAPC/Aqd5xyk6kvC/AjerPldbsa+/AAAAABwAAAD8/AD8AAIAAAAAAADwvwKneccpOpL4vwKyLm6jAbzpPwAAAAAYAAAA/PwA/AACAAAAAAAA8L8CZhniWBe33T8CN6s+V1ux7b8AAAAAGAAAAPz8APwAAgAAAAAAAPC/AmYZ4lgXt90/AtDVVuwvu+k/AAAAABgAAAD8/AD8AAIAAAAAAADwvwJahjjWxW33PwKyLm6jAbzpPwAAAAAYAAAA/PwA/AACAAAAAAAA8L8CWoY41sVt9z8CVVInoImw7b8AAAAAHAAAAPz8APwAAgAAAAAAAPC/Ai1DHOvitgtAArIubqMBvOk/AAAAABgAAAD8/AD8AAIAAAAAAADwvwJahjjWxW3/PwIVHcnlP6SvvwAAAAAYAAAA/PwA/AACAAAAAAAA8L8Cp3nHKTqS+L8CN6s+V1ux7b8AAAAAGAAAAPz8APwAAgAAAAAAAPC/AtS84xQdSQTAAtDVVuwvu+k/AAAAABgAAAD8/AD8AAIAAAAAAADwvwItQxzr4rYHQAIVHcnlP6SvvwAAAAAYAAAA/PwA/AACAAAAAAAA8L8C1LzjFB1JBMACN6s+V1ux7b8AAAAAGAAAAPz8APwAAgAAAAAAAPC/AtS84xQdSQjAAjerPldbsa+/AAAAADwEAAFlBAAAAAAAAAAACAQBZQQAAAAAAAAAAAwAAWUEAAAAAAAAAAAQAAFlBAAAAAAAAAAAFBABZQQAAAAAAAAAABgMAWUEAAAAAAAAAAAcLAFlBAAAAAAAAAAAIBQBZQQAAAAAAAAAACQEAWUIDAAAAAAAAAAoCAFlCAgAAAAAAAAALCABZQQAAAAAAAAAADAkAWUEAAAAAAAAAAA0MAFlCAgAAAAAAAAAIBgBZQQAAAAAAAAAACg0AWUEAAAAAAAAAAAAAAAA</t>
        </r>
      </text>
    </comment>
    <comment ref="A591" authorId="0" shapeId="0" xr:uid="{16485890-1B61-414E-862C-723C218D0964}">
      <text>
        <r>
          <rPr>
            <sz val="9"/>
            <color indexed="81"/>
            <rFont val="MS P ゴシック"/>
            <family val="3"/>
            <charset val="128"/>
          </rPr>
          <t>Insight iXlW00001C0000591R0585476093S00001180P01104LAocjBAQBF1NjaVRlZ2ljLmRhdGEuTW9sZWN1bGUBbwF/ARJTY2lUZWdpYy5Nb2xlY3VsZQAAAQFkAv5qAQAAAAIAAjgcAAAA/PwA/AACAAAAAAAA8L8C1zTvOEVHor8CN6s+V1uxr78AAAAAGAAAAPz8APwAAgAAAAAAAPC/Aqd5xyk6kvC/AjerPldbsa+/AAAAABwAAAD8/AD8AAIAAAAAAADwvwKneccpOpL4vwKyLm6jAbzpPwAAAAAcAAAA/PwA/AACAAAAAAAA8L8C1LzjFB1JCMACN6s+V1uxr78AAAAAGAAAAPz8APwAAgAAAAAAAPC/AmYZ4lgXt90/AjerPldbse2/AAAAABgAAAD8/AD8AAIAAAAAAADwvwJmGeJYF7fdPwLQ1VbsL7vpPwAAAAAYAAAA/PwA/AACAAAAAAAA8L8Cp3nHKTqS+L8CN6s+V1ux7b8AAAAAGAAAAPz8APwAAgAAAAAAAPC/AtS84xQdSQTAAtDVVuwvu+k/AAAAABgAAAD8/AD8AAIAAAAAAADwvwJahjjWxW33PwKyLm6jAbzpPwAAAAAYAAAA/PwA/AACAAAAAAAA8L8CWoY41sVt9z8CVVInoImw7b8AAAAAHAAAAPz8APwAAgAAAAAAAPC/Ai1DHOvitgtAArIubqMBvOk/AAAAABgAAAD8/AD8AAIAAAAAAADwvwLUvOMUHUkEwAI3qz5XW7HtvwAAAAAYAAAA/PwA/AACAAAAAAAA8L8CWoY41sVt/z8CFR3J5T+kr78AAAAAGAAAAPz8APwAAgAAAAAAAPC/Ai1DHOvitgdAAhUdyeU/pK+/AAAAADwEAAFlBAAAAAAAAAAACAQBZQgMAAAAAAAAAAwsAWUEAAAAAAAAAAAQAAFlBAAAAAAAAAAAFAABZQQAAAAAAAAAABgEAWUEAAAAAAAAAAAcCAFlBAAAAAAAAAAAIBQBZQQAAAAAAAAAACQQAWUEAAAAAAAAAAAoNAFlBAAAAAAAAAAALBgBZQgIAAAAAAAAADAgAWUEAAAAAAAAAAA0MAFlBAAAAAAAAAAAMCQBZQQAAAAAAAAAABwMAWUICAAAAAAAAAAAAAAA</t>
        </r>
      </text>
    </comment>
    <comment ref="A592" authorId="0" shapeId="0" xr:uid="{EB4511B8-3403-4EDC-9923-01D4D4443530}">
      <text>
        <r>
          <rPr>
            <sz val="9"/>
            <color indexed="81"/>
            <rFont val="MS P ゴシック"/>
            <family val="3"/>
            <charset val="128"/>
          </rPr>
          <t>Insight iXlW00001C0000592R0585476093S00001182P01072LAocjBAQBF1NjaVRlZ2ljLmRhdGEuTW9sZWN1bGUBbwF/ARJTY2lUZWdpYy5Nb2xlY3VsZQAAAQFkAv5qAQAAAAIBAjgYAAAA/PwA/AACAAAAAAAA8L8ClBgEVg4tAcAC3UYDeAsk6r8AAAAAGAAAAPz8APwAAgAAAAAAAPC/AmwJ+aBns/K/ArByaJHtfOO/AAAAABgIAAD8/AD8AAIAAAAAAADwvwKCc0aU9gbxvwJ56SYxCKzYPwAAAAAYAAAA/PwA/AACAAAAAAAA8L8C93XgnBGl/78CmN2Th4Va6T8AAAAAHAAAAPz8APwAAgAAAAAAAPC/AltCPujZLAXAAo0o7Q2+MKk/AAAAABwAAAD8/AD8AAIAAAAAAADwvwIDmggbnl7JvwK9dJMYBFbsPwAAAAAYAAAA/PwA/AACAAAAAAAA8L8CA5oIG55e5T8CeekmMQis2D8AAAAAGAAAAPz8APwAAgAAAAAAAPC/AkOtad5xivg/Ar10kxgEVuw/AAAAABgAAAD8/AD8AAIAAAAAAADwvwLChqdXyjIDQAI9m1Wfq63YPwAAAAAcAAAA/PwA/AACAAAAAAAA8L8CwoanV8oyA0ACYjJVMCqp478AAAAAGAAAAPz8APwAAgAAAAAAAPC/AkOtad5xivg/AjGZKhiV1PG/AAAAABwAAAD8/AD8AAIAAAAAAADwvwIDmggbnl7lPwJiMlUwKqnjvwAAAAABEQAAAPz8APwAAgAAAAAAAPC/AintDb4wmQlAAqRwPQrXo8C/AAAAAAERAAAA/PwA/AACAAAAAAAA8L8CI2x4eqXsEEAC0ETY8PRKub8AAAAANAAEAWUEAAAAAAAAAAAECAFlBAAAAAAAAAAACAwBZQQAAAAAAAAAAAwQAWUEAAAAAAAAAAAQAAFlBAAAAAAAAAAACBQBZQQQAAAAAAAAABQYAWUEAAAAAAAAAAAYHAFlCAwAAAAAAAAAHCABZQQAAAAAAAAAACAkAWUICAAAAAAAAAAkKAFlBAAAAAAAAAAAKCwBZQgIAAAAAAAAACwYAWUEAAAAAAAAAAAAAAAA</t>
        </r>
      </text>
    </comment>
    <comment ref="A593" authorId="0" shapeId="0" xr:uid="{0FEAD38D-DBB8-45C5-AB89-5B8D3BF3D524}">
      <text>
        <r>
          <rPr>
            <sz val="9"/>
            <color indexed="81"/>
            <rFont val="MS P ゴシック"/>
            <family val="3"/>
            <charset val="128"/>
          </rPr>
          <t>Insight iXlW00001C0000593R0585476093S00001184P01268LAocjBAQBF1NjaVRlZ2ljLmRhdGEuTW9sZWN1bGUBbwF/ARJTY2lUZWdpYy5Nb2xlY3VsZQAAAQFkAv5qAQAAAAIBAgEQGAAAAPz8APwAAgAAAAAAAPC/AtIA3gIJio8/AvtcbcX+sqs/AAAAABgAAAD8/AD8AAIAAAAAAADwvwL9h/Tb14HvvwL7XG3F/rKrPwAAAAAcAAAA/PwA/AACAAAAAAAA8L8CA3gLJCh+4D8CU5YhjnVx7T8AAAAAHAAAAPz8APwAAgAAAAAAAPC/AubQItv5fuA/ArTqc7UV++m/AAAAABwAAAD8/AD8AAIAAAAAAADwvwL9h/Tb14HvvwLc14FzRpT8PwAAAAAYAAAA/PwA/AACAAAAAAAA8L8C0gDeAgmKjz8C3NeBc0aU/D8AAAAAGAAAAPz8APwAAgAAAAAAAPC/Av9D+u3rwPe/AlOWIY51ce0/AAAAABwAAAD8/AD8AAIAAAAAAADwvwLlYaHWNG8IQALpSC7/If30vwAAAAAYCAAA/PwA/AACAAAAAAAA8L8Cc2iR7Xw/+D8CtOpztRX76b8AAAAAGAAAAPz8APwAAgAAAAAAAPC/Av9D+u3rwPe/ArTqc7UV++m/AAAAABgAAAD8/AD8AAIAAAAAAADwvwLek4eFWtMAQALHuriNBvBmvwAAAAAYAAAA/PwA/AACAAAAAAAA8L8C5WGh1jRvCEACZ9Xnaiv2078AAAAAGAAAAPz8APwAAgAAAAAAAPC/AhZqTfOO0wBAAuVhodY07/m/AAAAABgAAAD8/AD8AAIAAAAAAADwvwL/If32deADwAJTliGOdXHtPwAAAAAYAAAA/PwA/AACAAAAAAAA8L8C/yH99nXgA8ACtOpztRX76b8AAAAAGAAAAPz8APwAAgAAAAAAAPC/AgAi/fZ14AfAAvtcbcX+sqs/AAAAAAESBAABZQgIAAAAAAAAAAgAAWUEAAAAAAAAAAAMAAFlBAAAAAAAAAAAEBQBZQQAAAAAAAAAABQIAWUICAAAAAAAAAAYBAFlBAAAAAAAAAAAHDABZQQAAAAAAAAAACAMAWUEEAAAAAAAAAAkBAFlBAAAAAAAAAAAKCABZQQAAAAAAAAAACwoAWUEAAAAAAAAAAAwIAFlBAAAAAAAAAAANBgBZQQAAAAAAAAAADgkAWUICAAAAAAAAAA8OAFlBAAAAAAAAAAAGBABZQgIAAAAAAAAACwcAWUEAAAAAAAAAAA8NAFlCAgAAAAAAAAAAAAAAA==</t>
        </r>
      </text>
    </comment>
    <comment ref="A594" authorId="0" shapeId="0" xr:uid="{14A351D0-CCDE-4A33-886E-280FBE991E84}">
      <text>
        <r>
          <rPr>
            <sz val="9"/>
            <color indexed="81"/>
            <rFont val="MS P ゴシック"/>
            <family val="3"/>
            <charset val="128"/>
          </rPr>
          <t>Insight iXlW00001C0000594R0585476093S00001186P01176LAocjBAQBF1NjaVRlZ2ljLmRhdGEuTW9sZWN1bGUBbwF/ARJTY2lUZWdpYy5Nb2xlY3VsZQAAAQFkAv5qAQAAAAIAAjwcAAAA/PwA/AACAAAAAAAA8L8CseHplbIMob8CBhIUP8bc2b8AAAAAGAAAAPz8APwAAgAAAAAAAPC/Ag5Pr5RliPC/AgYSFD/G3Nm/AAAAABgAAAD8/AD8AAIAAAAAAADwvwLzsFBrmnf3PwIBb4EExY/dPwAAAAAYAAAA/PwA/AACAAAAAAAA8L8C87BQa5p3/z8CArwFEhQ/9T8AAAAAGAAAAPz8APwAAgAAAAAAAPC/AsrDQq1p3t0/AgFvgQTFj90/AAAAABwAAAD8/AD8AAIAAAAAAADwvwIOT6+UZYj4vwIBb4EExY/dPwAAAAAcAAAA/PwA/AACAAAAAAAA8L8CDk+vlGWI+L8CNBE2PL1S9L8AAAAAIAAAAPz8APwAAgAAAAAAAPC/AoIExY8xd/c/AiKOdXEbjQFAAAAAACAAAAD8/AD8AAIAAAAAAADwvwJ6WKg1zbsHQAICvAUSFD/1PwAAAAAYAAAA/PwA/AACAAAAAAAA8L8CysNCrWne3T8Cw2SqYFRS9L8AAAAAGAAAAPz8APwAAgAAAAAAAPC/AvOwUGuad/8/AgYSFD/G3Nm/AAAAABgAAAD8/AD8AAIAAAAAAADwvwKHp1fKMkQIwAIGEhQ/xtzZvwAAAAAYAAAA/PwA/AACAAAAAAAA8L8Ch6dXyjJEBMACw2SqYFRS9L8AAAAAGAAAAPz8APwAAgAAAAAAAPC/AoenV8oyRATAAgFvgQTFj90/AAAAABgAAAD8/AD8AAIAAAAAAADwvwLzsFBrmnf3PwLDZKpgVFL0vwAAAAABEAQAAWUEAAAAAAAAAAAIEAFlBAAAAAAAAAAACAwBZQQAAAAAAAAAABAAAWUEAAAAAAAAAAAUBAFlCAwAAAAAAAAAGAQBZQQAAAAAAAAAABwMAWUIAAAAAAAAAAAgDAFlBAAAAAAAAAAAJAABZQQAAAAAAAAAACg4AWUEAAAAAAAAAAAsMAFlBAAAAAAAAAAAMBgBZQgIAAAAAAAAADQUAWUEAAAAAAAAAAA4JAFlBAAAAAAAAAAAKAgBZQQAAAAAAAAAADQsAWUICAAAAAAAAAAAAAAA</t>
        </r>
      </text>
    </comment>
    <comment ref="A595" authorId="0" shapeId="0" xr:uid="{E559294C-3CE1-4E9A-B101-39C17707BC5E}">
      <text>
        <r>
          <rPr>
            <sz val="9"/>
            <color indexed="81"/>
            <rFont val="MS P ゴシック"/>
            <family val="3"/>
            <charset val="128"/>
          </rPr>
          <t>Insight iXlW00001C0000595R0585476093S00001188P01524LAocjBAQBF1NjaVRlZ2ljLmRhdGEuTW9sZWN1bGUBbwF/ARJTY2lUZWdpYy5Nb2xlY3VsZQAAAQFkAv5qAQAAAAIBAgEUHAAAAPz8APwAAgAAAAAAAPC/AvcGX5hMVRBAAixlGeJYF+e/AAAAABgMAAD8/AD8AAIAAAAAAADwvwLtDb4wmaoIQAIsZRniWBfnvwAAAAAYAAAA/PwA/AACAAAAAAAA8L8C7Q2+MJmqBEACXW3F/rJ7wj8AAAAAGAAAAPz8APwAAgAAAAAAAPC/AtsbfGEyVfk/Al1txf6ye8I/AAAAABgMAAD8/AD8AAIAAAAAAADwvwJMyAc9m1XxPwIOvjCZKhjnvwAAAAAYAAAA/PwA/AACAAAAAAAA8L8CTMgHPZtV+T8CSb99HThn+b8AAAAAGAAAAPz8APwAAgAAAAAAAPC/Aibkg57NqgRAAtgS8kHPZvm/AAAAABwAAAD8/AD8AAIAAAAAAADwvwK2hHzQs1m1PwIOvjCZKhjnvwAAAAAYAAAA/PwA/AACAAAAAAAA8L8C097gC5Op2r8C1QloImx4wj8AAAAAHAAAAPz8APwAAgAAAAAAAPC/AqW9wRcmU7U/AnxhMlUwKvA/AAAAABgAAAD8/AD8AAIAAAAAAADwvwKXkA96NqvavwK+wRcmUwX+PwAAAAAcAAAA/PwA/AACAAAAAAAA8L8CJuSDns2q9r8CL26jAbwF/j8AAAAAGAAAAPz8APwAAgAAAAAAAPC/Aibkg57Nqv6/AnxhMlUwKvA/AAAAABgAAAD8/AD8AAIAAAAAAADwvwIT8kHPZlUHwAJ8YTJVMCrwPwAAAAAYAAAA/PwA/AACAAAAAAAA8L8CE/JBz2ZVC8AC1QloImx4wj8AAAAAGAAAAPz8APwAAgAAAAAAAPC/AhPyQc9mVQfAAg6+MJkqGOe/AAAAABgAAAD8/AD8AAIAAAAAAADwvwIm5IOezar+vwIOvjCZKhjnvwAAAAAYAAAA/PwA/AACAAAAAAAA8L8CJuSDns2q9r8C1QloImx4wj8AAAAAAREAAAD8/AD8AAIAAAAAAADwvwIqOpLLf4gTQAI/xty1hHzAPwAAAAABEQAAAPz8APwAAgAAAAAAAPC/ArivA+eMqBdAAnsUrkfhesQ/AAAAAAEUBAABZQQQAAAAAAAAAAQIAWUEAAAAAAAAAAAIDAFlBAAAAAAAAAAADBABZQQAAAAAAAAAABAUAWUEAAAAAAAAAAAUGAFlBAAAAAAAAAAAGAQBZQQAAAAAAAAAABAcAWUEFAAAAAAAAAAcIAFlBAAAAAAAAAAAICQBZQQAAAAAAAAAACQoAWUICAAAAAAAAAAoLAFlBAAAAAAAAAAALDABZQgMAAAAAAAAADA0AWUEAAAAAAAAAAA0OAFlCAgAAAAAAAAAODwBZQQAAAAAAAAAADwBEAFlCAgAAAAAAAAAARABEQFlBAAAAAAAAAAAAREgAWUICAAAAAAAAAABETABZQQAAAAAAAAAAAAAAAA=</t>
        </r>
      </text>
    </comment>
    <comment ref="A596" authorId="0" shapeId="0" xr:uid="{9E81A004-B864-471A-8328-5263BA5A70D0}">
      <text>
        <r>
          <rPr>
            <sz val="9"/>
            <color indexed="81"/>
            <rFont val="MS P ゴシック"/>
            <family val="3"/>
            <charset val="128"/>
          </rPr>
          <t>Insight iXlW00001C0000596R0585476093S00001190P00948LAocjBAQBF1NjaVRlZ2ljLmRhdGEuTW9sZWN1bGUBbwF/ARJTY2lUZWdpYy5Nb2xlY3VsZQAAAQFkAv5qAQAAAAIAAjAYAAAA/PwA/AACAAAAAAAA8L8CY3/ZPXlY2L8C5WGh1jTv1L8AAAAAHAAAAPz8APwAAgAAAAAAAPC/AssyxLEubts/Aj2bVZ+rrdA/AAAAABwAAAD8/AD8AAIAAAAAAADwvwI+eVioNc3zPwLlYaHWNO/UvwAAAAAYAAAA/PwA/AACAAAAAAAA8L8C1zTvOEVHsr8CiPTb14Fz9L8AAAAAGAAAAPz8APwAAgAAAAAAAPC/AndPHhZqTfW/AjzfT42XbpK/AAAAABgAAAD8/AD8AAIAAAAAAADwvwJmGeJYF7ftPwKI9NvXgXP0vwAAAAAYAAAA/PwA/AACAAAAAAAA8L8CyzLEsS5u2z8C0GbV52or9D8AAAAAIAAAAPz8APwAAgAAAAAAAPC/ArhAguLHmADAAnicoiO5/OW/AAAAACAAAAD8/AD8AAIAAAAAAADwvwKNuWsJ+aD4vwJ90LNZ9bnuPwAAAAAYAAAA/PwA/AACAAAAAAAA8L8CbHh6pSxD+D8CirDh6ZWyAMAAAAAAGAAAAPz8APwAAgAAAAAAAPC/AjxO0ZFc/tu/AtBm1edqK/w/AAAAABgAAAD8/AD8AAIAAAAAAADwvwL0bFZ9rrb0PwLQZtXnaiv8PwAAAAAwBAABZQQAAAAAAAAAAAgEAWUEAAAAAAAAAAAMAAFlCAgAAAAAAAAAEAABZQQAAAAAAAAAABQMAWUEAAAAAAAAAAAYBAFlBAAAAAAAAAAAHBABZQgAAAAAAAAAACAQAWUEAAAAAAAAAAAkFAFlBAAAAAAAAAAAKBgBZQQAAAAAAAAAACwYAWUEAAAAAAAAAAAUCAFlCAgAAAAAAAAAAAAAAA==</t>
        </r>
      </text>
    </comment>
    <comment ref="A597" authorId="0" shapeId="0" xr:uid="{86BBB0D2-E826-4B70-BA34-18F430E44B3A}">
      <text>
        <r>
          <rPr>
            <sz val="9"/>
            <color indexed="81"/>
            <rFont val="MS P ゴシック"/>
            <family val="3"/>
            <charset val="128"/>
          </rPr>
          <t>Insight iXlW00001C0000597R0585476093S00001192P01236LAocjBAQBF1NjaVRlZ2ljLmRhdGEuTW9sZWN1bGUBbwF/ARJTY2lUZWdpYy5Nb2xlY3VsZQAAAQFkAv5qAQAAAAIAAgEQHAAAAPz8APwAAgAAAAAAAPC/AmMQWDm0yO6/Ao25awn5oPw/AAAAABgAAAD8/AD8AAIAAAAAAADwvwJahjjWxW3UvwLl8h/Sb1/wPwAAAAAYAAAA/PwA/AACAAAAAAAA8L8CuK8D54wo5b8C2BLyQc9mtT8AAAAAGAAAAPz8APwAAgAAAAAAAPC/ArivA+eMKOW/AqW9wRcmU+2/AAAAABgAAAD8/AD8AAIAAAAAAADwvwIeOGdEaW/4vwLT3uALk6n2vwAAAAAgAAAA/PwA/AACAAAAAAAA8L8CMEymCkYlA8ACpb3BFyZT7b8AAAAAGAAAAPz8APwAAgAAAAAAAPC/AjBMpgpGJQPAAtgS8kHPZrU/AAAAABgAAAD8/AD8AAIAAAAAAADwvwIeOGdEaW/4vwJbQj7o2aziPwAAAAAYAAAA/PwA/AACAAAAAAAA8L8CEhQ/xty11D8CG55eKcsQt78AAAAAGAAAAPz8APwAAgAAAAAAAPC/ApX2Bl+YTOU/Apm7lpAPevC/AAAAABgAAAD8/AD8AAIAAAAAAADwvwIrGJXUCWj6PwI3GsBbIEHzvwAAAAAYAAAA/PwA/AACAAAAAAAA8L8CY3/ZPXlYAkACPE7RkVz+278AAAAAGAAAAPz8APwAAgAAAAAAAPC/AoBIv30dOP8/AlD8GHPXEuA/AAAAAAEjAAAA/PwA/AACAAAAAAAA8L8CjpduEoPABEAC0ETY8PRK9D8AAAAAGAAAAPz8APwAAgAAAAAAAPC/Aj9XW7G/7O4/Am8Sg8DKoeU/AAAAAAERAAAA/PwA/AACAAAAAAAA8L8C9P3UeOkmC0ACJLn8h/Tbxz8AAAAAARAABAFlBAAAAAAAAAAABAgBZQQAAAAAAAAAAAgMAWUEAAAAAAAAAAAMEAFlBAAAAAAAAAAAEBQBZQQAAAAAAAAAABQYAWUEAAAAAAAAAAAYHAFlBAAAAAAAAAAAHAgBZQQAAAAAAAAAAAggAWUEAAAAAAAAAAAgJAFlCAwAAAAAAAAAJCgBZQQAAAAAAAAAACgsAWUICAAAAAAAAAAsMAFlBAAAAAAAAAAAMDQBZQQAAAAAAAAAADA4AWUICAAAAAAAAAA4IAFlBAAAAAAAAAAAAAAAAA==</t>
        </r>
      </text>
    </comment>
    <comment ref="A598" authorId="0" shapeId="0" xr:uid="{EBEC79AE-CF36-4FCB-B97C-3FFE9E8D2451}">
      <text>
        <r>
          <rPr>
            <sz val="9"/>
            <color indexed="81"/>
            <rFont val="MS P ゴシック"/>
            <family val="3"/>
            <charset val="128"/>
          </rPr>
          <t>Insight iXlW00001C0000598R0585476093S00001194P01252LAocjBAQBF1NjaVRlZ2ljLmRhdGEuTW9sZWN1bGUBbwF/ARJTY2lUZWdpYy5Nb2xlY3VsZQAAAQFkAv5qAQAAAAIAAgEQGAAAAPz8APwAAgAAAAAAAPC/Av9D+u3rwOe/Ah1aZDvfT70/AAAAABgAAAD8/AD8AAIAAAAAAADwvwIi/fZ14JzZvwJZF7fRAN7wPwAAAAAYAAAA/PwA/AACAAAAAAAA8L8CC9ejcD0Kzz8CrK3YX3ZPrr8AAAAAIAAAAPz8APwAAgAAAAAAAPC/AuSlm8QgsPC/AgHeAgmKH/0/AAAAACAAAAD8/AD8AAIAAAAAAADwvwJB8WPMXcsDwAK9dJMYBFbsvwAAAAAYAAAA/PwA/AACAAAAAAAA8L8C+cJkqmBU7D8CWFuxv+ye5j8AAAAAGAAAAPz8APwAAgAAAAAAAPC/Ak5iEFg5tOI/Akku/yH99u+/AAAAACAAAAD8/AD8AAIAAAAAAADwvwKCc0aU9gbhPwIt1JrmHaf2PwAAAAAYAAAA/PwA/AACAAAAAAAA8L8CUdobfGGyAUACpwpGJXUC2r8AAAAAGAAAAPz8APwAAgAAAAAAAPC/Al3+Q/rt6/0/AjlFR3L5D+E/AAAAABgAAAD8/AD8AAIAAAAAAADwvwIIzhlR2hv5PwLD9Shcj8LyvwAAAAABIwAAAPz8APwAAgAAAAAAAPC/AsKopE5AkwlAAnIbDeAtkOK/AAAAABgAAAD8/AD8AAIAAAAAAADwvwJBguLHmLv5vwJiMlUwKqnjPwAAAAAYAAAA/PwA/AACAAAAAAAA8L8C/0P67evA578CvXSTGARW7L8AAAAAGAAAAPz8APwAAgAAAAAAAPC/AkGC4seYu/m/Al+6SQwCK/a/AAAAABgAAAD8/AD8AAIAAAAAAADwvwJB8WPMXcsDwAIMk6mCUUm9PwAAAAABEQQAAWUEAAAAAAAAAAAIAAFlBAAAAAAAAAAADAQBZQgAAAAAAAAAABA4AWUEAAAAAAAAAAAUCAFlCAwAAAAAAAAAGAgBZQQAAAAAAAAAABwEAWUEAAAAAAAAAAAgKAFlBAAAAAAAAAAAJBQBZQQAAAAAAAAAACgYAWUICAAAAAAAAAAsIAFlBAAAAAAAAAAAMAABZQQAAAAAAAAAADQAAWUEAAAAAAAAAAA4NAFlBAAAAAAAAAAAPDABZQQAAAAAAAAAADwQAWUEAAAAAAAAAAAkIAFlCAgAAAAAAAAAAAAAAA==</t>
        </r>
      </text>
    </comment>
    <comment ref="A599" authorId="0" shapeId="0" xr:uid="{DBDD7C2A-5DDB-4736-9E1A-D6558D1587EC}">
      <text>
        <r>
          <rPr>
            <sz val="9"/>
            <color indexed="81"/>
            <rFont val="MS P ゴシック"/>
            <family val="3"/>
            <charset val="128"/>
          </rPr>
          <t>Insight iXlW00001C0000599R0585476093S00001196P01468LAocjBAQBF1NjaVRlZ2ljLmRhdGEuTW9sZWN1bGUBbwF/ARJTY2lUZWdpYy5Nb2xlY3VsZQAAAQFkAv5qAQAAAAIAAgETGAAAAPz8APwAAgAAAAAAAPC/AjXvOEVH8gBAAq5p3nGKju4/AAAAABgAAAD8/AD8AAIAAAAAAADwvwKNKO0NvjDyvwLp2az6XG3NvwAAAAAYAAAA/PwA/AACAAAAAAAA8L8CrYvbaABv6b8C9GxWfa625j8AAAAAGAAAAPz8APwAAgAAAAAAAPC/AmRd3EYDeMO/Am3n+6nx0tm/AAAAABgAAAD8/AD8AAIAAAAAAADwvwLP91PjpZv3PwLtDb4wmSrIPwAAAAAYAAAA/PwA/AACAAAAAAAA8L8CumsJ+aBn3z8CNDMzMzMz1z8AAAAAIAAAAPz8APwAAgAAAAAAAPC/AnGsi9toAPe/AiL99nXgnPc/AAAAACQAAAD8/AD8AAIAAAAAAADwvwLCFyZTBaP1PwJyGw3gLZD5PwAAAAAkAAAA/PwA/AACAAAAAAAA8L8Cg+LHmLsWBkACf/s6cM6I+z8AAAAAJAAAAPz8APwAAgAAAAAAAPC/AonS3uALEwdAAu84RUdy+dM/AAAAACAAAAD8/AD8AAIAAAAAAADwvwKI9NvXgfMGwAI9m1Wfq63zvwAAAAAgAAAA/PwA/AACAAAAAAAA8L8CmpmZmZmZwT8CTvOOU3Qk8T8AAAAAGAAAAPz8APwAAgAAAAAAAPC/Ao0o7Q2+MPK/Aj2bVZ+rrfO/AAAAABgAAAD8/AD8AAIAAAAAAADwvwJnRGlv8AUAwAIMk6mCUUnRPwAAAAAYAAAA/PwA/AACAAAAAAAA8L8CUrgehetRyD8Ck8t/SL999b8AAAAAGAAAAPz8APwAAgAAAAAAAPC/AhWuR+F6FP0/AvMf0m9fB+i/AAAAABgAAAD8/AD8AAIAAAAAAADwvwJ6xyk6ksvyPwKi1jTvOEX4vwAAAAAYAAAA/PwA/AACAAAAAAAA8L8CZ0Rpb/AFAMACPZtVn6ut+78AAAAAGAAAAPz8APwAAgAAAAAAAPC/Aoj029eB8wbAAunZrPpcbc2/AAAAAAEUBAwBZQQAAAAAAAAAAAgEAWUEAAAAAAAAAAAMFAFlCAwAAAAAAAAAEAABZQQAAAAAAAAAABQQAWUEAAAAAAAAAAAYCAFlCAAAAAAAAAAAHAABZQQAAAAAAAAAACAAAWUEAAAAAAAAAAAkAAFlBAAAAAAAAAAAKAESAWUEAAAAAAAAAAAsCAFlBAAAAAAAAAAAMAQBZQQAAAAAAAAAADQEAWUEAAAAAAAAAAA4ARABZQgIAAAAAAAAADwQAWUIDAAAAAAAAAABEDwBZQQAAAAAAAAAAAERMAFlBAAAAAAAAAAAARI0AWUEAAAAAAAAAAAMOAFlBAAAAAAAAAAAAREoAWUEAAAAAAAAAAAAAAAA</t>
        </r>
      </text>
    </comment>
    <comment ref="A600" authorId="0" shapeId="0" xr:uid="{DD1064A3-0D05-4ACD-80F4-A8D964CAEF21}">
      <text>
        <r>
          <rPr>
            <sz val="9"/>
            <color indexed="81"/>
            <rFont val="MS P ゴシック"/>
            <family val="3"/>
            <charset val="128"/>
          </rPr>
          <t>Insight iXlW00001C0000600R0585476093S00001198P00948LAocjBAQBF1NjaVRlZ2ljLmRhdGEuTW9sZWN1bGUBbwF/ARJTY2lUZWdpYy5Nb2xlY3VsZQAAAQFkAv5qAQAAAAIAAjAgAAAA/PwA/AACAAAAAAAA8L8CufyH9NvXA0AC3NeBc0aU0j8AAAAAGAAAAPz8APwAAgAAAAAAAPC/ArwFEhQ/xvc/AsB9HThnRNk/AAAAABgAAAD8/AD8AAIAAAAAAADwvwJ4CyQofozvPwJBE2HD0yv0PwAAAAAYAAAA/PwA/AACAAAAAAAA8L8C33GKjuTyfz8Cm1Wfq63Y8D8AAAAAGAAAAPz8APwAAgAAAAAAAPC/AoG3QILix7i/An6utmJ/2a0/AAAAABgAAAD8/AD8AAIAAAAAAADwvwKBt0CC4se4vwIZldQJaCLuvwAAAAAYAAAA/PwA/AACAAAAAAAA8L8CdNcS8kHP7r8CjErqBDQR978AAAAAHAAAAPz8APwAAgAAAAAAAPC/AvvL7snDQv2/AhmV1AloIu6/AAAAABgAAAD8/AD8AAIAAAAAAADwvwL7y+7Jw0L9vwJ+rrZif9mtPwAAAAAYAAAA/PwA/AACAAAAAAAA8L8CdNcS8kHP7r8C6Gor9pfd4T8AAAAAHAAAAPz8APwAAgAAAAAAAPC/Avvt68A5I+o/AiRKe4MvTNa/AAAAAAERAAAA/PwA/AACAAAAAAAA8L8CIGPuWkI+CkACX7pJDAIrt78AAAAAMAAEAWUIAAAAAAAAAAAECAFlBAAAAAAAAAAACAwBZQQAAAAAAAAAAAwQAWUEAAAAAAAAAAAQFAFlBAAAAAAAAAAAFBgBZQQAAAAAAAAAABgcAWUEAAAAAAAAAAAcIAFlBAAAAAAAAAAAICQBZQQAAAAAAAAAACQQAWUEAAAAAAAAAAAQKAFlBAAAAAAAAAAAKAQBZQQAAAAAAAAAAAAAAAA=</t>
        </r>
      </text>
    </comment>
    <comment ref="A601" authorId="0" shapeId="0" xr:uid="{C0A06D41-E5EC-4755-BD61-0B628FDBB73E}">
      <text>
        <r>
          <rPr>
            <sz val="9"/>
            <color indexed="81"/>
            <rFont val="MS P ゴシック"/>
            <family val="3"/>
            <charset val="128"/>
          </rPr>
          <t>Insight iXlW00001C0000601R0585476093S00001200P01320LAocjBAQBF1NjaVRlZ2ljLmRhdGEuTW9sZWN1bGUBbwF/ARJTY2lUZWdpYy5Nb2xlY3VsZQAAAQFkAv5qAQAAAAIBAgERIAAAAPz8APwAAgAAAAAAAPC/AiRKe4MvTPY/AuM2GsBbIPa/AAAAABgAAAD8/AD8AAIAAAAAAADwvwLE0ytlGeLgPwLGbTSAt0DsvwAAAAAcAAAA/PwA/AACAAAAAAAA8L8CgNk9eVio1b8C4zYawFsg9r8AAAAAGAAAAPz8APwAAgAAAAAAAPC/AhODwMqhRfO/AsZtNIC3QOy/AAAAABgAAAD8/AD8AAIAAAAAAADwvwKq8dJNYpAAwALjNhrAWyD2vwAAAAAYAAAA/PwA/AACAAAAAAAA8L8Cy6FFtvN9B8ACxm00gLdA7L8AAAAAGAAAAPz8APwAAgAAAAAAAPC/AsuhRbbzfQfAAtKRXP5D+r0/AAAAABgAAAD8/AD8AAIAAAAAAADwvwKq8dJNYpAAwAI6kst/SL/jPwAAAAAYAAAA/PwA/AACAAAAAAAA8L8CE4PAyqFF878C0pFc/kP6vT8AAAAAGAAAAPz8APwAAgAAAAAAAPC/AoDZPXlYqNW/AjqSy39Iv+M/AAAAABwAAAD8/AD8AAIAAAAAAADwvwLE0ytlGeLgPwLSkVz+Q/q9PwAAAAAYDAAA/PwA/AACAAAAAAAA8L8CJEp7gy9M9j8COpLLf0i/4z8AAAAAGAAAAPz8APwAAgAAAAAAAPC/ApwzorQ3+Pc/AtS84xQdyfk/AAAAABgAAAD8/AD8AAIAAAAAAADwvwKsrdhfds8DQALqJjEIrBz9PwAAAAAcAAAA/PwA/AACAAAAAAAA8L8Cc9cS8kHPB0ACUI2XbhKD7j8AAAAAGAAAAPz8APwAAgAAAAAAAPC/AkymCkYldQJAAnulLEMc68o/AAAAAAERAAAA/PwA/AACAAAAAAAA8L8C2j15WKg1DkACG8BbIEHxyz8AAAAAARIABAFlCAAAAAAAAAAABAgBZQQAAAAAAAAAAAgMAWUEAAAAAAAAAAAMEAFlCAwAAAAAAAAAEBQBZQQAAAAAAAAAABQYAWUICAAAAAAAAAAYHAFlBAAAAAAAAAAAHCABZQgIAAAAAAAAACAMAWUEAAAAAAAAAAAgJAFlBAAAAAAAAAAAJCgBZQQAAAAAAAAAACgEAWUEAAAAAAAAAAAsKAFlBBQAAAAAAAAALDABZQQAAAAAAAAAADA0AWUEAAAAAAAAAAA0OAFlBAAAAAAAAAAAODwBZQQAAAAAAAAAADwsAWUEAAAAAAAAAAAAAAAA</t>
        </r>
      </text>
    </comment>
    <comment ref="A602" authorId="0" shapeId="0" xr:uid="{1EB7DE0B-92AD-4B86-A338-440E20944F88}">
      <text>
        <r>
          <rPr>
            <sz val="9"/>
            <color indexed="81"/>
            <rFont val="MS P ゴシック"/>
            <family val="3"/>
            <charset val="128"/>
          </rPr>
          <t>Insight iXlW00001C0000602R0585476093S00001202P01468LAocjBAQBF1NjaVRlZ2ljLmRhdGEuTW9sZWN1bGUBbwF/ARJTY2lUZWdpYy5Nb2xlY3VsZQAAAQFkAv5qAQAAAAIBAgETIAAAAPz8APwAAgAAAAAAAPC/AiPb+X5qvPQ/AndPHhZqTee/AAAAAAEQAAAA/PwA/AACAAAAAAAA8L8CCvmgZ7Pq0z8ClWWIY13c7L8AAAAAIAAAAPz8APwAAgAAAAAAAPC/AhDpt68D5+Q/AoIExY8xd/2/AAAAABwAAAD8/AD8AAIAAAAAAADwvwL/Q/rt68DhvwLLMsSxLm72vwAAAAAYAAAA/PwA/AACAAAAAAAA8L8Csi5uowG89r8ClWWIY13c7L8AAAAAGAAAAPz8APwAAgAAAAAAAPC/AnrHKTqSSwLAAssyxLEubva/AAAAABgAAAD8/AD8AAIAAAAAAADwvwKbd5yiIzkJwAKVZYhjXdzsvwAAAAAYAAAA/PwA/AACAAAAAAAA8L8Cm3ecoiM5CcACW9O84xQduT8AAAAAGAAAAPz8APwAAgAAAAAAAPC/AnrHKTqSSwLAAmyad5yiI+M/AAAAABgAAAD8/AD8AAIAAAAAAADwvwKyLm6jAbz2vwJb07zjFB25PwAAAAAYAAAA/PwA/AACAAAAAAAA8L8C/0P67evA4b8CbJp3nKIj4z8AAAAAHAAAAPz8APwAAgAAAAAAAPC/Agr5oGez6tM/AlvTvOMUHbk/AAAAABgIAAD8/AD8AAIAAAAAAADwvwKEns2qz9XyPwJsmnecoiPjPwAAAAAYAAAA/PwA/AACAAAAAAAA8L8CY3/ZPXlYAEACW9O84xQduT8AAAAAGAAAAPz8APwAAgAAAAAAAPC/AoQvTKYKRgdAAmyad5yiI+M/AAAAABgAAAD8/AD8AAIAAAAAAADwvwKEL0ymCkYHQAI2zTtO0ZH5PwAAAAAcAAAA/PwA/AACAAAAAAAA8L8CY3/ZPXlYAEACm+Ydp+jIAEAAAAAAGAAAAPz8APwAAgAAAAAAAPC/AoSezarP1fI/AjbNO07Rkfk/AAAAAAERAAAA/PwA/AACAAAAAAAA8L8C6pWyDHGsDUACldQJaCJswD8AAAAAARQABAFlCAAAAAAAAAAABAgBZQgAAAAAAAAAAAQMAWUEAAAAAAAAAAAMEAFlBAAAAAAAAAAAEBQBZQgMAAAAAAAAABQYAWUEAAAAAAAAAAAYHAFlCAgAAAAAAAAAHCABZQQAAAAAAAAAACAkAWUICAAAAAAAAAAkEAFlBAAAAAAAAAAAJCgBZQQAAAAAAAAAACgsAWUEAAAAAAAAAAAsBAFlBAAAAAAAAAAAMCwBZQQUAAAAAAAAADA0AWUEAAAAAAAAAAA0OAFlBAAAAAAAAAAAODwBZQQAAAAAAAAAADwBEAFlBAAAAAAAAAAAARABEQFlBAAAAAAAAAAAAREwAWUEAAAAAAAAAAAAAAAA</t>
        </r>
      </text>
    </comment>
    <comment ref="A603" authorId="0" shapeId="0" xr:uid="{1E4FA3A4-27A7-4BFD-99B7-F40FDCD87EB8}">
      <text>
        <r>
          <rPr>
            <sz val="9"/>
            <color indexed="81"/>
            <rFont val="MS P ゴシック"/>
            <family val="3"/>
            <charset val="128"/>
          </rPr>
          <t>Insight iXlW00001C0000603R0585476093S00001204P01468LAocjBAQBF1NjaVRlZ2ljLmRhdGEuTW9sZWN1bGUBbwF/ARJTY2lUZWdpYy5Nb2xlY3VsZQAAAQFkAv5qAQAAAAIBAgETIAAAAPz8APwAAgAAAAAAAPC/AiPb+X5qvPQ/AndPHhZqTee/AAAAAAEQAAAA/PwA/AACAAAAAAAA8L8CCvmgZ7Pq0z8ClWWIY13c7L8AAAAAIAAAAPz8APwAAgAAAAAAAPC/AhDpt68D5+Q/AoIExY8xd/2/AAAAABwAAAD8/AD8AAIAAAAAAADwvwL/Q/rt68DhvwLLMsSxLm72vwAAAAAYAAAA/PwA/AACAAAAAAAA8L8Csi5uowG89r8ClWWIY13c7L8AAAAAGAAAAPz8APwAAgAAAAAAAPC/AnrHKTqSSwLAAssyxLEubva/AAAAABgAAAD8/AD8AAIAAAAAAADwvwKbd5yiIzkJwAKVZYhjXdzsvwAAAAAYAAAA/PwA/AACAAAAAAAA8L8Cm3ecoiM5CcACW9O84xQduT8AAAAAGAAAAPz8APwAAgAAAAAAAPC/AnrHKTqSSwLAAmyad5yiI+M/AAAAABgAAAD8/AD8AAIAAAAAAADwvwKyLm6jAbz2vwJb07zjFB25PwAAAAAYAAAA/PwA/AACAAAAAAAA8L8C/0P67evA4b8CbJp3nKIj4z8AAAAAHAAAAPz8APwAAgAAAAAAAPC/Agr5oGez6tM/AlvTvOMUHbk/AAAAABgMAAD8/AD8AAIAAAAAAADwvwKEns2qz9XyPwJsmnecoiPjPwAAAAAYAAAA/PwA/AACAAAAAAAA8L8CY3/ZPXlYAEACW9O84xQduT8AAAAAGAAAAPz8APwAAgAAAAAAAPC/AoQvTKYKRgdAAmyad5yiI+M/AAAAABgAAAD8/AD8AAIAAAAAAADwvwKEL0ymCkYHQAI2zTtO0ZH5PwAAAAAcAAAA/PwA/AACAAAAAAAA8L8CY3/ZPXlYAEACm+Ydp+jIAEAAAAAAGAAAAPz8APwAAgAAAAAAAPC/AoSezarP1fI/AjbNO07Rkfk/AAAAAAERAAAA/PwA/AACAAAAAAAA8L8C6pWyDHGsDUACldQJaCJswD8AAAAAARQABAFlCAAAAAAAAAAABAgBZQgAAAAAAAAAAAQMAWUEAAAAAAAAAAAMEAFlBAAAAAAAAAAAEBQBZQgMAAAAAAAAABQYAWUEAAAAAAAAAAAYHAFlCAgAAAAAAAAAHCABZQQAAAAAAAAAACAkAWUICAAAAAAAAAAkEAFlBAAAAAAAAAAAJCgBZQQAAAAAAAAAACgsAWUEAAAAAAAAAAAsBAFlBAAAAAAAAAAAMCwBZQQQAAAAAAAAADA0AWUEAAAAAAAAAAA0OAFlBAAAAAAAAAAAODwBZQQAAAAAAAAAADwBEAFlBAAAAAAAAAAAARABEQFlBAAAAAAAAAAAAREwAWUEAAAAAAAAAAAAAAAA</t>
        </r>
      </text>
    </comment>
    <comment ref="A604" authorId="0" shapeId="0" xr:uid="{42A52510-B8E5-4B5A-B789-B1351ABD5310}">
      <text>
        <r>
          <rPr>
            <sz val="9"/>
            <color indexed="81"/>
            <rFont val="MS P ゴシック"/>
            <family val="3"/>
            <charset val="128"/>
          </rPr>
          <t>Insight iXlW00001C0000604R0585476093S00001206P01396LAocjBAQBF1NjaVRlZ2ljLmRhdGEuTW9sZWN1bGUBbwF/ARJTY2lUZWdpYy5Nb2xlY3VsZQAAAQFkAv5qAQAAAAIBAgESIAAAAPz8APwAAgAAAAAAAPC/AsB9HThnRPc/An/7OnDOiOS/AAAAAAEQAAAA/PwA/AACAAAAAAAA8L8CfIMvTKYK3j8Cu7iNBvAW6r8AAAAAIAAAAPz8APwAAgAAAAAAAPC/Akku/yH99uk/AhWuR+F6FPy/AAAAABwAAAD8/AD8AAIAAAAAAADwvwKL/WX35GHZvwJe3EYDeAv1vwAAAAAYAAAA/PwA/AACAAAAAAAA8L8CFoxK6gQ09L8Cu7iNBvAW6r8AAAAAGAAAAPz8APwAAgAAAAAAAPC/Aiz2l92TBwHAAl7cRgN4C/W/AAAAABgAAAD8/AD8AAIAAAAAAADwvwJNpgpGJfUHwAK7uI0G8BbqvwAAAAAYAAAA/PwA/AACAAAAAAAA8L8CTaYKRiX1B8ACFR3J5T+kxz8AAAAAGAAAAPz8APwAAgAAAAAAAPC/Aiz2l92TBwHAAkZHcvkP6eU/AAAAABgAAAD8/AD8AAIAAAAAAADwvwIWjErqBDT0vwIVHcnlP6THPwAAAAAYAAAA/PwA/AACAAAAAAAA8L8Ci/1l9+Rh2b8CRkdy+Q/p5T8AAAAAHAAAAPz8APwAAgAAAAAAAPC/AnyDL0ymCt4/AhUdyeU/pMc/AAAAABgIAAD8/AD8AAIAAAAAAADwvwIhQfFjzF31PwJGR3L5D+nlPwAAAAAYAAAA/PwA/AACAAAAAAAA8L8CC9ejcD0K9z8CWRe30QDe+j8AAAAAGAAAAPz8APwAAgAAAAAAAPC/AmN/2T15WANAAm+BBMWPMf4/AAAAABwAAAD8/AD8AAIAAAAAAADwvwIrqRPQRFgHQAIuIR/0bFbwPwAAAAAYAAAA/PwA/AACAAAAAAAA8L8Cy6FFtvP9AUAC1LzjFB3J0T8AAAAAAREAAAD8/AD8AAIAAAAAAADwvwKRD3o2q74NQAJMN4lBYOWwPwAAAAABEwAEAWUIAAAAAAAAAAAECAFlCAAAAAAAAAAABAwBZQQAAAAAAAAAAAwQAWUEAAAAAAAAAAAQFAFlCAwAAAAAAAAAFBgBZQQAAAAAAAAAABgcAWUICAAAAAAAAAAcIAFlBAAAAAAAAAAAICQBZQgIAAAAAAAAACQQAWUEAAAAAAAAAAAkKAFlBAAAAAAAAAAAKCwBZQQAAAAAAAAAACwEAWUEAAAAAAAAAAAwLAFlBBAAAAAAAAAAMDQBZQQAAAAAAAAAADQ4AWUEAAAAAAAAAAA4PAFlBAAAAAAAAAAAPAEQAWUEAAAAAAAAAAABEDABZQQAAAAAAAAAAAAAAAA=</t>
        </r>
      </text>
    </comment>
    <comment ref="A605" authorId="0" shapeId="0" xr:uid="{07F1ECAB-7551-442A-9254-8F536BF16DE9}">
      <text>
        <r>
          <rPr>
            <sz val="9"/>
            <color indexed="81"/>
            <rFont val="MS P ゴシック"/>
            <family val="3"/>
            <charset val="128"/>
          </rPr>
          <t>Insight iXlW00001C0000605R0585476093S00001208P01396LAocjBAQBF1NjaVRlZ2ljLmRhdGEuTW9sZWN1bGUBbwF/ARJTY2lUZWdpYy5Nb2xlY3VsZQAAAQFkAv5qAQAAAAIBAgESIAAAAPz8APwAAgAAAAAAAPC/AsB9HThnRPc/An/7OnDOiOS/AAAAAAEQAAAA/PwA/AACAAAAAAAA8L8CfIMvTKYK3j8Cu7iNBvAW6r8AAAAAIAAAAPz8APwAAgAAAAAAAPC/Akku/yH99uk/AhWuR+F6FPy/AAAAABwAAAD8/AD8AAIAAAAAAADwvwKL/WX35GHZvwJe3EYDeAv1vwAAAAAYAAAA/PwA/AACAAAAAAAA8L8CFoxK6gQ09L8Cu7iNBvAW6r8AAAAAGAAAAPz8APwAAgAAAAAAAPC/Aiz2l92TBwHAAl7cRgN4C/W/AAAAABgAAAD8/AD8AAIAAAAAAADwvwJNpgpGJfUHwAK7uI0G8BbqvwAAAAAYAAAA/PwA/AACAAAAAAAA8L8CTaYKRiX1B8ACFR3J5T+kxz8AAAAAGAAAAPz8APwAAgAAAAAAAPC/Aiz2l92TBwHAAkZHcvkP6eU/AAAAABgAAAD8/AD8AAIAAAAAAADwvwIWjErqBDT0vwIVHcnlP6THPwAAAAAYAAAA/PwA/AACAAAAAAAA8L8Ci/1l9+Rh2b8CRkdy+Q/p5T8AAAAAHAAAAPz8APwAAgAAAAAAAPC/AnyDL0ymCt4/AhUdyeU/pMc/AAAAABgMAAD8/AD8AAIAAAAAAADwvwIhQfFjzF31PwJGR3L5D+nlPwAAAAAYAAAA/PwA/AACAAAAAAAA8L8CC9ejcD0K9z8CWRe30QDe+j8AAAAAGAAAAPz8APwAAgAAAAAAAPC/AmN/2T15WANAAm+BBMWPMf4/AAAAABwAAAD8/AD8AAIAAAAAAADwvwIrqRPQRFgHQAIuIR/0bFbwPwAAAAAYAAAA/PwA/AACAAAAAAAA8L8Cy6FFtvP9AUAC1LzjFB3J0T8AAAAAAREAAAD8/AD8AAIAAAAAAADwvwKRD3o2q74NQAJMN4lBYOWwPwAAAAABEwAEAWUIAAAAAAAAAAAECAFlCAAAAAAAAAAABAwBZQQAAAAAAAAAAAwQAWUEAAAAAAAAAAAQFAFlCAwAAAAAAAAAFBgBZQQAAAAAAAAAABgcAWUICAAAAAAAAAAcIAFlBAAAAAAAAAAAICQBZQgIAAAAAAAAACQQAWUEAAAAAAAAAAAkKAFlBAAAAAAAAAAAKCwBZQQAAAAAAAAAACwEAWUEAAAAAAAAAAAwLAFlBBQAAAAAAAAAMDQBZQQAAAAAAAAAADQ4AWUEAAAAAAAAAAA4PAFlBAAAAAAAAAAAPAEQAWUEAAAAAAAAAAABEDABZQQAAAAAAAAAAAAAAAA=</t>
        </r>
      </text>
    </comment>
    <comment ref="A606" authorId="0" shapeId="0" xr:uid="{47EF4821-CACC-4068-95BE-91F7CF737475}">
      <text>
        <r>
          <rPr>
            <sz val="9"/>
            <color indexed="81"/>
            <rFont val="MS P ゴシック"/>
            <family val="3"/>
            <charset val="128"/>
          </rPr>
          <t>Insight iXlW00001C0000606R0585476093S00001210P01016LAocjBAQBF1NjaVRlZ2ljLmRhdGEuTW9sZWN1bGUBbwF/ARJTY2lUZWdpYy5Nb2xlY3VsZQAAAQFkAv5qAQAAAAIAAjQYAAAA/PwA/AACAAAAAAAA8L8CEqW9wRcm978Cl5APejarvr8AAAAAGAAAAPz8APwAAgAAAAAAAPC/AsUgsHJokd2/AmMQWDm0yNK/AAAAABgAAAD8/AD8AAIAAAAAAADwvwJSuB6F61H0PwLP91PjpZvmPwAAAAAgAAAA/PwA/AACAAAAAAAA8L8C1sVtNIC3AMACRdjw9EpZ7L8AAAAAGAAAAPz8APwAAgAAAAAAAPC/AsUgsHJokd2/As/3U+Olm+Y/AAAAABgAAAD8/AD8AAIAAAAAAADwvwJCYOXQItvZPwIxCKwcWmTpvwAAAAAYAAAA/PwA/AACAAAAAAAA8L8CQmDl0CLb2T8C6Pup8dJN8z8AAAAAGAAAAPz8APwAAgAAAAAAAPC/AlK4HoXrUfQ/AmMQWDm0yNK/AAAAACQAAAD8/AD8AAIAAAAAAADwvwKYbhKDwMr5PwKfzarP1Vb6PwAAAAAkAAAA/PwA/AACAAAAAAAA8L8CmSoYldQJAkACkzoBTYQN4T8AAAAAIAAAAPz8APwAAgAAAAAAAPC/Alhbsb/snvy/Alyxv+yePOo/AAAAABgAAAD8/AD8AAIAAAAAAADwvwLQ1VbsL7vpvwLQ1VbsL7vzvwAAAAAYAAAA/PwA/AACAAAAAAAA8L8CaCJseHqlxL8CeJyiI7n8/78AAAAANAQAAWUEAAAAAAAAAAAIHAFlBAAAAAAAAAAADAABZQgAAAAAAAAAABAEAWUEAAAAAAAAAAAUBAFlBAAAAAAAAAAAGBABZQQAAAAAAAAAABwUAWUEAAAAAAAAAAAgCAFlBAAAAAAAAAAAJAgBZQQAAAAAAAAAACgAAWUEAAAAAAAAAAAsBAFlBAAAAAAAAAAAMCwBZQQAAAAAAAAAAAgYAWUEAAAAAAAAAAAAAAAA</t>
        </r>
      </text>
    </comment>
    <comment ref="A607" authorId="0" shapeId="0" xr:uid="{3E0A9015-C21D-47FA-B2FE-26274E705939}">
      <text>
        <r>
          <rPr>
            <sz val="9"/>
            <color indexed="81"/>
            <rFont val="MS P ゴシック"/>
            <family val="3"/>
            <charset val="128"/>
          </rPr>
          <t>Insight iXlW00001C0000607R0585476093S00001212P01396LAocjBAQBF1NjaVRlZ2ljLmRhdGEuTW9sZWN1bGUBbwF/ARJTY2lUZWdpYy5Nb2xlY3VsZQAAAQFkAv5qAQAAAAIAAgESGAAAAPz8APwAAgAAAAAAAPC/Aum3rwPnjOC/AmmR7Xw/NeS/AAAAABgAAAD8/AD8AAIAAAAAAADwvwIIzhlR2hvmvwKVZYhjXdz5vwAAAAAYAAAA/PwA/AACAAAAAAAA8L8C9dvXgXNG+L8Cz/dT46Wb8T8AAAAAGAAAAPz8APwAAgAAAAAAAPC/AgvXo3A9Cts/AvT91HjpJu+/AAAAABgAAAD8/AD8AAIAAAAAAADwvwIi/fZ14JyRvwJrvHSTGATOPwAAAAAYAAAA/PwA/AACAAAAAAAA8L8C9dvXgXNG+L8CaZHtfD815L8AAAAAIAAAAPz8APwAAgAAAAAAAPC/AlXBqKROQLM/AhgmUwWjEgLAAAAAABgAAAD8/AD8AAIAAAAAAADwvwL67evAOSMAwAJrvHSTGATOPwAAAAAYAAAA/PwA/AACAAAAAAAA8L8C6bevA+eM4L8Cz/dT46Wb8T8AAAAAJAAAAPz8APwAAgAAAAAAAPC/AtZW7C+7pwPAAhWuR+F6FPc/AAAAACQAAAD8/AD8AAIAAAAAAADwvwJXfa62Yn/1vwJYyjLEsa4AQAAAAAAgAAAA/PwA/AACAAAAAAAA8L8Cu7iNBvAW+r8C2xt8YTJV/78AAAAAGAAAAPz8APwAAgAAAAAAAPC/Amu8dJMYBPM/AnxhMlUwKtW/AAAAABgAAAD8/AD8AAIAAAAAAADwvwIRx7q4jQYBQAJKnYAmwoblvwAAAAAYAAAA/PwA/AACAAAAAAAA8L8CzV1LyAc98D8CAwmKH2Pu5D8AAAAAGAAAAPz8APwAAgAAAAAAAPC/AubQItv5fvw/Aqs+V1uxv/Q/AAAAABgAAAD8/AD8AAIAAAAAAADwvwKegCbChicHQAK5HoXrUbievwAAAAAYAAAA/PwA/AACAAAAAAAA8L8CFvvL7snDBUACzBDHuriN7j8AAAAAARMEAAFlBAAAAAAAAAAACBwBZQQAAAAAAAAAAAwAAWUEAAAAAAAAAAAQAAFlBAAAAAAAAAAAFAABZQQAAAAAAAAAABgEAWUIAAAAAAAAAAAcFAFlBAAAAAAAAAAAIBABZQQAAAAAAAAAACQIAWUEAAAAAAAAAAAoCAFlBAAAAAAAAAAALAQBZQQAAAAAAAAAADAMAWUEAAAAAAAAAAA0MAFlBAAAAAAAAAAAODABZQgMAAAAAAAAADw4AWUEAAAAAAAAAAABEDQBZQgIAAAAAAAAAAERPAFlCAgAAAAAAAAACCABZQQAAAAAAAAAAAEQAREBZQQAAAAAAAAAAAAAAAA=</t>
        </r>
      </text>
    </comment>
    <comment ref="A608" authorId="0" shapeId="0" xr:uid="{FB10133D-0FB3-4C79-B945-4AA5DCA1269A}">
      <text>
        <r>
          <rPr>
            <sz val="9"/>
            <color indexed="81"/>
            <rFont val="MS P ゴシック"/>
            <family val="3"/>
            <charset val="128"/>
          </rPr>
          <t>Insight iXlW00001C0000608R0585476093S00001214P01468LAocjBAQBF1NjaVRlZ2ljLmRhdGEuTW9sZWN1bGUBbwF/ARJTY2lUZWdpYy5Nb2xlY3VsZQAAAQFkAv5qAQAAAAIAAgETGAAAAPz8APwAAgAAAAAAAPC/AiKOdXEbDei/Ahlz1xLyQeM/AAAAABgAAAD8/AD8AAIAAAAAAADwvwLyY8xdS8j7vwI4iUFg5dDoPwAAAAAYAAAA/PwA/AACAAAAAAAA8L8C5fIf0m9f7z8CjblrCfmg+T8AAAAAGAAAAPz8APwAAgAAAAAAAPC/Ald9rrZif/G/AqtgVFInoNW/AAAAABgAAAD8/AD8AAIAAAAAAADwvwIijnVxGw3ovwKNuWsJ+aD5PwAAAAAYAAAA/PwA/AACAAAAAAAA8L8CDJOpglFJvT8CyJi7lpAPuj8AAAAAIAAAAPz8APwAAgAAAAAAAPC/AkYldQKaCAPAAlXBqKROQIM/AAAAABgAAAD8/AD8AAIAAAAAAADwvwLvWkI+6NncvwLT3uALk6nxvwAAAAAYAAAA/PwA/AACAAAAAAAA8L8CDJOpglFJvT8Cxty1hHzQAEAAAAAAGAAAAPz8APwAAgAAAAAAAPC/AuXyH9JvX+8/Ahlz1xLyQeM/AAAAACQAAAD8/AD8AAIAAAAAAADwvwIpXI/C9Sj1PwKiRbbz/VQEQAAAAAAkAAAA/PwA/AACAAAAAAAA8L8CU5YhjnVx/z8C71pCPujZ9j8AAAAAGAAAAPz8APwAAgAAAAAAAPC/AkoMAiuHFuE/AmkAb4EExe2/AAAAACAAAAD8/AD8AAIAAAAAAADwvwIcDeAtkKAAwALi6ZWyDHH7PwAAAAAYAAAA/PwA/AACAAAAAAAA8L8CT0ATYcPT8j8C3UYDeAsk+78AAAAAJAAAAPz8APwAAgAAAAAAAPC/AphuEoPASgFAAj/o2az6XPi/AAAAABgAAAD8/AD8AAIAAAAAAADwvwK8lpAPejbDvwLSkVz+Q3oGwAAAAAAYAAAA/PwA/AACAAAAAAAA8L8CA5oIG55e6b8CRdjw9EpZAMAAAAAAGAAAAPz8APwAAgAAAAAAAPC/AhIUP8bcteo/AkoMAiuHFgXAAAAAAAEUBAABZQQAAAAAAAAAAAgkAWUEAAAAAAAAAAAMAAFlBAAAAAAAAAAAEAABZQQAAAAAAAAAABQAAWUEAAAAAAAAAAAYBAFlCAAAAAAAAAAAHAwBZQQAAAAAAAAAACAQAWUEAAAAAAAAAAAkFAFlBAAAAAAAAAAAKAgBZQQAAAAAAAAAACwIAWUEAAAAAAAAAAAwHAFlBAAAAAAAAAAANAQBZQQAAAAAAAAAADgwAWUIDAAAAAAAAAA8OAFlBAAAAAAAAAAAARABEQFlBAAAAAAAAAAAAREcAWUIDAAAAAAAAAABEgEQAWUICAAAAAAAAAAIIAFlBAAAAAAAAAAAOAESAWUEAAAAAAAAAAAAAAAA</t>
        </r>
      </text>
    </comment>
    <comment ref="A609" authorId="0" shapeId="0" xr:uid="{0622777F-5472-4576-B3EF-503B68A16C48}">
      <text>
        <r>
          <rPr>
            <sz val="9"/>
            <color indexed="81"/>
            <rFont val="MS P ゴシック"/>
            <family val="3"/>
            <charset val="128"/>
          </rPr>
          <t>Insight iXlW00001C0000609R0585476093S00001216P01304LAocjBAQBF1NjaVRlZ2ljLmRhdGEuTW9sZWN1bGUBbwF/ARJTY2lUZWdpYy5Nb2xlY3VsZQAAAQFkAv5qAQAAAAIAAgERHAAAAPz8APwAAgAAAAAAAPC/AvCnxks3idm/AlH8GHPXEuS/AAAAABgAAAD8/AD8AAIAAAAAAADwvwKwcmiR7XzXPwJYObTIdr6PPwAAAAAYAAAA/PwA/AACAAAAAAAA8L8C8KfGSzeJ2b8COUVHcvkP5T8AAAAAGAAAAPz8APwAAgAAAAAAAPC/ArN78rBQa/W/Alyxv+yePNQ/AAAAABgAAAD8/AD8AAIAAAAAAADwvwJR2ht8YTL4vwIUYcPTK2XlvwAAAAAYAAAA/PwA/AACAAAAAAAA8L8CBFYOLbKdA8ACz2bV52or8L8AAAAAGAAAAPz8APwAAgAAAAAAAPC/ApEPejarvgnAAtIA3gIJite/AAAAABgAAAD8/AD8AAIAAAAAAADwvwIJih9j7loIwAJYObTIdr7jPwAAAAAYAAAA/PwA/AACAAAAAAAA8L8CLiEf9GzWAMAC5KWbxCCw7j8AAAAAGAAAAPz8APwAAgAAAAAAAPC/Alg5tMh2vus/AoBIv30dOOu/AAAAABgAAAD8/AD8AAIAAAAAAADwvwKsHFpkO9/9PwKe76fGSzfrvwAAAAAYAAAA/PwA/AACAAAAAAAA8L8CVg4tsp3vAkACWDm0yHa+jz8AAAAAJAAAAPz8APwAAgAAAAAAAPC/AuPHmLuWEAlAAhueXinLEOU/AAAAACQAAAD8/AD8AAIAAAAAAADwvwKq8dJNYhAJQAJR/Bhz1xLkvwAAAAAYAAAA/PwA/AACAAAAAAAA8L8CrBxaZDvf/T8CaZHtfD817D8AAAAAGAAAAPz8APwAAgAAAAAAAPC/Alg5tMh2vus/AmmR7Xw/New/AAAAAAERAAAA/PwA/AACAAAAAAAA8L8CSS7/If12D0ACs3vysFBrmr8AAAAAAREABAFlBAAAAAAAAAAABAgBZQQAAAAAAAAAAAgMAWUEAAAAAAAAAAAMEAFlCAwAAAAAAAAAEBQBZQQAAAAAAAAAABQYAWUICAAAAAAAAAAYHAFlBAAAAAAAAAAAHCABZQgIAAAAAAAAACAMAWUEAAAAAAAAAAAEJAFlBAAAAAAAAAAAJCgBZQQAAAAAAAAAACgsAWUEAAAAAAAAAAAsMAFlBAAAAAAAAAAALDQBZQQAAAAAAAAAACw4AWUEAAAAAAAAAAA4PAFlBAAAAAAAAAAAPAQBZQQAAAAAAAAAAAAAAAA=</t>
        </r>
      </text>
    </comment>
    <comment ref="A610" authorId="0" shapeId="0" xr:uid="{EA0BA9CC-30AF-4DC6-B06E-77C783C7BE53}">
      <text>
        <r>
          <rPr>
            <sz val="9"/>
            <color indexed="81"/>
            <rFont val="MS P ゴシック"/>
            <family val="3"/>
            <charset val="128"/>
          </rPr>
          <t>Insight iXlW00001C0000610R0585476093S00001218P01376LAocjBAQBF1NjaVRlZ2ljLmRhdGEuTW9sZWN1bGUBbwF/ARJTY2lUZWdpYy5Nb2xlY3VsZQAAAQFkAv5qAQAAAAIAAgESHAAAAPz8APwAAgAAAAAAAPC/AjsBTYQNT8+/AlK4HoXrUeC/AAAAABgAAAD8/AD8AAIAAAAAAADwvwLkpZvEILDgPwKPU3Qkl//APwAAAAAYAAAA/PwA/AACAAAAAAAA8L8Cs53vp8ZLz78CGuJYF7fR6D8AAAAAGAAAAPz8APwAAgAAAAAAAPC/Am7F/rJ78vK/Ah3r4jYawNs/AAAAABgAAAD8/AD8AAIAAAAAAADwvwKHONbFbTT/vwJiodY07zjxPwAAAAAYAAAA/PwA/AACAAAAAAAA8L8CH4XrUbgeB8ACOdbFbTSA5z8AAAAAGAAAAPz8APwAAgAAAAAAAPC/Am40gLdAggjAAhHHuriNBtC/AAAAABgAAAD8/AD8AAIAAAAAAADwvwIaUdobfGECwAK+MJkqGJXsvwAAAAAkAAAA/PwA/AACAAAAAAAA8L8CaQBvgQTFA8ACQDVeukkM/r8AAAAAGAAAAPz8APwAAgAAAAAAAPC/An3Qs1n1ufW/AjPEsS5uo+G/AAAAABgAAAD8/AD8AAIAAAAAAADwvwLy0k1iEFjwPwKgq63YX3bnvwAAAAAYAAAA/PwA/AACAAAAAAAA8L8CeekmMQgsAEACoKut2F92578AAAAAGAAAAPz8APwAAgAAAAAAAPC/AnnpJjEILARAAhi30QDeAsE/AAAAACQAAAD8/AD8AAIAAAAAAADwvwLNzMzMzEwKQAIa4lgXt9HoPwAAAAAkAAAA/PwA/AACAAAAAAAA8L8CzczMzMxMCkACcF8HzhlR4L8AAAAAGAAAAPz8APwAAgAAAAAAAPC/AnnpJjEILABAAkku/yH99u8/AAAAABgAAAD8/AD8AAIAAAAAAADwvwLy0k1iEFjwPwJn1edqK/bvPwAAAAABEQAAAPz8APwAAgAAAAAAAPC/ApqZmZmZWRBAArwnDwu1ptm/AAAAAAESAAQBZQQAAAAAAAAAAAQIAWUEAAAAAAAAAAAIDAFlBAAAAAAAAAAADBABZQgMAAAAAAAAABAUAWUEAAAAAAAAAAAUGAFlCAgAAAAAAAAAGBwBZQQAAAAAAAAAABwgAWUEAAAAAAAAAAAcJAFlCAgAAAAAAAAAJAwBZQQAAAAAAAAAAAQoAWUEAAAAAAAAAAAoLAFlBAAAAAAAAAAALDABZQQAAAAAAAAAADA0AWUEAAAAAAAAAAAwOAFlBAAAAAAAAAAAMDwBZQQAAAAAAAAAADwBEAFlBAAAAAAAAAAAARAEAWUEAAAAAAAAAAAAAAAA</t>
        </r>
      </text>
    </comment>
    <comment ref="A611" authorId="0" shapeId="0" xr:uid="{B656D06B-672A-4D60-8895-6C7173E4092B}">
      <text>
        <r>
          <rPr>
            <sz val="9"/>
            <color indexed="81"/>
            <rFont val="MS P ゴシック"/>
            <family val="3"/>
            <charset val="128"/>
          </rPr>
          <t>Insight iXlW00001C0000611R0585476093S00001220P01036LAocjBAQBF1NjaVRlZ2ljLmRhdGEuTW9sZWN1bGUBbwF/ARJTY2lUZWdpYy5Nb2xlY3VsZQAAAQFkAv5qAQAAAAIAAjQYAAAA/PwA/AACAAAAAAAA8L8C87BQa5p38b8CZhniWBe3yT8AAAAAGAAAAPz8APwAAgAAAAAAAPC/ApEPejarPvS/Ag3gLZCg+PI/AAAAABgAAAD8/AD8AAIAAAAAAADwvwJVwaikTkAAwALHSzeJQWDhPwAAAAAYAAAA/PwA/AACAAAAAAAA8L8CkQ96Nqs+9L8CaLPqc7UV6b8AAAAAGAAAAPz8APwAAgAAAAAAAPC/AigPC7Wmebe/AmYZ4lgXt8k/AAAAABwAAAD8/AD8AAIAAAAAAADwvwI2PL1SliHaPwIqOpLLf0jlvwAAAAAgAAAA/PwA/AACAAAAAAAA8L8CoyO5/If0378CT0ATYcPT9r8AAAAAGAAAAPz8APwAAgAAAAAAAPC/AjY8vVKWIdo/At9PjZduEvE/AAAAABgAAAD8/AD8AAIAAAAAAADwvwIOT6+UZYj2PwIqOpLLf0jlvwAAAAAgAAAA/PwA/AACAAAAAAAA8L8CpHA9CtejAcAC+g/pt68D8r8AAAAAGAAAAPz8APwAAgAAAAAAAPC/Ag5Pr5RliP4/Au58PzVeusk/AAAAABgAAAD8/AD8AAIAAAAAAADwvwIOT6+UZYj2PwLfT42XbhLxPwAAAAAYAAAA/PwA/AACAAAAAAAA8L8Ch6dXyjJEB0AC7nw/NV66yT8AAAAAOAQAAWUEAAAAAAAAAAAIAAFlBAAAAAAAAAAADAABZQQAAAAAAAAAABAAAWUEAAAAAAAAAAAUEAFlBAAAAAAAAAAAGAwBZQgAAAAAAAAAABwQAWUIDAAAAAAAAAAgFAFlCAgAAAAAAAAAJAwBZQQAAAAAAAAAACgsAWUIDAAAAAAAAAAsHAFlBAAAAAAAAAAAMCgBZQQAAAAAAAAAAAQIAWUEAAAAAAAAAAAoIAFlBAAAAAAAAAAAAAAAAA==</t>
        </r>
      </text>
    </comment>
    <comment ref="A612" authorId="0" shapeId="0" xr:uid="{D2E8F2BB-5FF6-4C4D-9B68-05CC9AF7BEC4}">
      <text>
        <r>
          <rPr>
            <sz val="9"/>
            <color indexed="81"/>
            <rFont val="MS P ゴシック"/>
            <family val="3"/>
            <charset val="128"/>
          </rPr>
          <t>Insight iXlW00001C0000612R0585476093S00001222P01016LAocjBAQBF1NjaVRlZ2ljLmRhdGEuTW9sZWN1bGUBbwF/ARJTY2lUZWdpYy5Nb2xlY3VsZQAAAQFkAv5qAQAAAAIAAjQcAAAA/PwA/AACAAAAAAAA8L8CseHplbIMsb8CtFn1udqKvT8AAAAAGAAAAPz8APwAAgAAAAAAAPC/Ap5eKcsQx/y/ArRZ9bnair0/AAAAABgAAAD8/AD8AAIAAAAAAADwvwK6/If029ftvwKTqYJRSZ3YvwAAAAAYAAAA/PwA/AACAAAAAAAA8L8CTYQNT6+U6T8Ck6mCUUmd2L8AAAAAIAAAAPz8APwAAgAAAAAAAPC/Aqk1zTtOUQXAApOpglFJndi/AAAAACAAAAD8/AD8AAIAAAAAAADwvwJoImx4eqX6PwK0WfW52oq9PwAAAAAgAAAA/PwA/AACAAAAAAAA8L8CEAu1pnnH/L8Cm1Wfq63Y8T8AAAAAGAAAAPz8APwAAgAAAAAAAPC/Ak2EDU+vlOk/AmWqYFRSJ/a/AAAAABgAAAD8/AD8AAIAAAAAAADwvwK6/If029ftvwJlqmBUUif2vwAAAAAYAAAA/PwA/AACAAAAAAAA8L8CseHplbIMsb8CZapgVFIn/r8AAAAAGAAAAPz8APwAAgAAAAAAAPC/AmgibHh6pfo/AptVn6ut2PE/AAAAABgAAAD8/AD8AAIAAAAAAADwvwJNhA1Pr5TpPwKcVZ+rrdj5PwAAAAAYAAAA/PwA/AACAAAAAAAA8L8CVcGopE5ABEACnFWfq63Y+T8AAAAANAQIAWUEAAAAAAAAAAAIAAFlBAAAAAAAAAAADAABZQgMAAAAAAAAABAEAWUIAAAAAAAAAAAUDAFlBAAAAAAAAAAAGAQBZQQAAAAAAAAAABwMAWUEAAAAAAAAAAAgCAFlCAwAAAAAAAAAJBwBZQgIAAAAAAAAACgUAWUEAAAAAAAAAAAsKAFlBAAAAAAAAAAAMCgBZQQAAAAAAAAAACQgAWUEAAAAAAAAAAAAAAAA</t>
        </r>
      </text>
    </comment>
    <comment ref="A613" authorId="0" shapeId="0" xr:uid="{D107671F-9C98-4C67-A375-BEE23A7ACF9C}">
      <text>
        <r>
          <rPr>
            <sz val="9"/>
            <color indexed="81"/>
            <rFont val="MS P ゴシック"/>
            <family val="3"/>
            <charset val="128"/>
          </rPr>
          <t>Insight iXlW00001C0000613R0585476093S00001224P01248LAocjBAQBF1NjaVRlZ2ljLmRhdGEuTW9sZWN1bGUBbwF/ARJTY2lUZWdpYy5Nb2xlY3VsZQAAAQFkAv5qAQAAAAIAAgEQGAAAAPz8APwAAgAAAAAAAPC/Aqyt2F92T/4/AjxO0ZFc/su/AAAAABgAAAD8/AD8AAIAAAAAAADwvwL3Bl+YTBUGQAKPU3Qkl//mvwAAAAAYAAAA/PwA/AACAAAAAAAA8L8Cak3zjlN08D8Cj1N0JJf/5r8AAAAAHAAAAPz8APwAAgAAAAAAAPC/Aqyt2F92T/4/Ao9TdCSX/+g/AAAAABgAAAD8/AD8AAIAAAAAAADwvwJFaW/whcnEPwLFsS5uowHMvwAAAAAgAAAA/PwA/AACAAAAAAAA8L8CUI2XbhIDDUACPE7RkVz+y78AAAAAIAAAAPz8APwAAgAAAAAAAPC/AjLmriXkg+a/AnGsi9toAOe/AAAAACAAAAD8/AD8AAIAAAAAAADwvwIooImw4WkKwAKPU3Qkl//oPwAAAAAgAAAA/PwA/AACAAAAAAAA8L8C9wZfmEwVBkACyCk6kst/+78AAAAAGAAAAPz8APwAAgAAAAAAAPC/AmpN845TdPA/AsgpOpLLf/Q/AAAAABgAAAD8/AD8AAIAAAAAAADwvwJFaW/whcnEPwKPU3Qkl//oPwAAAAAYAAAA/PwA/AACAAAAAAAA8L8CzH9Iv30d+b8CxbEubqMBzL8AAAAAGAAAAPz8APwAAgAAAAAAAPC/Asx/SL99Hfm/Ao9TdCSX/+g/AAAAABgAAAD8/AD8AAIAAAAAAADwvwIH8BZIUHwDwAKPU3Qkl//mvwAAAAAYAAAA/PwA/AACAAAAAAAA8L8CKKCJsOFpCsACPE7RkVz+y78AAAAAGAAAAPz8APwAAgAAAAAAAPC/AgfwFkhQfAPAAsgpOpLLf/Q/AAAAAAERBAABZQQAAAAAAAAAAAgAAWUEAAAAAAAAAAAMAAFlCAwAAAAAAAAAEAgBZQgMAAAAAAAAABQEAWUIAAAAAAAAAAAYEAFlBAAAAAAAAAAAHDgBZQQAAAAAAAAAACAEAWUEAAAAAAAAAAAkDAFlBAAAAAAAAAAAKCQBZQgIAAAAAAAAACwYAWUEAAAAAAAAAAAwLAFlBAAAAAAAAAAANCwBZQQAAAAAAAAAADg0AWUEAAAAAAAAAAA8MAFlBAAAAAAAAAAAECgBZQQAAAAAAAAAADwcAWUEAAAAAAAAAAAAAAAA</t>
        </r>
      </text>
    </comment>
    <comment ref="A614" authorId="0" shapeId="0" xr:uid="{BD42AD18-9CED-4797-8B19-7B311335E072}">
      <text>
        <r>
          <rPr>
            <sz val="9"/>
            <color indexed="81"/>
            <rFont val="MS P ゴシック"/>
            <family val="3"/>
            <charset val="128"/>
          </rPr>
          <t>Insight iXlW00001C0000614R0585476093S00001226P01176LAocjBAQBF1NjaVRlZ2ljLmRhdGEuTW9sZWN1bGUBbwF/ARJTY2lUZWdpYy5Nb2xlY3VsZQAAAQFkAv5qAQAAAAIAAjwYAAAA/PwA/AACAAAAAAAA8L8C3GgAb4EE+78C0GbV52orxj8AAAAAGAAAAPz8APwAAgAAAAAAAPC/Am40gLdAggHAAhwN4C2QoPA/AAAAABgAAAD8/AD8AAIAAAAAAADwvwK30QDeAgnmvwLQZtXnaivGPwAAAAAcAAAA/PwA/AACAAAAAAAA8L8CbjSAt0CCAcAC0GbV52or5r8AAAAAIAAAAPz8APwAAgAAAAAAAPC/Am40gLdAggnAAhwN4C2QoPA/AAAAABgAAAD8/AD8AAIAAAAAAADwvwLdRgN4CyTIvwLQZtXnaivmvwAAAAAgAAAA/PwA/AACAAAAAAAA8L8CSS7/If326T8C0GbV52or5r8AAAAAIAAAAPz8APwAAgAAAAAAAPC/AtxoAG+BBPu/Al1txf6ye/4/AAAAABgAAAD8/AD8AAIAAAAAAADwvwLcaABvgQT7vwKqE9BE2PD4vwAAAAAYAAAA/PwA/AACAAAAAAAA8L8Ct9EA3gIJ5r8CqhPQRNjw+L8AAAAAGAAAAPz8APwAAgAAAAAAAPC/AiWX/5B++/Q/AtBm1edqK8Y/AAAAABgAAAD8/AD8AAIAAAAAAADwvwKSy39Iv30CQALQZtXnaivGPwAAAAAYAAAA/PwA/AACAAAAAAAA8L8CWag1zTvODUAC0GbV52orxj8AAAAAGAAAAPz8APwAAgAAAAAAAPC/AtnO91PjJQhAAtBm1edqK+w/AAAAABgAAAD8/AD8AAIAAAAAAADwvwLZzvdT4yUIQAJos+pztRXhvwAAAAABEAQAAWUEAAAAAAAAAAAIAAFlBAAAAAAAAAAADAABZQgMAAAAAAAAABAEAWUIAAAAAAAAAAAUCAFlCAwAAAAAAAAAGBQBZQQAAAAAAAAAABwEAWUEAAAAAAAAAAAgDAFlBAAAAAAAAAAAJCABZQgIAAAAAAAAACgYAWUEAAAAAAAAAAAsKAFlBAAAAAAAAAAAMDgBZQQAAAAAAAAAADQsAWUEAAAAAAAAAAA4LAFlBAAAAAAAAAAAFCQBZQQAAAAAAAAAADQwAWUEAAAAAAAAAAAAAAAA</t>
        </r>
      </text>
    </comment>
    <comment ref="A615" authorId="0" shapeId="0" xr:uid="{AD689669-730B-4B02-993F-EE482E1604B2}">
      <text>
        <r>
          <rPr>
            <sz val="9"/>
            <color indexed="81"/>
            <rFont val="MS P ゴシック"/>
            <family val="3"/>
            <charset val="128"/>
          </rPr>
          <t>Insight iXlW00001C0000615R0585476093S00001228P01360LAocjBAQBF1NjaVRlZ2ljLmRhdGEuTW9sZWN1bGUBbwF/ARJTY2lUZWdpYy5Nb2xlY3VsZQAAAQFkAv5qAQAAAAIAAgESJAAAAPz8APwAAgAAAAAAAPC/Av9D+u3rwAXAAvRsVn2utua/AAAAABgAAAD8/AD8AAIAAAAAAADwvwL/Q/rt68ABwALEsS5uowHEPwAAAAAkAAAA/PwA/AACAAAAAAAA8L8CH/RsVn2uCMACcayL22gA5T8AAAAAJAAAAPz8APwAAgAAAAAAAPC/Av2H9NvXgfu/Ano2qz5XW/A/AAAAABgAAAD8/AD8AAIAAAAAAADwvwK7Jw8Ltab1vwIep+hILv/VvwAAAAAYAAAA/PwA/AACAAAAAAAA8L8CI2x4eqUs378CPE7RkVz+wz8AAAAAGAAAAPz8APwAAgAAAAAAAPC/AuQUHcnlP9g/AuJYF7fRANa/AAAAABwAAAD8/AD8AAIAAAAAAADwvwLkFB3J5T/YPwLIKTqSy3/1vwAAAAAYAAAA/PwA/AACAAAAAAAA8L8CI2x4eqUs378CyCk6kst//b8AAAAAHAAAAPz8APwAAgAAAAAAAPC/ArsnDwu1pvW/AsgpOpLLf/W/AAAAABwAAAD8/AD8AAIAAAAAAADwvwJ7pSxDHOvzPwI8TtGRXP7DPwAAAAAYAAAA/PwA/AACAAAAAAAA8L8Ce6UsQxzr8z8CyCk6kst/8j8AAAAAGAAAAPz8APwAAgAAAAAAAPC/At4CCYof4wBAAsgpOpLLf/o/AAAAABwAAAD8/AD8AAIAAAAAAADwvwI4iUFg5dAHQALIKTqSy3/yPwAAAAAYAAAA/PwA/AACAAAAAAAA8L8C/7J78rDQB0ACxLEubqMBxD8AAAAAGAAAAPz8APwAAgAAAAAAAPC/At4CCYof4wBAAh6n6Egu/9W/AAAAAAERAAAA/PwA/AACAAAAAAAA8L8Cnu+nxks3DkACxbEubqMBvL8AAAAAAREAAAD8/AD8AAIAAAAAAADwvwJdbcX+sjsTQAI8TtGRXP6zvwAAAAABEQAEAWUEAAAAAAAAAAAECAFlBAAAAAAAAAAABAwBZQQAAAAAAAAAAAQQAWUEAAAAAAAAAAAQFAFlBAAAAAAAAAAAFBgBZQgIAAAAAAAAABgcAWUEAAAAAAAAAAAcIAFlCAgAAAAAAAAAICQBZQQAAAAAAAAAACQQAWUIDAAAAAAAAAAYKAFlBAAAAAAAAAAAKCwBZQQAAAAAAAAAACwwAWUEAAAAAAAAAAAwNAFlBAAAAAAAAAAANDgBZQQAAAAAAAAAADg8AWUEAAAAAAAAAAA8KAFlBAAAAAAAAAAAAAAAAA==</t>
        </r>
      </text>
    </comment>
    <comment ref="A616" authorId="0" shapeId="0" xr:uid="{1CC5554E-72E4-49DF-AA4D-152172F0B01B}">
      <text>
        <r>
          <rPr>
            <sz val="9"/>
            <color indexed="81"/>
            <rFont val="MS P ゴシック"/>
            <family val="3"/>
            <charset val="128"/>
          </rPr>
          <t>Insight iXlW00001C0000616R0585476093S00001230P01236LAocjBAQBF1NjaVRlZ2ljLmRhdGEuTW9sZWN1bGUBbwF/ARJTY2lUZWdpYy5Nb2xlY3VsZQAAAQFkAv5qAQAAAAIAAgEQHAAAAPz8APwAAgAAAAAAAPC/Au84RUdy+QBAAu84RUdy+dO/AAAAABgAAAD8/AD8AAIAAAAAAADwvwL+1HjpJjHyPwIsZRniWBffvwAAAAAYAAAA/PwA/AACAAAAAAAA8L8CjblrCfmg3z8CdLUV+8vu0T8AAAAAGAAAAPz8APwAAgAAAAAAAPC/AnrHKTqSy9e/Arraiv1l9+g/AAAAABgAAAD8/AD8AAIAAAAAAADwvwJ6xyk6ksvXvwJdbcX+snv8PwAAAAAgAAAA/PwA/AACAAAAAAAA8L8CjblrCfmg3z8Cr7Zif9k9AkAAAAAAGAAAAPz8APwAAgAAAAAAAPC/AqVOQBNhw/U/Al1txf6ye/w/AAAAABgAAAD8/AD8AAIAAAAAAADwvwKlTkATYcP1PwK62or9ZffoPwAAAAAYAAAA/PwA/AACAAAAAAAA8L8CvsEXJlMFw78CLGUZ4lgX378AAAAAGAAAAPz8APwAAgAAAAAAAPC/AnDwhclUwcg/AgIrhxbZzva/AAAAABgAAAD8/AD8AAIAAAAAAADwvwI0orQ3+MLcvwLVeOkmMYgBwAAAAAAYAAAA/PwA/AACAAAAAAAA8L8CbsX+snvy9r8ChslUwagkAMAAAAAAGAAAAPz8APwAAgAAAAAAAPC/ArN78rBQa/y/AlXBqKROQPG/AAAAABgAAAD8/AD8AAIAAAAAAADwvwIYldQJaCLyvwK06nO1FfvTvwAAAAABIwAAAPz8APwAAgAAAAAAAPC/Al5LyAc9m/e/AhWuR+F6FOQ/AAAAAAERAAAA/PwA/AACAAAAAAAA8L8CVp+rrdhfB0ACH/RsVn2upj8AAAAAARAABAFlBAAAAAAAAAAABAgBZQQAAAAAAAAAAAgMAWUEAAAAAAAAAAAMEAFlBAAAAAAAAAAAEBQBZQQAAAAAAAAAABQYAWUEAAAAAAAAAAAYHAFlBAAAAAAAAAAAHAgBZQQAAAAAAAAAAAggAWUEAAAAAAAAAAAgJAFlCAwAAAAAAAAAJCgBZQQAAAAAAAAAACgsAWUICAAAAAAAAAAsMAFlBAAAAAAAAAAAMDQBZQgIAAAAAAAAADQgAWUEAAAAAAAAAAA0OAFlBAAAAAAAAAAAAAAAAA==</t>
        </r>
      </text>
    </comment>
    <comment ref="A617" authorId="0" shapeId="0" xr:uid="{4AA9D421-4A5B-47C7-95D2-24324F902CE3}">
      <text>
        <r>
          <rPr>
            <sz val="9"/>
            <color indexed="81"/>
            <rFont val="MS P ゴシック"/>
            <family val="3"/>
            <charset val="128"/>
          </rPr>
          <t>Insight iXlW00001C0000617R0585476093S00001232P01180LAocjBAQBF1NjaVRlZ2ljLmRhdGEuTW9sZWN1bGUBbwF/ARJTY2lUZWdpYy5Nb2xlY3VsZQAAAQFkAv5qAQAAAAIAAjwYAAAA/PwA/AACAAAAAAAA8L8CdQKaCBue5r8CBTQRNjy9yj8AAAAAGAAAAPz8APwAAgAAAAAAAPC/AphuEoPAytE/Ai9uowG8BaI/AAAAACAAAAD8/AD8AAIAAAAAAADwvwLf4AuTqYIDwAL/snvysFDpvwAAAAAYAAAA/PwA/AACAAAAAAAA8L8C16NwPQrX4z8CjGzn+6nx7L8AAAAAGAAAAPz8APwAAgAAAAAAAPC/AoIExY8xd+0/AjPEsS5uo+k/AAAAABgAAAD8/AD8AAIAAAAAAADwvwK06nO1FfsBQALvOEVHcvnTvwAAAAAYAAAA/PwA/AACAAAAAAAA8L8CIh/0bFZ9/j8C9wZfmEwV5D8AAAAAGAAAAPz8APwAAgAAAAAAAPC/AszuycNCrfk/AuQUHcnlP/G/AAAAAAEjAAAA/PwA/AACAAAAAAAA8L8CJLn8h/TbCUACaLPqc7UV378AAAAAHAAAAPz8APwAAgAAAAAAAPC/ApAxdy0hH/C/AuC+Dpwzov4/AAAAABgAAAD8/AD8AAIAAAAAAADwvwLUK2UZ4ljXvwLHSzeJQWDyPwAAAAAYAAAA/PwA/AACAAAAAAAA8L8CfGEyVTAq+b8CH/RsVn2u5j8AAAAAGAAAAPz8APwAAgAAAAAAAPC/AnUCmggbnua/Av+ye/KwUOm/AAAAABgAAAD8/AD8AAIAAAAAAADwvwJ8YTJVMCr5vwKA2T15WKj0vwAAAAAYAAAA/PwA/AACAAAAAAAA8L8C3+ALk6mCA8ACfdCzWfW5yj8AAAAAARAEAAFlBAAAAAAAAAAACDQBZQQAAAAAAAAAAAwEAWUIDAAAAAAAAAAQBAFlBAAAAAAAAAAAFBgBZQQAAAAAAAAAABgQAWUICAAAAAAAAAAcDAFlBAAAAAAAAAAAIBQBZQQAAAAAAAAAACQoAWUEAAAAAAAAAAAoAAFlBAAAAAAAAAAALAABZQQAAAAAAAAAADAAAWUEAAAAAAAAAAA0MAFlBAAAAAAAAAAAOCwBZQQAAAAAAAAAADgIAWUEAAAAAAAAAAAcFAFlCAgAAAAAAAAAAAAAAA==</t>
        </r>
      </text>
    </comment>
    <comment ref="A618" authorId="0" shapeId="0" xr:uid="{872C0992-C102-4046-A7A3-42F6658E8930}">
      <text>
        <r>
          <rPr>
            <sz val="9"/>
            <color indexed="81"/>
            <rFont val="MS P ゴシック"/>
            <family val="3"/>
            <charset val="128"/>
          </rPr>
          <t>Insight iXlW00001C0000618R0585476093S00001234P01448LAocjBAQBF1NjaVRlZ2ljLmRhdGEuTW9sZWN1bGUBbwF/ARJTY2lUZWdpYy5Nb2xlY3VsZQAAAQFkAv5qAQAAAAIAAgETHAAAAPz8APwAAgAAAAAAAPC/AhB6Nqs+VwNAAjerPldbsd+/AAAAABgAAAD8/AD8AAIAAAAAAADwvwI/V1uxv+z2PwLYEvJBz2blvwAAAAAYAAAA/PwA/AACAAAAAAAA8L8CSOF6FK5H6T8CxNMrZRniuD8AAAAAGAAAAPz8APwAAgAAAAAAAPC/Atv5fmq8dLO/Anl6pSxDHOM/AAAAABgAAAD8/AD8AAIAAAAAAADwvwLb+X5qvHSzvwI9vVKWIY75PwAAAAAgAAAA/PwA/AACAAAAAAAA8L8CSOF6FK5H6T8Cnl4pyxDHAEAAAAAAGAAAAPz8APwAAgAAAAAAAPC/AubQItv5fvo/Aj29UpYhjvk/AAAAABgAAAD8/AD8AAIAAAAAAADwvwLm0CLb+X76PwJ5eqUsQxzjPwAAAAAYAAAA/PwA/AACAAAAAAAA8L8CSFD8GHPXwj8C2BLyQc9m5b8AAAAAGAAAAPz8APwAAgAAAAAAAPC/AjsBTYQNT98/AiPb+X5qvPm/AAAAABgAAAD8/AD8AAIAAAAAAADwvwJiMlUwKqnDvwIep+hILv8CwAAAAAAYAAAA/PwA/AACAAAAAAAA8L8CLUMc6+I28r8ClyGOdXGbAcAAAAAAGAAAAPz8APwAAgAAAAAAAPC/AnP5D+m3r/e/AnZxGw3gLfS/AAAAABgAAAD8/AD8AAIAAAAAAADwvwKvJeSDns3qvwI3qz5XW7HfvwAAAAAYAAAA/PwA/AACAAAAAAAA8L8CHcnlP6Tf8r8CppvEILBy3D8AAAAAJAAAAPz8APwAAgAAAAAAAPC/AmpN845T9ADAAj4K16NwPbo/AAAAACQAAAD8/AD8AAIAAAAAAADwvwJjf9k9eVj4vwKh+DHmriX2PwAAAAAkAAAA/PwA/AACAAAAAAAA8L8CzhlR2ht86b8C3UYDeAsk9D8AAAAAAREAAAD8/AD8AAIAAAAAAADwvwJ24JwRpb0JQAL/Q/rt68DBvwAAAAABEwAEAWUEAAAAAAAAAAAECAFlBAAAAAAAAAAACAwBZQQAAAAAAAAAAAwQAWUEAAAAAAAAAAAQFAFlBAAAAAAAAAAAFBgBZQQAAAAAAAAAABgcAWUEAAAAAAAAAAAcCAFlBAAAAAAAAAAACCABZQQAAAAAAAAAACAkAWUIDAAAAAAAAAAkKAFlBAAAAAAAAAAAKCwBZQgIAAAAAAAAACwwAWUEAAAAAAAAAAAwNAFlCAgAAAAAAAAANCABZQQAAAAAAAAAADQ4AWUEAAAAAAAAAAA4PAFlBAAAAAAAAAAAOAEQAWUEAAAAAAAAAAA4AREBZQQAAAAAAAAAAAAAAAA=</t>
        </r>
      </text>
    </comment>
    <comment ref="A619" authorId="0" shapeId="0" xr:uid="{1ECB9633-27FF-4C02-A075-D6EF987374F2}">
      <text>
        <r>
          <rPr>
            <sz val="9"/>
            <color indexed="81"/>
            <rFont val="MS P ゴシック"/>
            <family val="3"/>
            <charset val="128"/>
          </rPr>
          <t>Insight iXlW00001C0000619R0585476093S00001236P01160LAocjBAQBF1NjaVRlZ2ljLmRhdGEuTW9sZWN1bGUBbwF/ARJTY2lUZWdpYy5Nb2xlY3VsZQAAAQFkAv5qAQAAAAIAAjwcAAAA/PwA/AACAAAAAAAA8L8C3pOHhVrT2L8CQs9m1edq8j8AAAAAGAAAAPz8APwAAgAAAAAAAPC/Ano2qz5XW+e/AlfsL7snD8s/AAAAABgAAAD8/AD8AAIAAAAAAADwvwJ6Nqs+V1vnvwLrBDQRNjzpvwAAAAAYAAAA/PwA/AACAAAAAAAA8L8Cf/s6cM6I+b8CdQKaCBue9L8AAAAAIAAAAPz8APwAAgAAAAAAAPC/AuAtkKD4sQPAAusENBE2POm/AAAAABgAAAD8/AD8AAIAAAAAAADwvwLgLZCg+LEDwAJX7C+7Jw/LPwAAAAAYAAAA/PwA/AACAAAAAAAA8L8Cf/s6cM6I+b8CFvvL7snD5j8AAAAAGAAAAPz8APwAAgAAAAAAAPC/Ao4G8BZIUNA/AndPHhZqTaM/AAAAABgAAAD8/AD8AAIAAAAAAADwvwLSb18HzhnjPwJ3vp8aL93svwAAAAAYAAAA/PwA/AACAAAAAAAA8L8CylTBqKRO+T8C2j15WKg18b8AAAAAGAAAAPz8APwAAgAAAAAAAPC/ArKd76fGywFAAsfctYR80NO/AAAAABgAAAD8/AD8AAIAAAAAAADwvwIfhetRuB7+PwILtaZ5xynkPwAAAAAkAAAA/PwA/AACAAAAAAAA8L8C3bWEfNAzBEACLiEf9GxW9j8AAAAAGAAAAPz8APwAAgAAAAAAAPC/An3Qs1n1uew/AirLEMe6uOk/AAAAAAERAAAA/PwA/AACAAAAAAAA8L8CRBzr4jaaCkACdSSX/5B+qz8AAAAAPAAEAWUEAAAAAAAAAAAECAFlBAAAAAAAAAAACAwBZQQAAAAAAAAAAAwQAWUEAAAAAAAAAAAQFAFlBAAAAAAAAAAAFBgBZQQAAAAAAAAAABgEAWUEAAAAAAAAAAAEHAFlBAAAAAAAAAAAHCABZQgMAAAAAAAAACAkAWUEAAAAAAAAAAAkKAFlCAgAAAAAAAAAKCwBZQQAAAAAAAAAACwwAWUEAAAAAAAAAAAsNAFlCAgAAAAAAAAANBwBZQQAAAAAAAAAAAAAAAA=</t>
        </r>
      </text>
    </comment>
    <comment ref="A620" authorId="0" shapeId="0" xr:uid="{249A7634-4145-4EFA-9A08-C50C712D8F6D}">
      <text>
        <r>
          <rPr>
            <sz val="9"/>
            <color indexed="81"/>
            <rFont val="MS P ゴシック"/>
            <family val="3"/>
            <charset val="128"/>
          </rPr>
          <t>Insight iXlW00001C0000620R0585476093S00001238P01160LAocjBAQBF1NjaVRlZ2ljLmRhdGEuTW9sZWN1bGUBbwF/ARJTY2lUZWdpYy5Nb2xlY3VsZQAAAQFkAv5qAQAAAAIAAjwcAAAA/PwA/AACAAAAAAAA8L8C33GKjuTy278C48eYu5aQ9D8AAAAAGAAAAPz8APwAAgAAAAAAAPC/Al3+Q/rt6+i/Aq7YX3ZPHtY/AAAAABgAAAD8/AD8AAIAAAAAAADwvwJd/kP67evovwKpE9BE2PDkvwAAAAAYAAAA/PwA/AACAAAAAAAA8L8CcF8HzhlR+r8C1QloImx48r8AAAAAIAAAAPz8APwAAgAAAAAAAPC/Atlfdk8eFgTAAqkT0ETY8OS/AAAAABgAAAD8/AD8AAIAAAAAAADwvwLZX3ZPHhYEwAKu2F92Tx7WPwAAAAAYAAAA/PwA/AACAAAAAAAA8L8CcF8HzhlR+r8CV+wvuycP6z8AAAAAGAAAAPz8APwAAgAAAAAAAPC/ApLtfD81Xso/Amu8dJMYBMY/AAAAABgAAAD8/AD8AAIAAAAAAADwvwKaCBueXinrPwJrvHSTGATuPwAAAAAYAAAA/PwA/AACAAAAAAAA8L8CLiEf9GxW/T8CL/8h/fZ16D8AAAAAGAAAAPz8APwAAgAAAAAAAPC/ArprCfmgZwFAAgCRfvs6cMa/AAAAAAEjAAAA/PwA/AACAAAAAAAA8L8CKjqSy39ICUAC+cJkqmBU1r8AAAAAGAAAAPz8APwAAgAAAAAAAPC/Atnw9EpZhvg/ApAxdy0hH+6/AAAAABgAAAD8/AD8AAIAAAAAAADwvwLSAN4CCYrhPwJUdCSX/5DovwAAAAABEQAAAPz8APwAAgAAAAAAAPC/ApGg+DHmrg9AAvhT46WbxLA/AAAAADwABAFlBAAAAAAAAAAABAgBZQQAAAAAAAAAAAgMAWUEAAAAAAAAAAAMEAFlBAAAAAAAAAAAEBQBZQQAAAAAAAAAABQYAWUEAAAAAAAAAAAYBAFlBAAAAAAAAAAABBwBZQQAAAAAAAAAABwgAWUIDAAAAAAAAAAgJAFlBAAAAAAAAAAAJCgBZQgMAAAAAAAAACgsAWUEAAAAAAAAAAAoMAFlBAAAAAAAAAAAMDQBZQgIAAAAAAAAADQcAWUEAAAAAAAAAAAAAAAA</t>
        </r>
      </text>
    </comment>
    <comment ref="A621" authorId="0" shapeId="0" xr:uid="{B6F5D0AA-AB20-4F9F-9FF6-DC126F3011BD}">
      <text>
        <r>
          <rPr>
            <sz val="9"/>
            <color indexed="81"/>
            <rFont val="MS P ゴシック"/>
            <family val="3"/>
            <charset val="128"/>
          </rPr>
          <t>Insight iXlW00001C0000621R0585476093S00001240P01232LAocjBAQBF1NjaVRlZ2ljLmRhdGEuTW9sZWN1bGUBbwF/ARJTY2lUZWdpYy5Nb2xlY3VsZQAAAQFkAv5qAQAAAAIAAgEQGAAAAPz8APwAAgAAAAAAAPC/AvT91HjpJgpAAiBj7lpCPvO/AAAAACAAAAD8/AD8AAIAAAAAAADwvwKZTBWMSmoHQAKiRbbz/dTQvwAAAAAYAAAA/PwA/AACAAAAAAAA8L8CUfwYc9cS/z8CpixDHOvitr8AAAAAGAAAAPz8APwAAgAAAAAAAPC/AgtGJXUCmvk/Ato9eVioNes/AAAAABgAAAD8/AD8AAIAAAAAAADwvwJVUiegibDjPwKL/WX35GHwPwAAAAAYAAAA/PwA/AACAAAAAAAA8L8C5j+k374OnL8CjNtoAG+B0D8AAAAAGAAAAPz8APwAAgAAAAAAAPC/AhiV1AloItQ/Aqk1zTtO0eW/AAAAABgAAAD8/AD8AAIAAAAAAADwvwK2FfvL7sn0PwLl8h/Sb1/rvwAAAAAYAAAA/PwA/AACAAAAAAAA8L8CUdobfGEy8L8CBFYOLbKd2z8AAAAAHAAAAPz8APwAAgAAAAAAAPC/AjXvOEVHcuW/AjhnRGlv8PU/AAAAABgAAAD8/AD8AAIAAAAAAADwvwJR2ht8YTLwvwL+1HjpJjHivwAAAAAYAAAA/PwA/AACAAAAAAAA8L8CkzoBTYQN/r8Cf2q8dJMY8b8AAAAAIAAAAPz8APwAAgAAAAAAAPC/AmpN845T9AXAAv7UeOkmMeK/AAAAABgAAAD8/AD8AAIAAAAAAADwvwJqTfOOU/QFwAIEVg4tsp3bPwAAAAAYAAAA/PwA/AACAAAAAAAA8L8CkzoBTYQN/r8CAiuHFtnO7T8AAAAAAREAAAD8/AD8AAIAAAAAAADwvwItsp3vp0YQQAI9vVKWIY61PwAAAAABEAAEAWUEAAAAAAAAAAAECAFlBAAAAAAAAAAACAwBZQgMAAAAAAAAAAwQAWUEAAAAAAAAAAAQFAFlCAgAAAAAAAAAFBgBZQQAAAAAAAAAABgcAWUICAAAAAAAAAAcCAFlBAAAAAAAAAAAFCABZQQAAAAAAAAAACAkAWUEAAAAAAAAAAAgKAFlBAAAAAAAAAAAKCwBZQQAAAAAAAAAACwwAWUEAAAAAAAAAAAwNAFlBAAAAAAAAAAANDgBZQQAAAAAAAAAADggAWUEAAAAAAAAAAAAAAAA</t>
        </r>
      </text>
    </comment>
    <comment ref="A622" authorId="0" shapeId="0" xr:uid="{B39E9311-81B6-43ED-A5F1-DAB32710B0B2}">
      <text>
        <r>
          <rPr>
            <sz val="9"/>
            <color indexed="81"/>
            <rFont val="MS P ゴシック"/>
            <family val="3"/>
            <charset val="128"/>
          </rPr>
          <t>Insight iXlW00001C0000622R0585476093S00001242P01248LAocjBAQBF1NjaVRlZ2ljLmRhdGEuTW9sZWN1bGUBbwF/ARJTY2lUZWdpYy5Nb2xlY3VsZQAAAQFkAv5qAQAAAAIAAgEQGAAAAPz8APwAAgAAAAAAAPC/Avyp8dJNYua/Avp+arx0k2i/AAAAABgAAAD8/AD8AAIAAAAAAADwvwLiehSuR+HWvwLwOEVHcvntPwAAAAAYAAAA/PwA/AACAAAAAAAA8L8Cih9j7lpC0j8C7Z48LNSaxr8AAAAAGAAAAPz8APwAAgAAAAAAAPC/AvtcbcX+su0/ApVliGNd3OI/AAAAACAAAAD8/AD8AAIAAAAAAADwvwJTBaOSOgHwvwKRD3o2qz77PwAAAAAgAAAA/PwA/AACAAAAAAAA8L8C+aBns+pzA8ACQDVeukkM8L8AAAAAIAAAAPz8APwAAgAAAAAAAPC/AqK0N/jCZOI/AktZhjjWxfQ/AAAAABgAAAD8/AD8AAIAAAAAAADwvwJeS8gHPZv+PwLtnjws1JraPwAAAAAkAAAA/PwA/AACAAAAAAAA8L8C/Rhz1xJyBEAC1JrmHafo8j8AAAAAGAAAAPz8APwAAgAAAAAAAPC/AkA1XrpJDPm/AgIrhxbZzt8/AAAAABgAAAD8/AD8AAIAAAAAAADwvwL8qfHSTWLmvwJANV66SQzwvwAAAAAYAAAA/PwA/AACAAAAAAAA8L8CUfwYc9cS5D8ClWWIY13c8b8AAAAAGAAAAPz8APwAAgAAAAAAAPC/Agkbnl4py/k/AqRwPQrXo/S/AAAAABgAAAD8/AD8AAIAAAAAAADwvwJANV66SQz5vwJANV66SQz4vwAAAAAYAAAA/PwA/AACAAAAAAAA8L8CwcqhRbZzA8AC+n5qvHSTaL8AAAAAGAAAAPz8APwAAgAAAAAAAPC/AtIA3gIJCgJAAvhT46WbxOC/AAAAAAERBAABZQQAAAAAAAAAAAgAAWUEAAAAAAAAAAAMCAFlBAAAAAAAAAAAEAQBZQgAAAAAAAAAABQ0AWUEAAAAAAAAAAAYBAFlBAAAAAAAAAAAHAwBZQgMAAAAAAAAACAcAWUEAAAAAAAAAAAkAAFlBAAAAAAAAAAAKAABZQQAAAAAAAAAACwIAWUIDAAAAAAAAAAwLAFlBAAAAAAAAAAANCgBZQQAAAAAAAAAADgkAWUEAAAAAAAAAAA8MAFlCAgAAAAAAAAAOBQBZQQAAAAAAAAAABw8AWUEAAAAAAAAAAAAAAAA</t>
        </r>
      </text>
    </comment>
    <comment ref="A623" authorId="0" shapeId="0" xr:uid="{7A0A0549-CC96-4FCB-9245-79B265DA5BC6}">
      <text>
        <r>
          <rPr>
            <sz val="9"/>
            <color indexed="81"/>
            <rFont val="MS P ゴシック"/>
            <family val="3"/>
            <charset val="128"/>
          </rPr>
          <t>Insight iXlW00001C0000623R0585476093S00001244P01376LAocjBAQBF1NjaVRlZ2ljLmRhdGEuTW9sZWN1bGUBbwF/ARJTY2lUZWdpYy5Nb2xlY3VsZQAAAQFkAv5qAQAAAAIAAgESGAAAAPz8APwAAgAAAAAAAPC/AoC3QILiBxBAAmaIY13cRrO/AAAAACAAAAD8/AD8AAIAAAAAAADwvwKti9toAO8JQAIpXI/C9SjiPwAAAAAYAAAA/PwA/AACAAAAAAAA8L8C0SLb+X5qAkACd76fGi/dzD8AAAAAGAAAAPz8APwAAgAAAAAAAPC/AkqdgCbCBgFAAiRKe4MvTOi/AAAAABgAAAD8/AD8AAIAAAAAAADwvwJNFYxK6gTzPwLJBz2bVZ/xvwAAAAAYAAAA/PwA/AACAAAAAAAA8L8CkzoBTYQN2z8CtoR80LNZ3b8AAAAAGAAAAPz8APwAAgAAAAAAAPC/AiUGgZVDi+C/AueuJeSDnum/AAAAABgAAAD8/AD8AAIAAAAAAADwvwIs9pfdk4f0vwLChqdXyjLEvwAAAAAYAAAA/PwA/AACAAAAAAAA8L8CJQaBlUOL4L8CC9ejcD0K3z8AAAAAHAAAAPz8APwAAgAAAAAAAPC/AkMc6+I2Gua/AqOSOgFNhPc/AAAAABgAAAD8/AD8AAIAAAAAAADwvwIs9pfdk4f8vwIaUdobfGHwvwAAAAAYAAAA/PwA/AACAAAAAAAA8L8CFvvL7slDBsACGlHaG3xh8L8AAAAAIAAAAPz8APwAAgAAAAAAAPC/Ahb7y+7JQwrAAsKGp1fKMsS/AAAAABgAAAD8/AD8AAIAAAAAAADwvwIW+8vuyUMGwALT3uALk6nmPwAAAAAYAAAA/PwA/AACAAAAAAAA8L8CLPaX3ZOH/L8C097gC5Op5j8AAAAAGAAAAPz8APwAAgAAAAAAAPC/AoZa07zjFOM/Amb35GGh1uA/AAAAABgAAAD8/AD8AAIAAAAAAADwvwL6fmq8dJP4PwLyY8xdS8jrPwAAAAABEQAAAPz8APwAAgAAAAAAAPC/ArTqc7UVOxNAAmsr9pfdk8c/AAAAAAESAAQBZQQAAAAAAAAAAAQIAWUEAAAAAAAAAAAIDAFlCAwAAAAAAAAADBABZQQAAAAAAAAAABAUAWUIDAAAAAAAAAAUGAFlBAAAAAAAAAAAGBwBZQQAAAAAAAAAABwgAWUEAAAAAAAAAAAgJAFlBAAAAAAAAAAAHCgBZQQAAAAAAAAAACgsAWUEAAAAAAAAAAAsMAFlBAAAAAAAAAAAMDQBZQQAAAAAAAAAADQ4AWUEAAAAAAAAAAA4HAFlBAAAAAAAAAAAFDwBZQQAAAAAAAAAADwBEAFlCAgAAAAAAAAAARAIAWUEAAAAAAAAAAAAAAAA</t>
        </r>
      </text>
    </comment>
    <comment ref="A624" authorId="0" shapeId="0" xr:uid="{DE7B4114-F18D-4BA6-920C-DB2DB4758A2A}">
      <text>
        <r>
          <rPr>
            <sz val="9"/>
            <color indexed="81"/>
            <rFont val="MS P ゴシック"/>
            <family val="3"/>
            <charset val="128"/>
          </rPr>
          <t>Insight iXlW00001C0000624R0585476093S00001246P00648LAocjBAQBF1NjaVRlZ2ljLmRhdGEuTW9sZWN1bGUBbwF/ARJTY2lUZWdpYy5Nb2xlY3VsZQAAAQFkAv5qAQAAAAIAAiAYAAAA/PwA/AACAAAAAAAA8L8Cw2SqYFRS4b8CAAAAAAAAsL8AAAAAHAAAAPz8APwAAgAAAAAAAPC/AqOSOgFNhPa/AgAAAAAAAOK/AAAAABwAAAD8/AD8AAIAAAAAAADwvwLDZKpgVFLhvwIAAAAAAADuPwAAAAAYAAAA/PwA/AACAAAAAAAA8L8CRWlv8IXJ1D8CAAAAAAAA4r8AAAAAIAAAAPz8APwAAgAAAAAAAPC/AnP5D+m3LwLAAgAAAAAAALC/AAAAABgAAAD8/AD8AAIAAAAAAADwvwKTOgFNhA3zPwIAAAAAAACwvwAAAAAYAAAA/PwA/AACAAAAAAAA8L8Cak3zjlN0AEACAAAAAAAA4r8AAAAAGAAAAPz8APwAAgAAAAAAAPC/ApM6AU2EDfM/AgAAAAAAAO4/AAAAABwEAAFlCAgAAAAAAAAACAABZQQAAAAAAAAAAAwAAWUEAAAAAAAAAAAQBAFlBAAAAAAAAAAAFAwBZQQAAAAAAAAAABgUAWUEAAAAAAAAAAAcFAFlBAAAAAAAAAAAAAAAAA==</t>
        </r>
      </text>
    </comment>
    <comment ref="A625" authorId="0" shapeId="0" xr:uid="{90E15F7B-C4CC-4181-ACE6-92D743136E18}">
      <text>
        <r>
          <rPr>
            <sz val="9"/>
            <color indexed="81"/>
            <rFont val="MS P ゴシック"/>
            <family val="3"/>
            <charset val="128"/>
          </rPr>
          <t>Insight iXlW00001C0000625R0585476093S00001248P00664LAocjBAQBF1NjaVRlZ2ljLmRhdGEuTW9sZWN1bGUBbwF/ARJTY2lUZWdpYy5Nb2xlY3VsZQAAAQFkAv5qAQAAAAIAAiAYAAAA/PwA/AACAAAAAAAA8L8CnoAmwoan3z8COwFNhA1Pz78AAAAAHAAAAPz8APwAAgAAAAAAAPC/ArWmeccpOvM/ApqZmZmZmd0/AAAAABgAAAD8/AD8AAIAAAAAAADwvwILtaZ5xynevwKGWtO84xSNPwAAAAAcAAAA/PwA/AACAAAAAAAA8L8CCM4ZUdob6D8Cku18PzVe878AAAAAIAAAAPz8APwAAgAAAAAAAPC/AhB6Nqs+VwFAAlH8GHPXEso/AAAAABgAAAD8/AD8AAIAAAAAAADwvwL2udqK/WX9vwLbG3xhMlXYPwAAAAAYAAAA/PwA/AACAAAAAAAA8L8C9rnaiv1l9b8CLGUZ4lgX378AAAAAGAAAAPz8APwAAgAAAAAAAPC/AoZa07zjFO+/Au4NvjCZKuw/AAAAACAEAAFlCAwAAAAAAAAACAABZQQAAAAAAAAAAAwAAWUEAAAAAAAAAAAQBAFlBAAAAAAAAAAAFBwBZQQAAAAAAAAAABgIAWUEAAAAAAAAAAAcCAFlBAAAAAAAAAAAGBQBZQQAAAAAAAAAAAAAAAA=</t>
        </r>
      </text>
    </comment>
    <comment ref="A626" authorId="0" shapeId="0" xr:uid="{F6ED9AA6-18E1-4400-8669-46BB1BA16972}">
      <text>
        <r>
          <rPr>
            <sz val="9"/>
            <color indexed="81"/>
            <rFont val="MS P ゴシック"/>
            <family val="3"/>
            <charset val="128"/>
          </rPr>
          <t>Insight iXlW00001C0000626R0585476093S00001250P00716LAocjBAQBF1NjaVRlZ2ljLmRhdGEuTW9sZWN1bGUBbwF/ARJTY2lUZWdpYy5Nb2xlY3VsZQAAAQFkAv5qAQAAAAIAAiQYAAAA/PwA/AACAAAAAAAA8L8C4L4OnDOi6L8C4umVsgxxzL8AAAAAGAAAAPz8APwAAgAAAAAAAPC/AhwN4C2QoLg/Ag8LtaZ5x9E/AAAAABwAAAD8/AD8AAIAAAAAAADwvwKyv+yePCz6vwIPC7WmecfRPwAAAAAgAAAA/PwA/AACAAAAAAAA8L8CHA3gLZCguD8CxEKtad5x9D8AAAAAHAAAAPz8APwAAgAAAAAAAPC/AuC+Dpwzoui/Ajy9UpYhjvO/AAAAACAAAAD8/AD8AAIAAAAAAADwvwIJG55eKcvuPwLi6ZWyDHHMvwAAAAAgAAAA/PwA/AACAAAAAAAA8L8CMuauJeQDBMAC4umVsgxxzL8AAAAAGAAAAPz8APwAAgAAAAAAAPC/AsZtNIC3QP0/Ag8LtaZ5x9E/AAAAABgAAAD8/AD8AAIAAAAAAADwvwIE54wo7Y0FQALi6ZWyDHHMvwAAAAAgBAABZQQAAAAAAAAAAAgAAWUIDAAAAAAAAAAMBAFlCAAAAAAAAAAAEAABZQQAAAAAAAAAABQEAWUEAAAAAAAAAAAYCAFlBAAAAAAAAAAAHBQBZQQAAAAAAAAAACAcAWUEAAAAAAAAAAAAAAAA</t>
        </r>
      </text>
    </comment>
    <comment ref="A627" authorId="0" shapeId="0" xr:uid="{4F5F7068-2B4F-41FD-883D-8BA39B3A1D49}">
      <text>
        <r>
          <rPr>
            <sz val="9"/>
            <color indexed="81"/>
            <rFont val="MS P ゴシック"/>
            <family val="3"/>
            <charset val="128"/>
          </rPr>
          <t>Insight iXlW00001C0000627R0585476093S00001252P00876LAocjBAQBF1NjaVRlZ2ljLmRhdGEuTW9sZWN1bGUBbwF/ARJTY2lUZWdpYy5Nb2xlY3VsZQAAAQFkAv5qAQAAAAIAAiwYAAAA/PwA/AACAAAAAAAA8L8Cl5APejar1j8CzjtO0ZFczj8AAAAAHAAAAPz8APwAAgAAAAAAAPC/AmKh1jTvOOU/AiqpE9BE2Oa/AAAAACAAAAD8/AD8AAIAAAAAAADwvwKxUGuad5zyPwKFDU+vlGXqPwAAAAAcAAAA/PwA/AACAAAAAAAA8L8CPb1SliGO/z8CzjtO0ZFczj8AAAAAGAAAAPz8APwAAgAAAAAAAPC/ArFQa5p3nPo/AiqpE9BE2Oa/AAAAABgAAAD8/AD8AAIAAAAAAADwvwLSb18HzhnjvwLswDkjSnvhPwAAAAAgAAAA/PwA/AACAAAAAAAA8L8CHeviNhrA6b8CwFsgQfFj+D8AAAAAIAAAAPz8APwAAgAAAAAAAPC/AnE9CtejcPW/Ao/k8h/Sb7+/AAAAABgAAAD8/AD8AAIAAAAAAADwvwI1XrpJDAICQAIhQfFjzF34vwAAAAAYAAAA/PwA/AACAAAAAAAA8L8CwOyePCxUAsACE/JBz2bVxz8AAAAAGAAAAPz8APwAAgAAAAAAAPC/AoQvTKYKRgjAAvJBz2bV596/AAAAACwEAAFlCAgAAAAAAAAACAABZQQAAAAAAAAAAAwIAWUEAAAAAAAAAAAQBAFlBAAAAAAAAAAAFAABZQQAAAAAAAAAABgUAWUIAAAAAAAAAAAcFAFlBAAAAAAAAAAAIBABZQQAAAAAAAAAACQcAWUEAAAAAAAAAAAoJAFlBAAAAAAAAAAADBABZQgIAAAAAAAAAAAAAAA=</t>
        </r>
      </text>
    </comment>
    <comment ref="A628" authorId="0" shapeId="0" xr:uid="{2429F2BD-E40C-4EB6-89BC-355F9AA13BD8}">
      <text>
        <r>
          <rPr>
            <sz val="9"/>
            <color indexed="81"/>
            <rFont val="MS P ゴシック"/>
            <family val="3"/>
            <charset val="128"/>
          </rPr>
          <t>Insight iXlW00001C0000628R0585476093S00001254P01176LAocjBAQBF1NjaVRlZ2ljLmRhdGEuTW9sZWN1bGUBbwF/ARJTY2lUZWdpYy5Nb2xlY3VsZQAAAQFkAv5qAQAAAAIAAjwcAAAA/PwA/AACAAAAAAAA8L8C9wZfmEwV4j8Cj1N0JJf/oD8AAAAAGAAAAPz8APwAAgAAAAAAAPC/Auj7qfHSTda/Ailcj8L1KNw/AAAAABgAAAD8/AD8AAIAAAAAAADwvwI6kst/SL/zPwIrqRPQRNjoPwAAAAAcAAAA/PwA/AACAAAAAAAA8L8Ck8t/SL995z8C1zTvOEVH+j8AAAAAIAAAAPz8APwAAgAAAAAAAPC/AoBIv30dOM+/AlAeFmpN8/Y/AAAAABwAAAD8/AD8AAIAAAAAAADwvwLgT42XbpIHwAL2KFyPwvXwvwAAAAAYAAAA/PwA/AACAAAAAAAA8L8CPN9PjZdu878CuR6F61G4rr8AAAAAGAAAAPz8APwAAgAAAAAAAPC/AvjCZKpg1AFAAjnWxW00gOU/AAAAABgAAAD8/AD8AAIAAAAAAADwvwK/nxov3aQAwAL2KFyPwvX4vwAAAAAYAAAA/PwA/AACAAAAAAAA8L8C4E+Nl26SB8AC2qz6XG3Frr8AAAAAGAAAAPz8APwAAgAAAAAAAPC/Ai/dJAaBFQVAAj9XW7G/7M6/AAAAABgAAAD8/AD8AAIAAAAAAADwvwK/nxov3aQAwAJlqmBUUifcPwAAAAAYAAAA/PwA/AACAAAAAAAA8L8CPN9PjZdu878C9ihcj8L18L8AAAAAGAAAAPz8APwAAgAAAAAAAPC/AkOtad5xCg1AAr+fGi/dJNa/AAAAABgAAAD8/AD8AAIAAAAAAADwvwKL/WX35GEAQAJz1xLyQc/wvwAAAAABEAQAAWUICAAAAAAAAAAIAAFlBAAAAAAAAAAADAgBZQgIAAAAAAAAABAEAWUEAAAAAAAAAAAUIAFlBAAAAAAAAAAAGAQBZQQAAAAAAAAAABwIAWUEAAAAAAAAAAAgMAFlBAAAAAAAAAAAJCwBZQQAAAAAAAAAACgcAWUEAAAAAAAAAAAsGAFlBAAAAAAAAAAAMBgBZQQAAAAAAAAAADQoAWUEAAAAAAAAAAA4KAFlBAAAAAAAAAAADBABZQQAAAAAAAAAACQUAWUEAAAAAAAAAAAAAAAA</t>
        </r>
      </text>
    </comment>
    <comment ref="A629" authorId="0" shapeId="0" xr:uid="{2EB7520E-D5BC-45ED-A0D9-4253732E13C3}">
      <text>
        <r>
          <rPr>
            <sz val="9"/>
            <color indexed="81"/>
            <rFont val="MS P ゴシック"/>
            <family val="3"/>
            <charset val="128"/>
          </rPr>
          <t>Insight iXlW00001C0000629R0585476093S00001256P01232LAocjBAQBF1NjaVRlZ2ljLmRhdGEuTW9sZWN1bGUBbwF/ARJTY2lUZWdpYy5Nb2xlY3VsZQAAAQFkAv5qAQAAAAIAAgEQGAAAAPz8APwAAgAAAAAAAPC/AgvXo3A9Cg1AAoNRSZ2AJta/AAAAABgAAAD8/AD8AAIAAAAAAADwvwIv3SQGgRUFQAI/V1uxv+zOvwAAAAAYAAAA/PwA/AACAAAAAAAA8L8Ci/1l9+RhAEACc9cS8kHP8L8AAAAAGAAAAPz8APwAAgAAAAAAAPC/AvjCZKpg1AFAAjnWxW00gOU/AAAAABgAAAD8/AD8AAIAAAAAAADwvwI6kst/SL/zPwIrqRPQRNjoPwAAAAAcAAAA/PwA/AACAAAAAAAA8L8Ck8t/SL995z8C1zTvOEVH+j8AAAAAIAAAAPz8APwAAgAAAAAAAPC/AoBIv30dOM+/AlAeFmpN8/Y/AAAAABgAAAD8/AD8AAIAAAAAAADwvwLo+6nx0k3WvwIpXI/C9SjcPwAAAAAcAAAA/PwA/AACAAAAAAAA8L8C9wZfmEwV4j8Cj1N0JJf/oD8AAAAAGAAAAPz8APwAAgAAAAAAAPC/AjzfT42XbvO/ArkehetRuK6/AAAAABgAAAD8/AD8AAIAAAAAAADwvwI830+Nl27zvwL2KFyPwvXwvwAAAAAYAAAA/PwA/AACAAAAAAAA8L8Cv58aL92kAMAC9ihcj8L1+L8AAAAAGAAAAPz8APwAAgAAAAAAAPC/AuBPjZdukgfAAvYoXI/C9fC/AAAAABgAAAD8/AD8AAIAAAAAAADwvwLgT42XbpIHwAK5HoXrUbiuvwAAAAAcAAAA/PwA/AACAAAAAAAA8L8Cv58aL92kAMACKVyPwvUo3D8AAAAAAREAAAD8/AD8AAIAAAAAAADwvwK5HoXrUbgRQAIOvjCZKhilPwAAAAABEAAEAWUEAAAAAAAAAAAECAFlBAAAAAAAAAAABAwBZQQAAAAAAAAAAAwQAWUEAAAAAAAAAAAQFAFlCAwAAAAAAAAAFBgBZQQAAAAAAAAAABgcAWUEAAAAAAAAAAAcIAFlCAgAAAAAAAAAIBABZQQAAAAAAAAAACQcAWUEAAAAAAAAAAAkKAFlBAAAAAAAAAAAKCwBZQQAAAAAAAAAACwwAWUEAAAAAAAAAAAwNAFlBAAAAAAAAAAANDgBZQQAAAAAAAAAADgkAWUEAAAAAAAAAAAAAAAA</t>
        </r>
      </text>
    </comment>
    <comment ref="A630" authorId="0" shapeId="0" xr:uid="{3075E5F5-52FD-4B78-A167-E30B99E8086A}">
      <text>
        <r>
          <rPr>
            <sz val="9"/>
            <color indexed="81"/>
            <rFont val="MS P ゴシック"/>
            <family val="3"/>
            <charset val="128"/>
          </rPr>
          <t>Insight iXlW00001C0000630R0585476093S00001258P00844LAocjBAQBF1NjaVRlZ2ljLmRhdGEuTW9sZWN1bGUBbwF/ARJTY2lUZWdpYy5Nb2xlY3VsZQAAAQFkAv5qAQAAAAIAAiwYAAAA/PwA/AACAAAAAAAA8L8ChzjWxW009T8Cg8DKoUW26z8AAAAAGAAAAPz8APwAAgAAAAAAAPC/AhriWBe30dQ/AoPAyqFFtus/AAAAABgAAAD8/AD8AAIAAAAAAADwvwLOO07RkVzGvwAAAAAAGAAAAPz8APwAAgAAAAAAAPC/AhriWBe30dQ/AoPAyqFFtuu/AAAAABgAAAD8/AD8AAIAAAAAAADwvwKHONbFbTT1PwKDwMqhRbbrvwAAAAAcAAAA/PwA/AACAAAAAAAA8L8ChzjWxW00/T8AAAAAABgAAAD8/AD8AAIAAAAAAADwvwJnZmZmZmbovwIX2c73U+PpvwAAAAAYAAAA/PwA/AACAAAAAAAA8L8C0SLb+X5q+78CAAAAAAAA4L8AAAAAIAAAAPz8APwAAgAAAAAAAPC/AtEi2/l+avu/AjxO0ZFc/t8/AAAAABgAAAD8/AD8AAIAAAAAAADwvwJnZmZmZmbovwIX2c73U+PpPwAAAAABEQAAAPz8APwAAgAAAAAAAPC/AqqCUUmdAAVAAAAAAAAsAAQBZQQAAAAAAAAAAAQIAWUEAAAAAAAAAAAIDAFlBAAAAAAAAAAADBABZQQAAAAAAAAAABAUAWUEAAAAAAAAAAAUAAFlBAAAAAAAAAAACBgBZQQAAAAAAAAAABgcAWUEAAAAAAAAAAAcIAFlBAAAAAAAAAAAICQBZQQAAAAAAAAAACQIAWUEAAAAAAAAAAAAAAAA</t>
        </r>
      </text>
    </comment>
    <comment ref="A631" authorId="0" shapeId="0" xr:uid="{121273CF-7EAD-46A5-98D9-C41374F99BF8}">
      <text>
        <r>
          <rPr>
            <sz val="9"/>
            <color indexed="81"/>
            <rFont val="MS P ゴシック"/>
            <family val="3"/>
            <charset val="128"/>
          </rPr>
          <t>Insight iXlW00001C0000631R0585476093S00001260P01088LAocjBAQBF1NjaVRlZ2ljLmRhdGEuTW9sZWN1bGUBbwF/ARJTY2lUZWdpYy5Nb2xlY3VsZQAAAQFkAv5qAQAAAAIAAjgYAAAA/PwA/AACAAAAAAAA8L8CY3/ZPXlY5D8C/tR46SaxBEAAAAAAGAAAAPz8APwAAgAAAAAAAPC/Amsr9pfdk/M/AnE9CtejcPw/AAAAABwAAAD8/AD8AAIAAAAAAADwvwL77evAOSPqPwLZzvdT46XrPwAAAAAYAAAA/PwA/AACAAAAAAAA8L8CaCJseHqlxL8CrfpcbcX+5D8AAAAAGAAAAPz8APwAAgAAAAAAAPC/Ahi30QDeAtG/AoDZPXlYqNW/AAAAABgAAAD8/AD8AAIAAAAAAADwvwIYt9EA3gLRvwJgdk8eFmr1vwAAAAAYAAAA/PwA/AACAAAAAAAA8L8CCM4ZUdob8r8CYHZPHhZq/b8AAAAAHAAAAPz8APwAAgAAAAAAAPC/Akku/yH99v+/AmB2Tx4WavW/AAAAABgAAAD8/AD8AAIAAAAAAADwvwJJLv8h/fb/vwKA2T15WKjVvwAAAAAYAAAA/PwA/AACAAAAAAAA8L8CCM4ZUdob8r8CAk2EDU+vxD8AAAAAGAAAAPz8APwAAgAAAAAAAPC/An3Qs1n1ueQ/ApxVn6ut2Oe/AAAAABgAAAD8/AD8AAIAAAAAAADwvwJuowG8BRL1PwL8qfHSTWJgvwAAAAAgAAAA/PwA/AACAAAAAAAA8L8Ckst/SL99AkACzV1LyAc9u78AAAAAAREAAAD8/AD8AAIAAAAAAADwvwL5MeauJeQIQAIbwFsgQfHXPwAAAAA4AAQBZQQAAAAAAAAAAAQIAWUEAAAAAAAAAAAIDAFlBAAAAAAAAAAADBABZQQAAAAAAAAAABAUAWUEAAAAAAAAAAAUGAFlBAAAAAAAAAAAGBwBZQQAAAAAAAAAABwgAWUEAAAAAAAAAAAgJAFlBAAAAAAAAAAAJBABZQQAAAAAAAAAABAoAWUEAAAAAAAAAAAoLAFlBAAAAAAAAAAALAgBZQQAAAAAAAAAACwwAWUIAAAAAAAAAAAAAAAA</t>
        </r>
      </text>
    </comment>
    <comment ref="A632" authorId="0" shapeId="0" xr:uid="{0907F3E1-4994-4093-B072-B148F3FCA894}">
      <text>
        <r>
          <rPr>
            <sz val="9"/>
            <color indexed="81"/>
            <rFont val="MS P ゴシック"/>
            <family val="3"/>
            <charset val="128"/>
          </rPr>
          <t>Insight iXlW00001C0000632R0585476093S00001262P01468LAocjBAQBF1NjaVRlZ2ljLmRhdGEuTW9sZWN1bGUBbwF/ARJTY2lUZWdpYy5Nb2xlY3VsZQAAAQFkAv5qAQAAAAIAAgETIAAAAPz8APwAAgAAAAAAAPC/AiPb+X5qvPQ/AndPHhZqTee/AAAAAAEQAAAA/PwA/AACAAAAAAAA8L8CCvmgZ7Pq0z8ClWWIY13c7L8AAAAAIAAAAPz8APwAAgAAAAAAAPC/AhDpt68D5+Q/AoIExY8xd/2/AAAAABwAAAD8/AD8AAIAAAAAAADwvwL/Q/rt68DhvwLLMsSxLm72vwAAAAAYAAAA/PwA/AACAAAAAAAA8L8Csi5uowG89r8ClWWIY13c7L8AAAAAGAAAAPz8APwAAgAAAAAAAPC/AnrHKTqSSwLAAssyxLEubva/AAAAABgAAAD8/AD8AAIAAAAAAADwvwKbd5yiIzkJwAKVZYhjXdzsvwAAAAAYAAAA/PwA/AACAAAAAAAA8L8Cm3ecoiM5CcACW9O84xQduT8AAAAAGAAAAPz8APwAAgAAAAAAAPC/AnrHKTqSSwLAAmyad5yiI+M/AAAAABgAAAD8/AD8AAIAAAAAAADwvwKyLm6jAbz2vwJb07zjFB25PwAAAAAYAAAA/PwA/AACAAAAAAAA8L8C/0P67evA4b8CbJp3nKIj4z8AAAAAHAAAAPz8APwAAgAAAAAAAPC/Agr5oGez6tM/AlvTvOMUHbk/AAAAABgAAAD8/AD8AAIAAAAAAADwvwKEns2qz9XyPwJsmnecoiPjPwAAAAAYAAAA/PwA/AACAAAAAAAA8L8ChJ7Nqs/V8j8CNs07TtGR+T8AAAAAGAAAAPz8APwAAgAAAAAAAPC/AptVn6utWABAApvmHafoyABAAAAAABwAAAD8/AD8AAIAAAAAAADwvwK8BRIUP0YHQAI2zTtO0ZH5PwAAAAAYAAAA/PwA/AACAAAAAAAA8L8CvAUSFD9GB0ACbJp3nKIj4z8AAAAAGAAAAPz8APwAAgAAAAAAAPC/AmN/2T15WABAAlvTvOMUHbk/AAAAAAERAAAA/PwA/AACAAAAAAAA8L8CI2x4eqWsDUACldQJaCJswD8AAAAAARQABAFlCAAAAAAAAAAABAgBZQgAAAAAAAAAAAQMAWUEAAAAAAAAAAAMEAFlBAAAAAAAAAAAEBQBZQgMAAAAAAAAABQYAWUEAAAAAAAAAAAYHAFlCAgAAAAAAAAAHCABZQQAAAAAAAAAACAkAWUICAAAAAAAAAAkEAFlBAAAAAAAAAAAJCgBZQQAAAAAAAAAACgsAWUEAAAAAAAAAAAsBAFlBAAAAAAAAAAALDABZQQAAAAAAAAAADA0AWUEAAAAAAAAAAA0OAFlBAAAAAAAAAAAODwBZQQAAAAAAAAAADwBEAFlBAAAAAAAAAAAARABEQFlBAAAAAAAAAAAAREwAWUEAAAAAAAAAAAAAAAA</t>
        </r>
      </text>
    </comment>
    <comment ref="A633" authorId="0" shapeId="0" xr:uid="{91DF07CE-30B2-495C-B49A-AF3A5BC790FA}">
      <text>
        <r>
          <rPr>
            <sz val="9"/>
            <color indexed="81"/>
            <rFont val="MS P ゴシック"/>
            <family val="3"/>
            <charset val="128"/>
          </rPr>
          <t>Insight iXlW00001C0000633R0585476093S00001264P01452LAocjBAQBF1NjaVRlZ2ljLmRhdGEuTW9sZWN1bGUBbwF/ARJTY2lUZWdpYy5Nb2xlY3VsZQAAAQFkAv5qAQAAAAIAAgETIAAAAPz8APwAAgAAAAAAAPC/Aru4jQbwFvq/AtsbfGEyVf+/AAAAABgAAAD8/AD8AAIAAAAAAADwvwIIzhlR2hvmvwKVZYhjXdz5vwAAAAAgAAAA/PwA/AACAAAAAAAA8L8CVcGopE5Asz8CGCZTBaMSAsAAAAAAGAAAAPz8APwAAgAAAAAAAPC/Aum3rwPnjOC/AmmR7Xw/NeS/AAAAABgAAAD8/AD8AAIAAAAAAADwvwIL16NwPQrbPwL0/dR46SbvvwAAAAAYAAAA/PwA/AACAAAAAAAA8L8Ca7x0kxgE8z8CfGEyVTAq1b8AAAAAGAAAAPz8APwAAgAAAAAAAPC/As1dS8gHPfA/AgMJih9j7uQ/AAAAABgAAAD8/AD8AAIAAAAAAADwvwLm0CLb+X78PwKrPldbsb/0PwAAAAAcAAAA/PwA/AACAAAAAAAA8L8CFvvL7snDBUACzBDHuriN7j8AAAAAGAAAAPz8APwAAgAAAAAAAPC/Ap6AJsKGJwdAArkehetRuJ6/AAAAABgAAAD8/AD8AAIAAAAAAADwvwIRx7q4jQYBQAJKnYAmwoblvwAAAAAYAAAA/PwA/AACAAAAAAAA8L8C9dvXgXNG+L8CaZHtfD815L8AAAAAGAAAAPz8APwAAgAAAAAAAPC/Avrt68A5IwDAAmu8dJMYBM4/AAAAABgAAAD8/AD8AAIAAAAAAADwvwL129eBc0b4vwLP91PjpZvxPwAAAAAkAAAA/PwA/AACAAAAAAAA8L8C1lbsL7unA8ACFa5H4XoU9z8AAAAAJAAAAPz8APwAAgAAAAAAAPC/Ald9rrZif/W/AljKMsSxrgBAAAAAABgAAAD8/AD8AAIAAAAAAADwvwLpt68D54zgvwLP91PjpZvxPwAAAAAYAAAA/PwA/AACAAAAAAAA8L8CIv32deCckb8Ca7x0kxgEzj8AAAAAAREAAAD8/AD8AAIAAAAAAADwvwIE54wo7Y0NQAICvAUSFD+2vwAAAAABEwAEAWUEAAAAAAAAAAAECAFlCAAAAAAAAAAABAwBZQQAAAAAAAAAAAwQAWUEAAAAAAAAAAAQFAFlBAAAAAAAAAAAFBgBZQgMAAAAAAAAABgcAWUEAAAAAAAAAAAcIAFlCAgAAAAAAAAAICQBZQQAAAAAAAAAACQoAWUICAAAAAAAAAAoFAFlBAAAAAAAAAAADCwBZQQAAAAAAAAAACwwAWUEAAAAAAAAAAAwNAFlBAAAAAAAAAAANDgBZQQAAAAAAAAAADQ8AWUEAAAAAAAAAAA0ARABZQQAAAAAAAAAAAEQAREBZQQAAAAAAAAAAAERDAFlBAAAAAAAAAAAAAAAAA==</t>
        </r>
      </text>
    </comment>
    <comment ref="A634" authorId="0" shapeId="0" xr:uid="{05970DE5-A671-48CD-B6A5-B9760D4C7E0A}">
      <text>
        <r>
          <rPr>
            <sz val="9"/>
            <color indexed="81"/>
            <rFont val="MS P ゴシック"/>
            <family val="3"/>
            <charset val="128"/>
          </rPr>
          <t>Insight iXlW00001C0000634R0585476093S00001266P01088LAocjBAQBF1NjaVRlZ2ljLmRhdGEuTW9sZWN1bGUBbwF/ARJTY2lUZWdpYy5Nb2xlY3VsZQAAAQFkAv5qAQAAAAIAAjgcAAAA/PwA/AACAAAAAAAA8L8CbHh6pSxD8L8Cam/whclU5b8AAAAAGAAAAPz8APwAAgAAAAAAAPC/AhHHuriNBtC/Ardif9k9eZi/AAAAABgAAAD8/AD8AAIAAAAAAADwvwJseHqlLEPwvwIg0m9fB87jPwAAAAAYAAAA/PwA/AACAAAAAAAA8L8CJEp7gy9M/78CKssQx7q40T8AAAAAGAAAAPz8APwAAgAAAAAAAPC/AoJzRpT2hgfAAmb35GGh1tw/AAAAABgAAAD8/AD8AAIAAAAAAADwvwJfmEwVjMoEwAJ3Tx4Wak3fvwAAAAAYAAAA/PwA/AACAAAAAAAA8L8C33GKjuTyzz8CmbuWkA967L8AAAAAGAAAAPz8APwAAgAAAAAAAPC/AjxO0ZFc/vM/Ardif9k9eey/AAAAABgAAAD8/AD8AAIAAAAAAADwvwI8TtGRXP77PwJ0RpT2Bl+YvwAAAAAkAAAA/PwA/AACAAAAAAAA8L8CcoqO5PIfBEACAiuHFtnO4z8AAAAAJAAAAPz8APwAAgAAAAAAAPC/AnKKjuTyHwRAAmpv8IXJVOW/AAAAABgAAAD8/AD8AAIAAAAAAADwvwI8TtGRXP7zPwJQHhZqTfPqPwAAAAAYAAAA/PwA/AACAAAAAAAA8L8C33GKjuTyzz8CUB4Wak3z6j8AAAAAAREAAAD8/AD8AAIAAAAAAADwvwLZ8PRKWYYKQAK3Yn/ZPXmYvwAAAAA4AAQBZQQAAAAAAAAAAAQIAWUEAAAAAAAAAAAIDAFlBAAAAAAAAAAADBABZQQAAAAAAAAAABAUAWUEAAAAAAAAAAAUDAFlBAAAAAAAAAAABBgBZQQAAAAAAAAAABgcAWUEAAAAAAAAAAAcIAFlBAAAAAAAAAAAICQBZQQAAAAAAAAAACAoAWUEAAAAAAAAAAAgLAFlBAAAAAAAAAAALDABZQQAAAAAAAAAADAEAWUEAAAAAAAAAAAAAAAA</t>
        </r>
      </text>
    </comment>
    <comment ref="A635" authorId="0" shapeId="0" xr:uid="{A256934C-03C0-4938-B46D-B23DD2D8577F}">
      <text>
        <r>
          <rPr>
            <sz val="9"/>
            <color indexed="81"/>
            <rFont val="MS P ゴシック"/>
            <family val="3"/>
            <charset val="128"/>
          </rPr>
          <t>Insight iXlW00001C0000635R0585476093S00001268P01376LAocjBAQBF1NjaVRlZ2ljLmRhdGEuTW9sZWN1bGUBbwF/ARJTY2lUZWdpYy5Nb2xlY3VsZQAAAQFkAv5qAQAAAAIAAgESHAAAAPz8APwAAgAAAAAAAPC/AqVOQBNhw8O/AgU0ETY8veK/AAAAABgAAAD8/AD8AAIAAAAAAADwvwKneccpOpLjPwIMk6mCUUmtPwAAAAAYAAAA/PwA/AACAAAAAAAA8L8CpU5AE2HDw78CZ2ZmZmZm5j8AAAAAGAAAAPz8APwAAgAAAAAAAPC/AozbaABvgfG/Arfz/dR46dY/AAAAABgAAAD8/AD8AAIAAAAAAADwvwKb5h2n6Ej0vwLmP6Tfvg7kvwAAAAAYAAAA/PwA/AACAAAAAAAA8L8C8YXJVMGoAcACcayL22gA778AAAAAGAAAAPz8APwAAgAAAAAAAPC/An0/NV66yQfAAjtwzojS3tS/AAAAACQAAAD8/AD8AAIAAAAAAADwvwJZqDXNO04PwAKppE5AE2HlvwAAAAAYAAAA/PwA/AACAAAAAAAA8L8C9rnaiv1lBsACpAG8BRIU5T8AAAAAGAAAAPz8APwAAgAAAAAAAPC/AjSitDf4wv2/AoljXdxGA/A/AAAAABgAAAD8/AD8AAIAAAAAAADwvwLUvOMUHcnxPwJTJ6CJsOHpvwAAAAAYAAAA/PwA/AACAAAAAAAA8L8Cat5xio7kAEACUyegibDh6b8AAAAAGAAAAPz8APwAAgAAAAAAAPC/AmrecYqO5ARAAgyTqYJRSa0/AAAAACQAAAD8/AD8AAIAAAAAAADwvwK+wRcmUwULQAJnZmZmZmbmPwAAAAAkAAAA/PwA/AACAAAAAAAA8L8CvsEXJlMFC0ACI9v5fmq84r8AAAAAGAAAAPz8APwAAgAAAAAAAPC/AmrecYqO5ABAApayDHGsi+0/AAAAABgAAAD8/AD8AAIAAAAAAADwvwLUvOMUHcnxPwK0WfW52ortPwAAAAABEQAAAPz8APwAAgAAAAAAAPC/AhIUP8bctRBAAvyp8dJNYpA/AAAAAAESAAQBZQQAAAAAAAAAAAQIAWUEAAAAAAAAAAAIDAFlBAAAAAAAAAAADBABZQgMAAAAAAAAABAUAWUEAAAAAAAAAAAUGAFlCAwAAAAAAAAAGBwBZQQAAAAAAAAAABggAWUEAAAAAAAAAAAgJAFlCAgAAAAAAAAAJAwBZQQAAAAAAAAAAAQoAWUEAAAAAAAAAAAoLAFlBAAAAAAAAAAALDABZQQAAAAAAAAAADA0AWUEAAAAAAAAAAAwOAFlBAAAAAAAAAAAMDwBZQQAAAAAAAAAADwBEAFlBAAAAAAAAAAAARAEAWUEAAAAAAAAAAAAAAAA</t>
        </r>
      </text>
    </comment>
    <comment ref="A636" authorId="0" shapeId="0" xr:uid="{6F8B9925-0243-4D47-981F-D2F2A72C01A1}">
      <text>
        <r>
          <rPr>
            <sz val="9"/>
            <color indexed="81"/>
            <rFont val="MS P ゴシック"/>
            <family val="3"/>
            <charset val="128"/>
          </rPr>
          <t>Insight iXlW00001C0000636R0585476093S00001270P01360LAocjBAQBF1NjaVRlZ2ljLmRhdGEuTW9sZWN1bGUBbwF/ARJTY2lUZWdpYy5Nb2xlY3VsZQAAAQFkAv5qAQAAAAIAAgESHAAAAPz8APwAAgAAAAAAAPC/AvCnxks3idm/AlH8GHPXEuS/AAAAABgAAAD8/AD8AAIAAAAAAADwvwKwcmiR7XzXPwJYObTIdr6PPwAAAAAYAAAA/PwA/AACAAAAAAAA8L8C8KfGSzeJ2b8CG55eKcsQ5T8AAAAAGAAAAPz8APwAAgAAAAAAAPC/ArN78rBQa/W/Alyxv+yePNQ/AAAAABgAAAD8/AD8AAIAAAAAAADwvwJR2ht8YTL4vwIUYcPTK2XlvwAAAAAYAAAA/PwA/AACAAAAAAAA8L8CBFYOLbKdA8ACz2bV52or8L8AAAAAGAAAAPz8APwAAgAAAAAAAPC/Alg5tMh2vgnAAtIA3gIJite/AAAAABgAAAD8/AD8AAIAAAAAAADwvwIJih9j7loIwAJYObTIdr7jPwAAAAAcAAAA/PwA/AACAAAAAAAA8L8CLiEf9GzWAMAC5KWbxCCw7j8AAAAAGAAAAPz8APwAAgAAAAAAAPC/Alg5tMh2vus/AoBIv30dOOu/AAAAABgAAAD8/AD8AAIAAAAAAADwvwKsHFpkO9/9PwKe76fGSzfrvwAAAAAYAAAA/PwA/AACAAAAAAAA8L8CVg4tsp3vAkACWDm0yHa+jz8AAAAAJAAAAPz8APwAAgAAAAAAAPC/Aqrx0k1iEAlAAhueXinLEOU/AAAAACQAAAD8/AD8AAIAAAAAAADwvwKq8dJNYhAJQAJR/Bhz1xLkvwAAAAAYAAAA/PwA/AACAAAAAAAA8L8CrBxaZDvf/T8CaZHtfD817D8AAAAAGAAAAPz8APwAAgAAAAAAAPC/Alg5tMh2vus/AmmR7Xw/New/AAAAAAERAAAA/PwA/AACAAAAAAAA8L8CEVg5tMh2D0ACUdobfGEypb8AAAAAAREAAAD8/AD8AAIAAAAAAADwvwKXIY51cdsTQAKIhVrTvOOEvwAAAAABEQAEAWUEAAAAAAAAAAAECAFlBAAAAAAAAAAACAwBZQQAAAAAAAAAAAwQAWUIDAAAAAAAAAAQFAFlBAAAAAAAAAAAFBgBZQgIAAAAAAAAABgcAWUEAAAAAAAAAAAcIAFlCAgAAAAAAAAAIAwBZQQAAAAAAAAAAAQkAWUEAAAAAAAAAAAkKAFlBAAAAAAAAAAAKCwBZQQAAAAAAAAAACwwAWUEAAAAAAAAAAAsNAFlBAAAAAAAAAAALDgBZQQAAAAAAAAAADg8AWUEAAAAAAAAAAA8BAFlBAAAAAAAAAAAAAAAAA==</t>
        </r>
      </text>
    </comment>
    <comment ref="A637" authorId="0" shapeId="0" xr:uid="{BE727310-018B-4A3B-A075-60F3FD79502C}">
      <text>
        <r>
          <rPr>
            <sz val="9"/>
            <color indexed="81"/>
            <rFont val="MS P ゴシック"/>
            <family val="3"/>
            <charset val="128"/>
          </rPr>
          <t>Insight iXlW00001C0000637R0585476093S00001272P01020LAocjBAQBF1NjaVRlZ2ljLmRhdGEuTW9sZWN1bGUBbwF/ARJTY2lUZWdpYy5Nb2xlY3VsZQAAAQFkAv5qAQAAAAIAAjQYAAAA/PwA/AACAAAAAAAA8L8C5j+k374O7j8C2/l+arx0878AAAAAHAAAAPz8APwAAgAAAAAAAPC/ArprCfmgZ+c/Aoj029eBc86/AAAAABgAAAD8/AD8AAIAAAAAAADwvwKcxCCwcmj2PwLPZtXnaivgPwAAAAAgAAAA/PwA/AACAAAAAAAA8L8CKVyPwvUoA0ACvCcPC7Wm2T8AAAAAGAAAAPz8APwAAgAAAAAAAPC/AjiJQWDl0Ow/AqkT0ETY8PU/AAAAABgAAAD8/AD8AAIAAAAAAADwvwLoaiv2l92zvwKTqYJRSZ3yPwAAAAAYAAAA/PwA/AACAAAAAAAA8L8Cw2SqYFRSx78CXkvIBz2bxT8AAAAAGAAAAPz8APwAAgAAAAAAAPC/AsNkqmBUUse/AintDb4wmeq/AAAAABgAAAD8/AD8AAIAAAAAAADwvwLarPpcbcXwvwKV9gZfmEz1vwAAAAAcAAAA/PwA/AACAAAAAAAA8L8CHA3gLZCg/r8CKe0NvjCZ6r8AAAAAGAAAAPz8APwAAgAAAAAAAPC/AhwN4C2QoP6/Al5LyAc9m8U/AAAAABgAAAD8/AD8AAIAAAAAAADwvwLarPpcbcXwvwLYEvJBz2blPwAAAAABEQAAAPz8APwAAgAAAAAAAPC/ApDC9ShcjwlAAr4wmSoYlZQ/AAAAADQABAFlBAAAAAAAAAAABAgBZQQAAAAAAAAAAAgMAWUIAAAAAAAAAAAIEAFlBAAAAAAAAAAAEBQBZQQAAAAAAAAAABQYAWUEAAAAAAAAAAAYBAFlBAAAAAAAAAAAGBwBZQQAAAAAAAAAABwgAWUEAAAAAAAAAAAgJAFlBAAAAAAAAAAAJCgBZQQAAAAAAAAAACgsAWUEAAAAAAAAAAAsGAFlBAAAAAAAAAAAAAAAAA==</t>
        </r>
      </text>
    </comment>
    <comment ref="A638" authorId="0" shapeId="0" xr:uid="{C7561EB5-5798-4D92-9BA0-C115EE5F9AC5}">
      <text>
        <r>
          <rPr>
            <sz val="9"/>
            <color indexed="81"/>
            <rFont val="MS P ゴシック"/>
            <family val="3"/>
            <charset val="128"/>
          </rPr>
          <t>Insight iXlW00001C0000638R0585476093S00001274P01104LAocjBAQBF1NjaVRlZ2ljLmRhdGEuTW9sZWN1bGUBbwF/ARJTY2lUZWdpYy5Nb2xlY3VsZQAAAQFkAv5qAQAAAAIAAjgYAAAA/PwA/AACAAAAAAAA8L8CgbdAguLHyL8Cs3vysFBr5j8AAAAAHAAAAPz8APwAAgAAAAAAAPC/Ai/dJAaBleE/AlTjpZvEIKA/AAAAABwAAAD8/AD8AAIAAAAAAADwvwJmiGNd3EbLPwJPQBNhw9P5PwAAAAAYAAAA/PwA/AACAAAAAAAA8L8CSnuDL0ym9j8CNV66SQwC4T8AAAAAHAAAAPz8APwAAgAAAAAAAPC/AsNkqmBUUvM/AmWqYFRSJ/g/AAAAABgAAAD8/AD8AAIAAAAAAADwvwKrPldbsb/yvwIOT6+UZYjfPwAAAAAcAAAA/PwA/AACAAAAAAAA8L8Cxm00gLdAAkACVOOlm8QgoD8AAAAAIAAAAPz8APwAAgAAAAAAAPC/AmpN845TdP2/ArwFEhQ/xvM/AAAAABgAAAD8/AD8AAIAAAAAAADwvwIv3SQGgZXhPwLLoUW28/3uvwAAAAAgAAAA/PwA/AACAAAAAAAA8L8CN6s+V1ux978Cam/whclU3b8AAAAAGAAAAPz8APwAAgAAAAAAAPC/AtnO91PjpfY/AubQItv5fve/AAAAABgAAAD8/AD8AAIAAAAAAADwvwLGbTSAt0ACQALLoUW28/3uvwAAAAAYAAAA/PwA/AACAAAAAAAA8L8CQRNhw9OrA8AC4QuTqYJR5b8AAAAAGAAAAPz8APwAAgAAAAAAAPC/Ar+fGi/dJAbAAgAi/fZ14Pm/AAAAADwEAAFlBAAAAAAAAAAACAABZQgIAAAAAAAAAAwEAWUEAAAAAAAAAAAQCAFlBAAAAAAAAAAAFAABZQQAAAAAAAAAABgMAWUEAAAAAAAAAAAcFAFlCAAAAAAAAAAAIAQBZQQAAAAAAAAAACQUAWUEAAAAAAAAAAAoIAFlBAAAAAAAAAAALCgBZQQAAAAAAAAAADAkAWUEAAAAAAAAAAA0MAFlBAAAAAAAAAAAEAwBZQgIAAAAAAAAABgsAWUEAAAAAAAAAAAAAAAA</t>
        </r>
      </text>
    </comment>
    <comment ref="A639" authorId="0" shapeId="0" xr:uid="{7F4FD76C-3154-44BA-B904-4ABF84F76106}">
      <text>
        <r>
          <rPr>
            <sz val="9"/>
            <color indexed="81"/>
            <rFont val="MS P ゴシック"/>
            <family val="3"/>
            <charset val="128"/>
          </rPr>
          <t>Insight iXlW00001C0000639R0585476093S00001276P01176LAocjBAQBF1NjaVRlZ2ljLmRhdGEuTW9sZWN1bGUBbwF/ARJTY2lUZWdpYy5Nb2xlY3VsZQAAAQFkAv5qAQAAAAIAAjwYAAAA/PwA/AACAAAAAAAA8L8C2IFzRpT2zj8CsVBrmnec6r8AAAAAHAAAAPz8APwAAgAAAAAAAPC/AndPHhZqTdu/AqqCUUmdgLa/AAAAABwAAAD8/AD8AAIAAAAAAADwvwI2zTtO0ZHQvwLWVuwvuyf7vwAAAAAYAAAA/PwA/AACAAAAAAAA8L8CppvEILBy9b8CfPKwUGua378AAAAAHAAAAPz8APwAAgAAAAAAAPC/AifChqdXyvO/AjiJQWDl0Pe/AAAAABgAAAD8/AD8AAIAAAAAAADwvwJjEFg5tMjzPwLQRNjw9ErnvwAAAAAcAAAA/PwA/AACAAAAAAAA8L8Cw2SqYFTSAcACYVRSJ6CJoL8AAAAAIAAAAPz8APwAAgAAAAAAAPC/AgXFjzF3Lf0/AintDb4wmfi/AAAAABgAAAD8/AD8AAIAAAAAAADwvwIkSnuDL0zGvwKDUUmdgCbsPwAAAAAgAAAA/PwA/AACAAAAAAAA8L8CWag1zTtO+j8CSHL5D+m3xz8AAAAAGAAAAPz8APwAAgAAAAAAAPC/ApVliGNdXAPAApLtfD81Xu4/AAAAABgAAAD8/AD8AAIAAAAAAADwvwJApN++DhwFQALm0CLb+X7SPwAAAAAYAAAA/PwA/AACAAAAAAAA8L8CyeU/pN++6L8CpixDHOvi+j8AAAAAGAAAAPz8APwAAgAAAAAAAPC/ArCUZYhjXfy/AqmkTkATYfs/AAAAABgAAAD8/AD8AAIAAAAAAADwvwIDmggbnl4IQALrBDQRNjzzPwAAAAABEAQAAWUEAAAAAAAAAAAIAAFlCAgAAAAAAAAADAQBZQQAAAAAAAAAABAIAWUEAAAAAAAAAAAUAAFlBAAAAAAAAAAAGAwBZQQAAAAAAAAAABwUAWUIAAAAAAAAAAAgBAFlBAAAAAAAAAAAJBQBZQQAAAAAAAAAACgYAWUEAAAAAAAAAAAsJAFlBAAAAAAAAAAAMCABZQQAAAAAAAAAADQwAWUEAAAAAAAAAAA4LAFlBAAAAAAAAAAAEAwBZQgIAAAAAAAAACg0AWUEAAAAAAAAAAAAAAAA</t>
        </r>
      </text>
    </comment>
    <comment ref="A640" authorId="0" shapeId="0" xr:uid="{1DDD7682-58EB-4054-A995-D37139D6E937}">
      <text>
        <r>
          <rPr>
            <sz val="9"/>
            <color indexed="81"/>
            <rFont val="MS P ゴシック"/>
            <family val="3"/>
            <charset val="128"/>
          </rPr>
          <t>Insight iXlW00001C0000640R0585476093S00001278P00964LAocjBAQBF1NjaVRlZ2ljLmRhdGEuTW9sZWN1bGUBbwF/ARJTY2lUZWdpYy5Nb2xlY3VsZQAAAQFkAv5qAQAAAAIAAjAYAAAA/PwA/AACAAAAAAAA8L8CS+oENBE26D8CQ61p3nGK0j8AAAAAHAAAAPz8APwAAgAAAAAAAPC/Akw3iUFg5ci/AqVOQBNhw5O/AAAAABwAAAD8/AD8AAIAAAAAAADwvwLf4AuTqYL1PwJ1ApoIG57gvwAAAAAYAAAA/PwA/AACAAAAAAAA8L8CTDeJQWDlyL8COwFNhA1P8L8AAAAAHAAAAPz8APwAAgAAAAAAAPC/AkvqBDQRNug/AsZtNIC3QPW/AAAAABgAAAD8/AD8AAIAAAAAAADwvwKx4emVsgzxPwJgB84ZUdrzPwAAAAAcAAAA/PwA/AACAAAAAAAA8L8CK4cW2c738L8COwFNhA1P+L8AAAAAIAAAAPz8APwAAgAAAAAAAPC/AsdLN4lBYNk/AueMKO0Nvv8/AAAAABgAAAD8/AD8AAIAAAAAAADwvwIrhxbZzvfwvwIW+8vuycPePwAAAAAgAAAA/PwA/AACAAAAAAAA8L8Cfq62Yn9ZAEACdnEbDeAt9z8AAAAAGAAAAPz8APwAAgAAAAAAAPC/Am3n+6nx0v6/AqVOQBNhw5O/AAAAABgAAAD8/AD8AAIAAAAAAADwvwJt5/up8dL+vwI7AU2EDU/wvwAAAAA0BAABZQQAAAAAAAAAAAgAAWUICAAAAAAAAAAMBAFlBAAAAAAAAAAAEAgBZQQAAAAAAAAAABQAAWUEAAAAAAAAAAAYDAFlBAAAAAAAAAAAHBQBZQgAAAAAAAAAACAEAWUEAAAAAAAAAAAkFAFlBAAAAAAAAAAAKCABZQQAAAAAAAAAACwoAWUEAAAAAAAAAAAMEAFlCAgAAAAAAAAAGCwBZQQAAAAAAAAAAAAAAAA=</t>
        </r>
      </text>
    </comment>
    <comment ref="A641" authorId="0" shapeId="0" xr:uid="{34F0961A-FC11-4101-971F-D739A30D7C83}">
      <text>
        <r>
          <rPr>
            <sz val="9"/>
            <color indexed="81"/>
            <rFont val="MS P ゴシック"/>
            <family val="3"/>
            <charset val="128"/>
          </rPr>
          <t>Insight iXlW00001C0000641R0585476093S00001280P01160LAocjBAQBF1NjaVRlZ2ljLmRhdGEuTW9sZWN1bGUBbwF/ARJTY2lUZWdpYy5Nb2xlY3VsZQAAAQFkAv5qAQAAAAIAAjwYAAAA/PwA/AACAAAAAAAA8L8Cam/whclU5T8CPb1SliGOzb8AAAAAGAAAAPz8APwAAgAAAAAAAPC/AtsbfGEyVfW/AsUgsHJokc2/AAAAABgAAAD8/AD8AAIAAAAAAADwvwIuIR/0bFbFPwI0ETY8vVLkPwAAAAAYAAAA/PwA/AACAAAAAAAA8L8Cpb3BFyZTxT8CWmQ730+N8b8AAAAAGAAAAPz8APwAAgAAAAAAAPC/Au0NvjCZqgLAAsUgsHJokc2/AAAAABgAAAD8/AD8AAIAAAAAAADwvwK1N/jCZKrqvwJaZDvfT43xvwAAAAAYAAAA/PwA/AACAAAAAAAA8L8CtTf4wmSq6r8CNBE2PL1S5D8AAAAAIAAAAPz8APwAAgAAAAAAAPC/ArU3+MJkqvo/Aj29UpYhjs2/AAAAACAAAAD8/AD8AAIAAAAAAADwvwLtDb4wmaoGwAJaZDvfT43xvwAAAAAkAAAA/PwA/AACAAAAAAAA8L8CTMgHPZtV5T8CnMQgsHJo/78AAAAAJAAAAPz8APwAAgAAAAAAAPC/AkzIBz2bVeU/AtxoAG+BBPg/AAAAACAAAAD8/AD8AAIAAAAAAADwvwLtDb4wmaoGwAI0ETY8vVLkPwAAAAAYAAAA/PwA/AACAAAAAAAA8L8CE/JBz2ZVAUACNBE2PL1S5D8AAAAAGAAAAPz8APwAAgAAAAAAAPC/Aibkg57Nqvo/AtxoAG+BBPg/AAAAABgAAAD8/AD8AAIAAAAAAADwvwIT8kHPZlUJQAI0ETY8vVLkPwAAAAA8BBQBZQQAAAAAAAAAAAgAAWUICAAAAAAAAAAMAAFlBAAAAAAAAAAAEAQBZQQAAAAAAAAAABQMAWUICAAAAAAAAAAYCAFlBAAAAAAAAAAAHAABZQQAAAAAAAAAACAQAWUIAAAAAAAAAAAkDAFlBAAAAAAAAAAAKAgBZQQAAAAAAAAAACwQAWUEAAAAAAAAAAAwHAFlBAAAAAAAAAAANDABZQQAAAAAAAAAADgwAWUEAAAAAAAAAAAEGAFlCAgAAAAAAAAAAAAAAA==</t>
        </r>
      </text>
    </comment>
    <comment ref="A642" authorId="0" shapeId="0" xr:uid="{ECFAD3D8-0445-4C2E-8890-6F106AB7B440}">
      <text>
        <r>
          <rPr>
            <sz val="9"/>
            <color indexed="81"/>
            <rFont val="MS P ゴシック"/>
            <family val="3"/>
            <charset val="128"/>
          </rPr>
          <t>Insight iXlW00001C0000642R0585476093S00001282P01016LAocjBAQBF1NjaVRlZ2ljLmRhdGEuTW9sZWN1bGUBbwF/ARJTY2lUZWdpYy5Nb2xlY3VsZQAAAQFkAv5qAQAAAAIAAjQYAAAA/PwA/AACAAAAAAAA8L8CvsEXJlOFAEACL/8h/fZ14j8AAAAAGAAAAPz8APwAAgAAAAAAAPC/ApM6AU2EDeG/AnP5D+m3r7M/AAAAABgAAAD8/AD8AAIAAAAAAADwvwI6I0p7gy/zPwJz+Q/pt6+zPwAAAAAcAAAA/PwA/AACAAAAAAAA8L8CkzoBTYQN4b8C0gDeAgmK7b8AAAAAGAAAAPz8APwAAgAAAAAAAPC/AuELk6mCUdU/Ai//If32deI/AAAAACAAAAD8/AD8AAIAAAAAAADwvwK+wRcmU4UAQAKX/5B++zr5PwAAAAAgAAAA/PwA/AACAAAAAAAA8L8C/Knx0k1i9r8CL/8h/fZ14j8AAAAAIAAAAPz8APwAAgAAAAAAAPC/AhdIUPwYcwdAAnP5D+m3r7M/AAAAABgAAAD8/AD8AAIAAAAAAADwvwLhC5OpglHVPwJpAG+BBMX2vwAAAAAYAAAA/PwA/AACAAAAAAAA8L8COiNKe4Mv8z8C0gDeAgmK7b8AAAAAGAAAAPz8APwAAgAAAAAAAPC/Ah+F61G4HgLAAnP5D+m3r7M/AAAAABgAAAD8/AD8AAIAAAAAAADwvwIfhetRuB4CwALSAN4CCYrtvwAAAAAYAAAA/PwA/AACAAAAAAAA8L8CQDVeukkMCcACL/8h/fZ14j8AAAAANAQQAWUIDAAAAAAAAAAIAAFlBAAAAAAAAAAADCABZQgIAAAAAAAAABAIAWUEAAAAAAAAAAAUAAFlCAAAAAAAAAAAGAQBZQQAAAAAAAAAABwAAWUEAAAAAAAAAAAgJAFlBAAAAAAAAAAAJAgBZQgMAAAAAAAAACgYAWUEAAAAAAAAAAAsKAFlBAAAAAAAAAAAMCgBZQQAAAAAAAAAAAQMAWUEAAAAAAAAAAAAAAAA</t>
        </r>
      </text>
    </comment>
    <comment ref="A643" authorId="0" shapeId="0" xr:uid="{E5A497BA-9869-4822-9B2F-C1986EA621F9}">
      <text>
        <r>
          <rPr>
            <sz val="9"/>
            <color indexed="81"/>
            <rFont val="MS P ゴシック"/>
            <family val="3"/>
            <charset val="128"/>
          </rPr>
          <t>Insight iXlW00001C0000643R0585476093S00001284P01088LAocjBAQBF1NjaVRlZ2ljLmRhdGEuTW9sZWN1bGUBbwF/ARJTY2lUZWdpYy5Nb2xlY3VsZQAAAQFkAv5qAQAAAAIAAjgYAAAA/PwA/AACAAAAAAAA8L8C7uvAOSNKBEACZhniWBe33T8AAAAAGAAAAPz8APwAAgAAAAAAAPC/Apt3nKIjufo/Atc07zhFR6K/AAAAABgAAAD8/AD8AAIAAAAAAADwvwI3qz5XW7GvvwLXNO84RUeivwAAAAAcAAAA/PwA/AACAAAAAAAA8L8CN6s+V1uxr78Cp3nHKTqS8L8AAAAAGAAAAPz8APwAAgAAAAAAAPC/ArIubqMBvOk/AmYZ4lgXt90/AAAAACAAAAD8/AD8AAIAAAAAAADwvwLu68A5I0oEQAJahjjWxW33PwAAAAAgAAAA/PwA/AACAAAAAAAA8L8CD5wzorQ3C0AC1zTvOEVHor8AAAAAGAAAAPz8APwAAgAAAAAAAPC/AtDVVuwvu+k/Aqd5xyk6kvi/AAAAACAAAAD8/AD8AAIAAAAAAADwvwI3qz5XW7HtvwJmGeJYF7fdPwAAAAAYAAAA/PwA/AACAAAAAAAA8L8Cm3ecoiO5+j8Cp3nHKTqS8L8AAAAAIAAAAPz8APwAAgAAAAAAAPC/AmmR7Xw/NQzAAtc07zhFR6K/AAAAABgAAAD8/AD8AAIAAAAAAADwvwLdtYR80LP8vwLXNO84RUeivwAAAAAYAAAA/PwA/AACAAAAAAAA8L8CDwu1pnlHBcACZhniWBe33T8AAAAAGAAAAPz8APwAAgAAAAAAAPC/AsUgsHJokRHAAmYZ4lgXt90/AAAAADgEAAFlBAAAAAAAAAAACBABZQgMAAAAAAAAAAwcAWUICAAAAAAAAAAQBAFlBAAAAAAAAAAAFAABZQgAAAAAAAAAABgAAWUEAAAAAAAAAAAcJAFlBAAAAAAAAAAAIAgBZQQAAAAAAAAAACQEAWUIDAAAAAAAAAAoMAFlBAAAAAAAAAAALCABZQQAAAAAAAAAADAsAWUEAAAAAAAAAAA0KAFlBAAAAAAAAAAACAwBZQQAAAAAAAAAAAAAAAA=</t>
        </r>
      </text>
    </comment>
    <comment ref="A644" authorId="0" shapeId="0" xr:uid="{BA194FD6-B722-4CC4-B347-E9600C7F88E5}">
      <text>
        <r>
          <rPr>
            <sz val="9"/>
            <color indexed="81"/>
            <rFont val="MS P ゴシック"/>
            <family val="3"/>
            <charset val="128"/>
          </rPr>
          <t>Insight iXlW00001C0000644R0585476093S00001286P01136LAocjBAQBF1NjaVRlZ2ljLmRhdGEuTW9sZWN1bGUBbwF/ARJTY2lUZWdpYy5Nb2xlY3VsZQAAAQFkAv5qAQAAAAIAAjwYAAAA/PwA/AACAAAAAAAA8L8Cg8DKoUW2+78COUVHcvkPwT8AAAAAGAAAAPz8APwAAgAAAAAAAPC/ApvmHafoyARAAmRd3EYDeNe/AAAAABgAAAD8/AD8AAIAAAAAAADwvwJjEFg5tMgEwAJkXdxGA3jXvwAAAAAcAAAA/PwA/AACAAAAAAAA8L8Cg8DKoUW2678Cp+hILv8h+j8AAAAAGAAAAPz8APwAAgAAAAAAAPC/AoPAyqFFtuu/AmRd3EYDeNe/AAAAACAAAAD8/AD8AAIAAAAAAADwvwKb5h2n6MgEwAJZF7fRAN71vwAAAAAYAAAA/PwA/AACAAAAAAAA8L8Cg8DKoUW2+z8COUVHcvkPwT8AAAAAJAAAAPz8APwAAgAAAAAAAPC/ApvmHafoyAhAAmfV52or9t8/AAAAACQAAAD8/AD8AAIAAAAAAADwvwK8lpAPerYLQAKyLm6jAbzrvwAAAAAkAAAA/PwA/AACAAAAAAAA8L8Cm+Ydp+jIAEACm3ecoiO5878AAAAAGAAAAPz8APwAAgAAAAAAAPC/AoPAyqFFtvu/AqfoSC7/IfI/AAAAACAAAAD8/AD8AAIAAAAAAADwvwKDwMqhRbbrPwJkXdxGA3jXvwAAAAAYAAAA/PwA/AACAAAAAAAA8L8AAjlFR3L5D8E/AAAAACAAAAD8/AD8AAIAAAAAAADwvwK8lpAPerYLwAI5RUdy+Q/BPwAAAAAYAAAA/PwA/AACAAAAAAAA8L8AAqfoSC7/IfI/AAAAADwEGAFlBAAAAAAAAAAACAABZQQAAAAAAAAAAAwoAWUEAAAAAAAAAAAQAAFlBAAAAAAAAAAAFAgBZQgAAAAAAAAAABgsAWUEAAAAAAAAAAAcBAFlBAAAAAAAAAAAIAQBZQQAAAAAAAAAACQEAWUEAAAAAAAAAAAoAAFlCAwAAAAAAAAALDABZQQAAAAAAAAAADAQAWUIDAAAAAAAAAA0CAFlBAAAAAAAAAAAOAwBZQgIAAAAAAAAADA4AWUEAAAAAAAAAAAAAAAA</t>
        </r>
      </text>
    </comment>
    <comment ref="A645" authorId="0" shapeId="0" xr:uid="{DD4F0AE9-1C0C-497C-8427-9E1927D9D6BD}">
      <text>
        <r>
          <rPr>
            <sz val="9"/>
            <color indexed="81"/>
            <rFont val="MS P ゴシック"/>
            <family val="3"/>
            <charset val="128"/>
          </rPr>
          <t>Insight iXlW00001C0000645R0585476093S00001288P01248LAocjBAQBF1NjaVRlZ2ljLmRhdGEuTW9sZWN1bGUBbwF/ARJTY2lUZWdpYy5Nb2xlY3VsZQAAAQFkAv5qAQAAAAIAAgEQGAAAAPz8APwAAgAAAAAAAPC/Av32deCcEdE/AoPAyqFFtsu/AAAAABgAAAD8/AD8AAIAAAAAAADwvwLQ1VbsL7v7vwKDwMqhRbbLvwAAAAAYAAAA/PwA/AACAAAAAAAA8L8CBhIUP8bczb8CYxBYObTI5D8AAAAAGAAAAPz8APwAAgAAAAAAAPC/AgYSFD/G3M2/AlK4HoXrUfG/AAAAABgAAAD8/AD8AAIAAAAAAADwvwLoaiv2l90FwAKDwMqhRbbLvwAAAAAgAAAA/PwA/AACAAAAAAAA8L8CwH0dOGdE9D8Cg8DKoUW2y78AAAAAGAAAAPz8APwAAgAAAAAAAPC/AtDVVuwvu/O/AmMQWDm0yOQ/AAAAABgAAAD8/AD8AAIAAAAAAADwvwLQ1VbsL7vzvwJSuB6F61HxvwAAAAAYAAAA/PwA/AACAAAAAAAA8L8C4L4OnDMiBkACYxBYObTI5D8AAAAAGAAAAPz8APwAAgAAAAAAAPC/AgFvgQTFDw1AAolBYOXQIsM/AAAAABgAAAD8/AD8AAIAAAAAAADwvwI5RUdy+Q8NQAIxCKwcWmTyPwAAAAAgAAAA/PwA/AACAAAAAAAA8L8C6Gor9pfdCcACUrgehetR8b8AAAAAGAAAAPz8APwAAgAAAAAAAPC/AsB9HThnRPw/AmMQWDm0yOQ/AAAAACQAAAD8/AD8AAIAAAAAAADwvwL99nXgnBHRPwKUGARWDi3/vwAAAAAkAAAA/PwA/AACAAAAAAAA8L8C/fZ14JwR0T8Cc2iR7Xw/+D8AAAAAIAAAAPz8APwAAgAAAAAAAPC/AuhqK/aX3QnAAmMQWDm0yOQ/AAAAAAERBBwBZQgMAAAAAAAAAAgAAWUEAAAAAAAAAAAMAAFlCAgAAAAAAAAAEAQBZQQAAAAAAAAAABQAAWUEAAAAAAAAAAAYCAFlCAgAAAAAAAAAHAwBZQQAAAAAAAAAACAwAWUEAAAAAAAAAAAkIAFlBAAAAAAAAAAAKCABZQQAAAAAAAAAACwQAWUIAAAAAAAAAAAwFAFlBAAAAAAAAAAANAwBZQQAAAAAAAAAADgIAWUEAAAAAAAAAAA8EAFlBAAAAAAAAAAABBgBZQQAAAAAAAAAACgkAWUEAAAAAAAAAAAAAAAA</t>
        </r>
      </text>
    </comment>
    <comment ref="A646" authorId="0" shapeId="0" xr:uid="{78E0D474-8D2D-4479-BEF5-3ABBC6FEAFB3}">
      <text>
        <r>
          <rPr>
            <sz val="9"/>
            <color indexed="81"/>
            <rFont val="MS P ゴシック"/>
            <family val="3"/>
            <charset val="128"/>
          </rPr>
          <t>Insight iXlW00001C0000646R0585476093S00001290P01072LAocjBAQBF1NjaVRlZ2ljLmRhdGEuTW9sZWN1bGUBbwF/ARJTY2lUZWdpYy5Nb2xlY3VsZQAAAQFkAv5qAQAAAAIBAjgYAAAA/PwA/AACAAAAAAAA8L8COIlBYOXQ8T8CAAAAAAAA4L8AAAAAHAAAAPz8APwAAgAAAAAAAPC/AnnpJjEIrP8/AgAAAAAAAPC/AAAAABwAAAD8/AD8AAIAAAAAAADwvwIm5IOezarPPwIAAAAAAADwvwAAAAAYCAAA/PwA/AACAAAAAAAA8L8CescpOpLL478CAAAAAAAA4L8AAAAAHAAAAPz8APwAAgAAAAAAAPC/AkGC4seYuwnAAQAAAAAYDAAA/PwA/AACAAAAAAAA8L8CINJvXwfOAsACAAAAAAAA4D8AAAAAGAAAAPz8APwAAgAAAAAAAPC/Av9D+u3rwPe/AgAAAAAAAPC/AAAAABgAAAD8/AD8AAIAAAAAAADwvwJ6xyk6ksvjvwIAAAAAAADgPwAAAAAYAAAA/PwA/AACAAAAAAAA8L8CINJvXwfOAsACAAAAAAAA4L8AAAAAGAAAAPz8APwAAgAAAAAAAPC/Av9D+u3rwPe/AQAAAAAYAAAA/PwA/AACAAAAAAAA8L8C3SQGgZXDBkACAAAAAAAA4L8AAAAAGAAAAPz8APwAAgAAAAAAAPC/AjiJQWDl0PE/AgAAAAAAAOA/AAAAABgAAAD8/AD8AAIAAAAAAADwvwLdJAaBlcMGQAIAAAAAAADgPwAAAAAYAAAA/PwA/AACAAAAAAAA8L8CeekmMQis/z8BAAAAADwEAAFlBAAAAAAAAAAACAABZQQAAAAAAAAAAAwIAWUEEAAAAAAAAAAUEAFlBBQAAAAAAAAAFCQBZQQAAAAAAAAAABgMAWUEAAAAAAAAAAAcDAFlBAAAAAAAAAAAIBgBZQQAAAAAAAAAACQcAWUEAAAAAAAAAAAoBAFlCAgAAAAAAAAALAABZQgIAAAAAAAAADA0AWUICAAAAAAAAAA0LAFlBAAAAAAAAAAAMCgBZQQAAAAAAAAAABQgAWUEAAAAAAAAAAAAAAAA</t>
        </r>
      </text>
    </comment>
    <comment ref="A647" authorId="0" shapeId="0" xr:uid="{29A38029-03C0-4104-AD3A-B57AC76892E0}">
      <text>
        <r>
          <rPr>
            <sz val="9"/>
            <color indexed="81"/>
            <rFont val="MS P ゴシック"/>
            <family val="3"/>
            <charset val="128"/>
          </rPr>
          <t>Insight iXlW00001C0000647R0585476093S00001292P01184LAocjBAQBF1NjaVRlZ2ljLmRhdGEuTW9sZWN1bGUBbwF/ARJTY2lUZWdpYy5Nb2xlY3VsZQAAAQFkAv5qAQAAAAIBAgEQHAAAAPz8APwAAgAAAAAAAPC/AkGC4seYuwnAAQAAAAAYDAAA/PwA/AACAAAAAAAA8L8CINJvXwfOAsACAAAAAAAA4D8AAAAAGAAAAPz8APwAAgAAAAAAAPC/AiDSb18HzgLAAgAAAAAAAOC/AAAAABgAAAD8/AD8AAIAAAAAAADwvwL/Q/rt68D3vwIAAAAAAADwvwAAAAAYDAAA/PwA/AACAAAAAAAA8L8CescpOpLL478CAAAAAAAA4L8AAAAAGAAAAPz8APwAAgAAAAAAAPC/AnrHKTqSy+O/AgAAAAAAAOA/AAAAABgAAAD8/AD8AAIAAAAAAADwvwL/Q/rt68D3vwEAAAAAHAAAAPz8APwAAgAAAAAAAPC/Aibkg57Nqs8/AgAAAAAAAPC/AAAAABgAAAD8/AD8AAIAAAAAAADwvwI4iUFg5dDxPwIAAAAAAADgvwAAAAAYAAAA/PwA/AACAAAAAAAA8L8COIlBYOXQ8T8CAAAAAAAA4D8AAAAAGAAAAPz8APwAAgAAAAAAAPC/AnnpJjEIrP8/AQAAAAAcAAAA/PwA/AACAAAAAAAA8L8C3SQGgZXDBkACAAAAAAAA4D8AAAAAGAAAAPz8APwAAgAAAAAAAPC/At0kBoGVwwZAAgAAAAAAAOC/AAAAABwAAAD8/AD8AAIAAAAAAADwvwJ56SYxCKz/PwIAAAAAAADwvwAAAAABEQAAAPz8APwAAgAAAAAAAPC/AkSLbOf7KQ1AAt9xio7k8o+/AAAAAAERAAAA/PwA/AACAAAAAAAA8L8CMLsnDwu1EkAC33GKjuTyjz8AAAAAPAQAAWUEEAAAAAAAAAAECAFlBAAAAAAAAAAACAwBZQQAAAAAAAAAAAwQAWUEAAAAAAAAAAAQFAFlBAAAAAAAAAAAFBgBZQQAAAAAAAAAABgEAWUEAAAAAAAAAAAQHAFlBBQAAAAAAAAAHCABZQQAAAAAAAAAACAkAWUIDAAAAAAAAAAkKAFlBAAAAAAAAAAAKCwBZQgIAAAAAAAAACwwAWUEAAAAAAAAAAAwNAFlCAgAAAAAAAAANCABZQQAAAAAAAAAAAAAAAA=</t>
        </r>
      </text>
    </comment>
    <comment ref="A648" authorId="0" shapeId="0" xr:uid="{AB6C29F5-79B0-42C8-948F-8815E83B2A2F}">
      <text>
        <r>
          <rPr>
            <sz val="9"/>
            <color indexed="81"/>
            <rFont val="MS P ゴシック"/>
            <family val="3"/>
            <charset val="128"/>
          </rPr>
          <t>Insight iXlW00001C0000648R0585476093S00001294P01184LAocjBAQBF1NjaVRlZ2ljLmRhdGEuTW9sZWN1bGUBbwF/ARJTY2lUZWdpYy5Nb2xlY3VsZQAAAQFkAv5qAQAAAAIAAjwcAAAA/PwA/AACAAAAAAAA8L8CelioNc27CEAC0m9fB84Zkb8AAAAAGAAAAPz8APwAAgAAAAAAAPC/AuC+DpwzIgJAAhaMSuoENHG/AAAAABgAAAD8/AD8AAIAAAAAAADwvwLzsFBrmnf9PwLNzMzMzMzmvwAAAAAcAAAA/PwA/AACAAAAAAAA8L8CAAAAAAAA/j8CNDMzMzMz5z8AAAAAGAAAAPz8APwAAgAAAAAAAPC/AhPyQc9mVQ1AArIubqMBvOO/AAAAABgAAAD8/AD8AAIAAAAAAADwvwJGJXUCmogNQALoaiv2l93hPwAAAAAYAAAA/PwA/AACAAAAAAAA8L8CcF8HzhkREUACtoR80LNZpb8AAAAAHAAAAPz8APwAAgAAAAAAAPC/ArIubqMBvOM/ArHh6ZWyDKE/AAAAABgAAAD8/AD8AAIAAAAAAADwvwLNzMzMzMzwPwLoaiv2l93nPwAAAAAYAAAA/PwA/AACAAAAAAAA8L8CZ2ZmZmZm8D8CGJXUCWgi5r8AAAAAHAAAAPz8APwAAgAAAAAAAPC/Aj0s1JrmXRRAAh3r4jYawKu/AAAAABgAAAD8/AD8AAIAAAAAAADwvwKti9toAO8BQALNzMzMzMz2vwAAAAAYAAAA/PwA/AACAAAAAAAA8L8CTMgHPZtV4z8CwH0dOGdE9r8AAAAAGAAAAPz8APwAAgAAAAAAAPC/AoxK6gQ0Ef0/AkYldQKaCAHAAAAAABgAAAD8/AD8AAIAAAAAAADwvwECZ2ZmZmbmAMAAAAAAAREEAAFlBAAAAAAAAAAACAQBZQQAAAAAAAAAAAwEAWUIDAAAAAAAAAAQAAFlBAAAAAAAAAAAFAABZQQAAAAAAAAAABgUAWUEAAAAAAAAAAAcIAFlCAgAAAAAAAAAIAwBZQQAAAAAAAAAACQIAWUEAAAAAAAAAAAoGAFlBAAAAAAAAAAALAgBZQgMAAAAAAAAADAkAWUICAAAAAAAAAA0LAFlBAAAAAAAAAAAODQBZQgIAAAAAAAAABAYAWUEAAAAAAAAAAAkHAFlBAAAAAAAAAAAMDgBZQQAAAAAAAAAAAAAAAA=</t>
        </r>
      </text>
    </comment>
    <comment ref="A649" authorId="0" shapeId="0" xr:uid="{41E0DABC-E39D-470A-8EF4-6CFEFED69549}">
      <text>
        <r>
          <rPr>
            <sz val="9"/>
            <color indexed="81"/>
            <rFont val="MS P ゴシック"/>
            <family val="3"/>
            <charset val="128"/>
          </rPr>
          <t>Insight iXlW00001C0000649R0585476093S00001296P01232LAocjBAQBF1NjaVRlZ2ljLmRhdGEuTW9sZWN1bGUBbwF/ARJTY2lUZWdpYy5Nb2xlY3VsZQAAAQFkAv5qAQAAAAIAAgEQGAAAAPz8APwAAgAAAAAAAPC/As1dS8gHPQHAAt0kBoGVQ+c/AAAAACAAAAD8/AD8AAIAAAAAAADwvwK5HoXrUbjyvwK/DpwzorThPwAAAAAYAAAA/PwA/AACAAAAAAAA8L8CBHgLJCh+6r8CXynLEMe62L8AAAAAGAAAAPz8APwAAgAAAAAAAPC/Ap2iI7n8h/e/AgCRfvs6cPK/AAAAABgAAAD8/AD8AAIAAAAAAADwvwJX7C+7Jw/yvwJcsb/snrwAwAAAAAAYAAAA/PwA/AACAAAAAAAA8L8Cs3vysFBrwr8Cq2BUUicgAsAAAAAAGAAAAPz8APwAAgAAAAAAAPC/ApJc/kP67d8/Aq36XG3F/ve/AAAAABgAAAD8/AD8AAIAAAAAAADwvwL3Bl+YTBXEPwLsUbgehevhvwAAAAAYAAAA/PwA/AACAAAAAAAA8L8CEjY8vVKW6T8Cku18PzVeyj8AAAAAHAAAAPz8APwAAgAAAAAAAPC/AqQBvAUSFPc/AuxRuB6F6+G/AAAAABgAAAD8/AD8AAIAAAAAAADwvwKPU3Qkl/+wvwJlO99PjZfmPwAAAAAYAAAA/PwA/AACAAAAAAAA8L8Cj1N0JJf/sL8Cs53vp8ZL+z8AAAAAIAAAAPz8APwAAgAAAAAAAPC/AhI2PL1Sluk/AtnO91PjpQFAAAAAABgAAAD8/AD8AAIAAAAAAADwvwJKe4MvTKb6PwKzne+nxkv7PwAAAAAYAAAA/PwA/AACAAAAAAAA8L8CSnuDL0ym+j8CZTvfT42X5j8AAAAAAREAAAD8/AD8AAIAAAAAAADwvwIMJCh+jLkDQAIy5q4l5IOevwAAAAABEAAEAWUEAAAAAAAAAAAECAFlBAAAAAAAAAAACAwBZQgMAAAAAAAAAAwQAWUEAAAAAAAAAAAQFAFlCAgAAAAAAAAAFBgBZQQAAAAAAAAAABgcAWUICAAAAAAAAAAcCAFlBAAAAAAAAAAAHCABZQQAAAAAAAAAACAkAWUEAAAAAAAAAAAgKAFlBAAAAAAAAAAAKCwBZQQAAAAAAAAAACwwAWUEAAAAAAAAAAAwNAFlBAAAAAAAAAAANDgBZQQAAAAAAAAAADggAWUEAAAAAAAAAAAAAAAA</t>
        </r>
      </text>
    </comment>
    <comment ref="A650" authorId="0" shapeId="0" xr:uid="{709B5734-A151-4E29-A48B-2B919FDF1B14}">
      <text>
        <r>
          <rPr>
            <sz val="9"/>
            <color indexed="81"/>
            <rFont val="MS P ゴシック"/>
            <family val="3"/>
            <charset val="128"/>
          </rPr>
          <t>Insight iXlW00001C0000650R0585476093S00001298P01376LAocjBAQBF1NjaVRlZ2ljLmRhdGEuTW9sZWN1bGUBbwF/ARJTY2lUZWdpYy5Nb2xlY3VsZQAAAQFkAv5qAQAAAAIAAgESHAAAAPz8APwAAgAAAAAAAPC/AkVpb/CFydS/AlMnoImw4fI/AAAAABgAAAD8/AD8AAIAAAAAAADwvwL5oGez6nPxvwJvgQTFjzHhPwAAAAAYAAAA/PwA/AACAAAAAAAA8L8C+aBns+pz+b8CKH6MuWsJ1b8AAAAAGAAAAPz8APwAAgAAAAAAAPC/An3Qs1n1uQTAAih+jLlrCdW/AAAAACAAAAD8/AD8AAIAAAAAAADwvwJ90LNZ9bkIwAJvgQTFjzHhPwAAAAAYAAAA/PwA/AACAAAAAAAA8L8CfdCzWfW5BMAC+aBns+pz9j8AAAAAGAAAAPz8APwAAgAAAAAAAPC/AvmgZ7Pqc/m/AvmgZ7Pqc/Y/AAAAABgAAAD8/AD8AAIAAAAAAADwvwJFaW/whcnUvwIll/+Qfvu6vwAAAAAYAAAA/PwA/AACAAAAAAAA8L8CveMUHcnl378CU5YhjnVx8b8AAAAAGAAAAPz8APwAAgAAAAAAAPC/AuM2GsBbINE/Au58PzVeuvu/AAAAABgAAAD8/AD8AAIAAAAAAADwvwJwXwfOGVHzPwKoxks3iUH2vwAAAAAYAAAA/PwA/AACAAAAAAAA8L8CDr4wmSoY9j8CHqfoSC7/2b8AAAAAGAAAAPz8APwAAgAAAAAAAPC/AszuycNCreM/ApvmHafoSM4/AAAAABgAAAD8/AD8AAIAAAAAAADwvwLjx5i7lpACQAIeOGdEaW+wvwAAAAAkAAAA/PwA/AACAAAAAAAA8L8CgNk9eVio/z8Ca7x0kxgE7D8AAAAAJAAAAPz8APwAAgAAAAAAAPC/Ar4wmSoYFQpAAg8LtaZ5x9E/AAAAACQAAAD8/AD8AAIAAAAAAADwvwIGo5I6AU0FQAI5RUdy+Q/wvwAAAAABEQAAAPz8APwAAgAAAAAAAPC/ApLLf0i/PRBAApchjnVxG8W/AAAAAAESAAQBZQQAAAAAAAAAAAQIAWUEAAAAAAAAAAAIDAFlBAAAAAAAAAAADBABZQQAAAAAAAAAABAUAWUEAAAAAAAAAAAUGAFlBAAAAAAAAAAAGAQBZQQAAAAAAAAAAAQcAWUEAAAAAAAAAAAcIAFlBAAAAAAAAAAAICQBZQgIAAAAAAAAACQoAWUEAAAAAAAAAAAoLAFlCAgAAAAAAAAALDABZQQAAAAAAAAAADAcAWUIDAAAAAAAAAAsNAFlBAAAAAAAAAAANDgBZQQAAAAAAAAAADQ8AWUEAAAAAAAAAAA0ARABZQQAAAAAAAAAAAAAAAA=</t>
        </r>
      </text>
    </comment>
    <comment ref="A651" authorId="0" shapeId="0" xr:uid="{51CE34C7-F405-455E-A2D2-1C3F9C4BE114}">
      <text>
        <r>
          <rPr>
            <sz val="9"/>
            <color indexed="81"/>
            <rFont val="MS P ゴシック"/>
            <family val="3"/>
            <charset val="128"/>
          </rPr>
          <t>Insight iXlW00001C0000651R0585476093S00001300P01376LAocjBAQBF1NjaVRlZ2ljLmRhdGEuTW9sZWN1bGUBbwF/ARJTY2lUZWdpYy5Nb2xlY3VsZQAAAQFkAv5qAQAAAAIAAgESHAAAAPz8APwAAgAAAAAAAPC/Amb35GGh1vC/AvRsVn2utvU/AAAAABgAAAD8/AD8AAIAAAAAAADwvwKsrdhfdk/2vwL0bFZ9rrbaPwAAAAAYAAAA/PwA/AACAAAAAAAA8L8CrK3YX3ZP9r8ChslUwaik4r8AAAAAGAAAAPz8APwAAgAAAAAAAPC/AvcGX5hMFQLAAsNkqmBUUvG/AAAAACAAAAD8/AD8AAIAAAAAAADwvwJQjZduEgMJwAKGyVTBqKTivwAAAAAYAAAA/PwA/AACAAAAAAAA8L8CUI2XbhIDCcAC9GxWfa622j8AAAAAGAAAAPz8APwAAgAAAAAAAPC/AvcGX5hMFQLAAno2qz5XW+0/AAAAABgAAAD8/AD8AAIAAAAAAADwvwItQxzr4jbavwL45GGh1jTPPwAAAAAYAAAA/PwA/AACAAAAAAAA8L8Cfq62Yn/ZzT8CRwN4CyQo8D8AAAAAGAAAAPz8APwAAgAAAAAAAPC/ArByaJHtfPM/AlJJnYAmwuo/AAAAABgAAAD8/AD8AAIAAAAAAADwvwL2KFyPwvX4PwLm0CLb+X66vwAAAAAYAAAA/PwA/AACAAAAAAAA8L8CtoR80LNZ7T8CT0ATYcPT678AAAAAGAAAAPz8APwAAgAAAAAAAPC/AlmoNc07TrG/AjEqqRPQROa/AAAAABgAAAD8/AD8AAIAAAAAAADwvwLr4jYawFsEQAJ24JwRpb3RvwAAAAAkAAAA/PwA/AACAAAAAAAA8L8COpLLf0i/BUACaCJseHql5j8AAAAAJAAAAPz8APwAAgAAAAAAAPC/Alyxv+yePAxAAu9aQj7o2dy/AAAAACQAAAD8/AD8AAIAAAAAAADwvwJkXdxGA/gCQAL+1HjpJjH0vwAAAAABEQAAAPz8APwAAgAAAAAAAPC/AuELk6mCURFAAnRGlPYGX6g/AAAAAAESAAQBZQQAAAAAAAAAAAQIAWUEAAAAAAAAAAAIDAFlBAAAAAAAAAAADBABZQQAAAAAAAAAABAUAWUEAAAAAAAAAAAUGAFlBAAAAAAAAAAAGAQBZQQAAAAAAAAAAAQcAWUEAAAAAAAAAAAcIAFlCAwAAAAAAAAAICQBZQQAAAAAAAAAACQoAWUICAAAAAAAAAAoLAFlBAAAAAAAAAAALDABZQgIAAAAAAAAADAcAWUEAAAAAAAAAAAoNAFlBAAAAAAAAAAANDgBZQQAAAAAAAAAADQ8AWUEAAAAAAAAAAA0ARABZQQAAAAAAAAAAAAAAAA=</t>
        </r>
      </text>
    </comment>
    <comment ref="A652" authorId="0" shapeId="0" xr:uid="{6F24916C-D6A5-49DA-B185-0B279D405AC1}">
      <text>
        <r>
          <rPr>
            <sz val="9"/>
            <color indexed="81"/>
            <rFont val="MS P ゴシック"/>
            <family val="3"/>
            <charset val="128"/>
          </rPr>
          <t>Insight iXlW00001C0000652R0585476093S00001302P01056LAocjBAQBF1NjaVRlZ2ljLmRhdGEuTW9sZWN1bGUBbwF/ARJTY2lUZWdpYy5Nb2xlY3VsZQAAAQFkAv5qAQAAAAIAAjgcAAAA/PwA/AACAAAAAAAA8L8CumsJ+aBn6b8CAAAAAAAAAcAAAAAAGAAAAPz8APwAAgAAAAAAAPC/AtgS8kHPZum/AgAAAAAAAPK/AAAAABgAAAD8/AD8AAIAAAAAAADwvwJdbcX+snuyPwIAAAAAAADkvwAAAAAYAAAA/PwA/AACAAAAAAAA8L8CL26jAbwF7j8CAAAAAAAA8r8AAAAAGAAAAPz8APwAAgAAAAAAAPC/AlkXt9EA3vw/AgAAAAAAAOS/AAAAABgAAAD8/AD8AAIAAAAAAADwvwJZF7fRAN78PwIAAAAAAADYPwAAAAAcAAAA/PwA/AACAAAAAAAA8L8CL26jAbwF7j8CAAAAAAAA7D8AAAAAGAAAAPz8APwAAgAAAAAAAPC/Al1txf6ye7I/AgAAAAAAANg/AAAAABgAAAD8/AD8AAIAAAAAAADwvwLYEvJBz2bpvwIAAAAAAADsPwAAAAAkAAAA/PwA/AACAAAAAAAA8L8CbAn5oGez9L8CPN9PjZdugj8AAAAAJAAAAPz8APwAAgAAAAAAAPC/Ah8Wak3zjvq/AgAAAAAAAPY/AAAAACQAAAD8/AD8AAIAAAAAAADwvwJz1xLyQc/SvwJCYOXQItv7PwAAAAABEQAAAPz8APwAAgAAAAAAAPC/AhPyQc9m1QRAAhgmUwWjksq/AAAAAAERAAAA/PwA/AACAAAAAAAA8L8CL90kBoEVDUAC3NeBc0aUxr8AAAAAMAAEAWUEAAAAAAAAAAAECAFlBAAAAAAAAAAACAwBZQgMAAAAAAAAAAwQAWUEAAAAAAAAAAAQFAFlCAgAAAAAAAAAFBgBZQQAAAAAAAAAABgcAWUICAAAAAAAAAAcCAFlBAAAAAAAAAAAHCABZQQAAAAAAAAAACAkAWUEAAAAAAAAAAAgKAFlBAAAAAAAAAAAICwBZQQAAAAAAAAAAAAAAAA=</t>
        </r>
      </text>
    </comment>
    <comment ref="A653" authorId="0" shapeId="0" xr:uid="{6DB94507-0FC4-4027-97EC-2CD8442414CA}">
      <text>
        <r>
          <rPr>
            <sz val="9"/>
            <color indexed="81"/>
            <rFont val="MS P ゴシック"/>
            <family val="3"/>
            <charset val="128"/>
          </rPr>
          <t>Insight iXlW00001C0000653R0585476093S00001304P01324LAocjBAQBF1NjaVRlZ2ljLmRhdGEuTW9sZWN1bGUBbwF/ARJTY2lUZWdpYy5Nb2xlY3VsZQAAAQFkAv5qAQAAAAIAAgERGAAAAPz8APwAAgAAAAAAAPC/AgrXo3A9CvC/AiqpE9BE2LC/AAAAABgAAAD8/AD8AAIAAAAAAADwvwKlvcEXJlP6vwJ2ApoIG57qvwAAAAAYAAAA/PwA/AACAAAAAAAA8L8CvsEXJlMF178CdgKaCBue6r8AAAAAIAAAAPz8APwAAgAAAAAAAPC/AmAHzhlR2vS/AvLSTWIQWPy/AAAAABgAAAD8/AD8AAIAAAAAAADwvwLiWBe30QDkPwJX7C+7Jw/lvwAAAAAgAAAA/PwA/AACAAAAAAAA8L8CCtejcD0K8L8CbsX+snvy/j8AAAAAGAAAAPz8APwAAgAAAAAAAPC/Am7F/rJ78u4/Amu8dJMYBNI/AAAAACAAAAD8/AD8AAIAAAAAAADwvwJDrWnecQoFwAJX7C+7Jw/lvwAAAAAYAAAA/PwA/AACAAAAAAAA8L8CmP+Qfvs6/z8CqOhILv8h3T8AAAAAJAAAAPz8APwAAgAAAAAAAPC/Au9aQj7oWQJAAuELk6mCUfY/AAAAABgAAAD8/AD8AAIAAAAAAADwvwJMN4lBYOX9vwK2FfvL7snbPwAAAAAYAAAA/PwA/AACAAAAAAAA8L8CRrbz/dR4wb8CthX7y+7J2z8AAAAAGAAAAPz8APwAAgAAAAAAAPC/AvaX3ZOHBQJAAqcKRiV1AvS/AAAAABgAAAD8/AD8AAIAAAAAAADwvwJMN4lBYOX9vwJuxf6ye/L2PwAAAAAYAAAA/PwA/AACAAAAAAAA8L8CRrbz/dR4wb8CbsX+snvy9j8AAAAAGAAAAPz8APwAAgAAAAAAAPC/AgyTqYJRSfQ/AkVpb/CFyfa/AAAAABgAAAD8/AD8AAIAAAAAAADwvwIZc9cS8sEEQAK94xQdyeXTvwAAAAABEgQAAWUEAAAAAAAAAAAIAAFlBAAAAAAAAAAADAQBZQgAAAAAAAAAABAIAWUEAAAAAAAAAAAUOAFlBAAAAAAAAAAAGBABZQQAAAAAAAAAABwEAWUEAAAAAAAAAAAgGAFlCAwAAAAAAAAAJCABZQQAAAAAAAAAACgAAWUEAAAAAAAAAAAsAAFlBAAAAAAAAAAAMDwBZQQAAAAAAAAAADQoAWUEAAAAAAAAAAA4LAFlBAAAAAAAAAAAPBABZQgMAAAAAAAAAAEQMAFlCAgAAAAAAAAANBQBZQQAAAAAAAAAACABEAFlBAAAAAAAAAAAAAAAAA==</t>
        </r>
      </text>
    </comment>
    <comment ref="A654" authorId="0" shapeId="0" xr:uid="{164BF9CA-2C7D-4A1D-8AF9-704F853AD8E0}">
      <text>
        <r>
          <rPr>
            <sz val="9"/>
            <color indexed="81"/>
            <rFont val="MS P ゴシック"/>
            <family val="3"/>
            <charset val="128"/>
          </rPr>
          <t>Insight iXlW00001C0000654R0585476093S00001306P01324LAocjBAQBF1NjaVRlZ2ljLmRhdGEuTW9sZWN1bGUBbwF/ARJTY2lUZWdpYy5Nb2xlY3VsZQAAAQFkAv5qAQAAAAIAAgERGAAAAPz8APwAAgAAAAAAAPC/AuQUHcnlP/G/AsTTK2UZ4pg/AAAAABgAAAD8/AD8AAIAAAAAAADwvwJ/+zpwzoj7vwKyLm6jAbznvwAAAAAYAAAA/PwA/AACAAAAAAAA8L8CJLn8h/Tb278Csi5uowG8578AAAAAIAAAAPz8APwAAgAAAAAAAPC/AjlFR3L5D/a/AhDpt68D5/q/AAAAACAAAAD8/AD8AAIAAAAAAADwvwLkFB3J5T/xvwKoV8oyxDEAQAAAAAAYAAAA/PwA/AACAAAAAAAA8L8CL90kBoGV4T8ClBgEVg4t4r8AAAAAIAAAAPz8APwAAgAAAAAAAPC/AjBMpgpGpQXAApQYBFYOLeK/AAAAABgAAAD8/AD8AAIAAAAAAADwvwIt1JrmHScEQALkFB3J5T/MvwAAAAAkAAAA/PwA/AACAAAAAAAA8L8CnaIjufwHDEACzH9Iv30dqL8AAAAAGAAAAPz8APwAAgAAAAAAAPC/AjNVMCqpE/M/AmN/2T15WPW/AAAAABgAAAD8/AD8AAIAAAAAAADwvwK7SQwCK4fsPwK2FfvL7snXPwAAAAAYAAAA/PwA/AACAAAAAAAA8L8CvsEXJlMF/j8CF0hQ/Bhz4T8AAAAAGAAAAPz8APwAAgAAAAAAAPC/AtEi2/l+agFAAlR0JJf/kPK/AAAAABgAAAD8/AD8AAIAAAAAAADwvwISpb3BFybLvwKeXinLEMfgPwAAAAAYAAAA/PwA/AACAAAAAAAA8L8CJnUCmggb/78Cnl4pyxDH4D8AAAAAGAAAAPz8APwAAgAAAAAAAPC/AiZ1ApoIG/+/Ak+vlGWIY/g/AAAAABgAAAD8/AD8AAIAAAAAAADwvwISpb3BFybLvwJPr5RliGP4PwAAAAABEgQAAWUEAAAAAAAAAAAIAAFlBAAAAAAAAAAADAQBZQgAAAAAAAAAABA8AWUEAAAAAAAAAAAUCAFlBAAAAAAAAAAAGAQBZQQAAAAAAAAAABwsAWUEAAAAAAAAAAAgHAFlBAAAAAAAAAAAJBQBZQgMAAAAAAAAACgUAWUEAAAAAAAAAAAsKAFlCAgAAAAAAAAAMCQBZQQAAAAAAAAAADQAAWUEAAAAAAAAAAA4AAFlBAAAAAAAAAAAPDgBZQQAAAAAAAAAAAEQNAFlBAAAAAAAAAAAARAQAWUEAAAAAAAAAAAwHAFlCAgAAAAAAAAAAAAAAA==</t>
        </r>
      </text>
    </comment>
    <comment ref="A655" authorId="0" shapeId="0" xr:uid="{BB4B43A0-8E95-437E-8521-C0EF4023D312}">
      <text>
        <r>
          <rPr>
            <sz val="9"/>
            <color indexed="81"/>
            <rFont val="MS P ゴシック"/>
            <family val="3"/>
            <charset val="128"/>
          </rPr>
          <t>Insight iXlW00001C0000655R0585476093S00001308P01252LAocjBAQBF1NjaVRlZ2ljLmRhdGEuTW9sZWN1bGUBbwF/ARJTY2lUZWdpYy5Nb2xlY3VsZQAAAQFkAv5qAQAAAAIAAgEQGAAAAPz8APwAAgAAAAAAAPC/AvaX3ZOHhfC/As3MzMzMzMS/AAAAACAAAAD8/AD8AAIAAAAAAADwvwL7y+7Jw0IIwALNzMzMzMzEvwAAAAAYAAAA/PwA/AACAAAAAAAA8L8COUVHcvkP0b8CaQBvgQTF6b8AAAAAGAAAAPz8APwAAgAAAAAAAPC/AtIA3gIJiuU/ArwnDwu1pt2/AAAAABgAAAD8/AD8AAIAAAAAAADwvwLsUbgehWsEQAJteHqlLEPMPwAAAAABIwAAAPz8APwAAgAAAAAAAPC/Ase6uI0G8AtAAqcKRiV1AuI/AAAAABwAAAD8/AD8AAIAAAAAAADwvwKyv+yePCzcvwLi6ZWyDHH3PwAAAAAYAAAA/PwA/AACAAAAAAAA8L8CvjCZKhiV/D8CbxKDwMqh6z8AAAAAGAAAAPz8APwAAgAAAAAAAPC/AmTMXUvIBwNAAoj029eBc+i/AAAAABgAAAD8/AD8AAIAAAAAAADwvwLwFkhQ/BjrPwLkpZvEILDgPwAAAAAYAAAA/PwA/AACAAAAAAAA8L8CgnNGlPYG9z8CirDh6ZWy8b8AAAAAGAAAAPz8APwAAgAAAAAAAPC/AjlFR3L5D9G/AgU0ETY8vd4/AAAAABgAAAD8/AD8AAIAAAAAAADwvwL7y+7Jw0IEwALb+X5qvHTwvwAAAAAYAAAA/PwA/AACAAAAAAAA8L8C+8vuycNCBMACUI2XbhKD5j8AAAAAGAAAAPz8APwAAgAAAAAAAPC/AveX3ZOHhfi/Atv5fmq8dPC/AAAAABgAAAD8/AD8AAIAAAAAAADwvwL3l92Th4X4vwJQjZduEoPmPwAAAAABEQQ0AWUEAAAAAAAAAAAIAAFlBAAAAAAAAAAADAgBZQQAAAAAAAAAABAgAWUEAAAAAAAAAAAUEAFlBAAAAAAAAAAAGCwBZQQAAAAAAAAAABwkAWUEAAAAAAAAAAAgKAFlCAgAAAAAAAAAJAwBZQgMAAAAAAAAACgMAWUEAAAAAAAAAAAsAAFlBAAAAAAAAAAAMDgBZQQAAAAAAAAAADQ8AWUEAAAAAAAAAAA4AAFlBAAAAAAAAAAAPAABZQQAAAAAAAAAADAEAWUEAAAAAAAAAAAcEAFlCAgAAAAAAAAAAAAAAA==</t>
        </r>
      </text>
    </comment>
    <comment ref="A656" authorId="0" shapeId="0" xr:uid="{5D627418-76F1-48C3-8DA4-A80E54C1ABA1}">
      <text>
        <r>
          <rPr>
            <sz val="9"/>
            <color indexed="81"/>
            <rFont val="MS P ゴシック"/>
            <family val="3"/>
            <charset val="128"/>
          </rPr>
          <t>Insight iXlW00001C0000656R0585476093S00001310P01248LAocjBAQBF1NjaVRlZ2ljLmRhdGEuTW9sZWN1bGUBbwF/ARJTY2lUZWdpYy5Nb2xlY3VsZQAAAQFkAv5qAQAAAAIAAgEQHAAAAPz8APwAAgAAAAAAAPC/AkzIBz2bVY8/AmAHzhlR2ts/AAAAABgAAAD8/AD8AAIAAAAAAADwvwJd/kP67evuPwLdRgN4CyTAPwAAAAAYAAAA/PwA/AACAAAAAAAA8L8CUrgehetR4r8CzqrP1Vbs178AAAAAHAAAAPz8APwAAgAAAAAAAPC/AkzIBz2bVY8/ArAD54wo7fK/AAAAACAAAAD8/AD8AAIAAAAAAADwvwJd/kP67evuPwJn1edqK/brvwAAAAAYAAAA/PwA/AACAAAAAAAA8L8CKxiV1Alo/D8CKqkT0ETY5j8AAAAAIAAAAPz8APwAAgAAAAAAAPC/ArIubqMBvPo/AkzIBz2bVfs/AAAAABgAAAD8/AD8AAIAAAAAAADwvwIpXI/C9Sj5vwLOqs/VVuzXvwAAAAAgAAAA/PwA/AACAAAAAAAA8L8CGLfRAN6CBUACnoAmwoan0z8AAAAAGAAAAPz8APwAAgAAAAAAAPC/AhWuR+F6lADAAjnWxW00gN8/AAAAABgAAAD8/AD8AAIAAAAAAADwvwIVrkfhepQAwAL1SlmGONbzvwAAAAAYAAAA/PwA/AACAAAAAAAA8L8ClkOLbOf7C0AC4L4OnDOi7D8AAAAAGAAAAPz8APwAAgAAAAAAAPC/Akw3iUFgpRFAAgmsHFpkO98/AAAAABgAAAD8/AD8AAIAAAAAAADwvwIVrkfhepQIwAL1SlmGONbzvwAAAAAYAAAA/PwA/AACAAAAAAAA8L8CFa5H4XqUCMACOdbFbTSA3z8AAAAAGAAAAPz8APwAAgAAAAAAAPC/AhWuR+F6lAzAAs6qz9VW7Ne/AAAAAAERBAABZQgIAAAAAAAAAAgAAWUEAAAAAAAAAAAMCAFlCAgAAAAAAAAAEAQBZQQAAAAAAAAAABQEAWUEAAAAAAAAAAAYFAFlCAAAAAAAAAAAHAgBZQQAAAAAAAAAACAUAWUEAAAAAAAAAAAkHAFlBAAAAAAAAAAAKBwBZQQAAAAAAAAAACwgAWUEAAAAAAAAAAAwLAFlBAAAAAAAAAAANCgBZQQAAAAAAAAAADgkAWUEAAAAAAAAAAA8NAFlBAAAAAAAAAAAEAwBZQQAAAAAAAAAADg8AWUEAAAAAAAAAAAAAAAA</t>
        </r>
      </text>
    </comment>
    <comment ref="A657" authorId="0" shapeId="0" xr:uid="{0CE6FED6-4B17-4A87-BC94-0F867D9419EE}">
      <text>
        <r>
          <rPr>
            <sz val="9"/>
            <color indexed="81"/>
            <rFont val="MS P ゴシック"/>
            <family val="3"/>
            <charset val="128"/>
          </rPr>
          <t>Insight iXlW00001C0000657R0585476093S00001312P01252LAocjBAQBF1NjaVRlZ2ljLmRhdGEuTW9sZWN1bGUBbwF/ARJTY2lUZWdpYy5Nb2xlY3VsZQAAAQFkAv5qAQAAAAIAAgEQGAAAAPz8APwAAgAAAAAAAPC/Aoc41sVtNAhAAtBm1edqK9I/AAAAABgAAAD8/AD8AAIAAAAAAADwvwKHONbFbTQIQAK0WfW52or0PwAAAAAcAAAA/PwA/AACAAAAAAAA8L8CZohjXdxGAUACtFn1udqK/D8AAAAAGAAAAPz8APwAAgAAAAAAAPC/Aoqw4emVsvQ/ArRZ9bnaivQ/AAAAABgAAAD8/AD8AAIAAAAAAADwvwKKsOHplbL0PwLQZtXnaivSPwAAAAAYAAAA/PwA/AACAAAAAAAA8L8CZohjXdxGAUACYjJVMCqpy78AAAAAGAAAAPz8APwAAgAAAAAAAPC/Al2PwvUoXNs/AmIyVTAqqcu/AAAAACAAAAD8/AD8AAIAAAAAAADwvwJ56SYxCKzUPwKS7Xw/NV7zvwAAAAAcAAAA/PwA/AACAAAAAAAA8L8C2IFzRpT25L8CGQRWDi2y9r8AAAAAGAAAAPz8APwAAgAAAAAAAPC/AuzAOSNKe/K/Aq5H4XoUruG/AAAAABwAAAD8/AD8AAIAAAAAAADwvwK1yHa+nxrfvwINcayL22jIPwAAAAAYAAAA/PwA/AACAAAAAAAA8L8CirDh6ZUyAcACeekmMQis3L8AAAAAGAAAAPz8APwAAgAAAAAAAPC/AmB2Tx4WagfAAs1dS8gHPfG/AAAAABgAAAD8/AD8AAIAAAAAAADwvwLfcYqO5HIMwAKASL99HTjTvwAAAAAYAAAA/PwA/AACAAAAAAAA8L8CCKwcWmQ7BsACOUVHcvkP1T8AAAAAAREAAAD8/AD8AAIAAAAAAADwvwLtnjws1JoOQAJtVn2utmLHPwAAAAABEQAEAWUEAAAAAAAAAAAECAFlBAAAAAAAAAAACAwBZQQAAAAAAAAAAAwQAWUEAAAAAAAAAAAQFAFlBAAAAAAAAAAAFAABZQQAAAAAAAAAABAYAWUEAAAAAAAAAAAYHAFlBAAAAAAAAAAAHCABZQQAAAAAAAAAACAkAWUICAAAAAAAAAAkKAFlBAAAAAAAAAAAKBgBZQgMAAAAAAAAACQsAWUEAAAAAAAAAAAsMAFlBAAAAAAAAAAAMDQBZQQAAAAAAAAAADQ4AWUEAAAAAAAAAAA4LAFlBAAAAAAAAAAAAAAAAA==</t>
        </r>
      </text>
    </comment>
    <comment ref="A658" authorId="0" shapeId="0" xr:uid="{347E3C34-F0EA-4E18-A964-A9B554C9AEB6}">
      <text>
        <r>
          <rPr>
            <sz val="9"/>
            <color indexed="81"/>
            <rFont val="MS P ゴシック"/>
            <family val="3"/>
            <charset val="128"/>
          </rPr>
          <t>Insight iXlW00001C0000658R0585476093S00001314P00948LAocjBAQBF1NjaVRlZ2ljLmRhdGEuTW9sZWN1bGUBbwF/ARJTY2lUZWdpYy5Nb2xlY3VsZQAAAQFkAv5qAQAAAAIAAjAgAAAA/PwA/AACAAAAAAAA8L8CUI2XbhKD8j8CHcnlP6Tf8r8AAAAAGAAAAPz8APwAAgAAAAAAAPC/AnRGlPYGX+4/AhALtaZ5x8m/AAAAABwAAAD8/AD8AAIAAAAAAADwvwL5MeauJeT5PwIuIR/0bFbhPwAAAAAYAAAA/PwA/AACAAAAAAAA8L8C+THmriXk8T8CaERpb/CF9j8AAAAAGAAAAPz8APwAAgAAAAAAAPC/AnS1FfvL7sE/AlHaG3xhMvM/AAAAABgAAAD8/AD8AAIAAAAAAADwvwK1pnnHKTqiPwLXNO84RUfKPwAAAAAYAAAA/PwA/AACAAAAAAAA8L8CtaZ5xyk6oj8CyzLEsS5u6b8AAAAAGAAAAPz8APwAAgAAAAAAAPC/AhgmUwWjkuq/AmUZ4lgXt/S/AAAAABwAAAD8/AD8AAIAAAAAAADwvwJO845TdCT7vwLLMsSxLm7pvwAAAAAYAAAA/PwA/AACAAAAAAAA8L8CTvOOU3Qk+78C1zTvOEVHyj8AAAAAGAAAAPz8APwAAgAAAAAAAPC/AhgmUwWjkuq/AjbNO07RkeY/AAAAAAERAAAA/PwA/AACAAAAAAAA8L8CY3/ZPXlYA0ACIbByaJHtrD8AAAAAMAAEAWUIAAAAAAAAAAAECAFlBAAAAAAAAAAACAwBZQQAAAAAAAAAAAwQAWUEAAAAAAAAAAAQFAFlBAAAAAAAAAAAFAQBZQQAAAAAAAAAABQYAWUEAAAAAAAAAAAYHAFlBAAAAAAAAAAAHCABZQQAAAAAAAAAACAkAWUEAAAAAAAAAAAkKAFlBAAAAAAAAAAAKBQBZQQAAAAAAAAAAAAAAAA=</t>
        </r>
      </text>
    </comment>
    <comment ref="A659" authorId="0" shapeId="0" xr:uid="{070396BC-D4CD-4AA7-BD96-BBE18966EDF1}">
      <text>
        <r>
          <rPr>
            <sz val="9"/>
            <color indexed="81"/>
            <rFont val="MS P ゴシック"/>
            <family val="3"/>
            <charset val="128"/>
          </rPr>
          <t>Insight iXlW00001C0000659R0585476093S00001316P00896LAocjBAQBF1NjaVRlZ2ljLmRhdGEuTW9sZWN1bGUBbwF/ARJTY2lUZWdpYy5Nb2xlY3VsZQAAAQFkAv5qAQAAAAIAAjAYAAAA/PwA/AACAAAAAAAA8L8CAAAAAAAA+D8Cg8DKoUW26z8AAAAAGAAAAPz8APwAAgAAAAAAAPC/AgAAAAAAAOA/AoPAyqFFtus/AAAAABgAAAD8/AD8AAIAAAAAAADwvwAAAAAAABgAAAD8/AD8AAIAAAAAAADwvwIAAAAAAADgPwKDwMqhRbbrvwAAAAAYAAAA/PwA/AACAAAAAAAA8L8CAAAAAAAA+D8Cg8DKoUW2678AAAAAHAAAAPz8APwAAgAAAAAAAPC/AgAAAAAAAABAAAAAAAAYAAAA/PwA/AACAAAAAAAA8L8CAAAAAAAA4L8Cg8DKoUW2678AAAAAGAAAAPz8APwAAgAAAAAAAPC/AgAAAAAAAPi/AoPAyqFFtuu/AAAAACAAAAD8/AD8AAIAAAAAAADwvwIAAAAAAAAAwAAAAAAAGAAAAPz8APwAAgAAAAAAAPC/AgAAAAAAAPi/AoPAyqFFtus/AAAAABgAAAD8/AD8AAIAAAAAAADwvwIAAAAAAADgvwKDwMqhRbbrPwAAAAABEQAAAPz8APwAAgAAAAAAAPC/AmdmZmZmZgZAAAAAAAAwAAQBZQQAAAAAAAAAAAQIAWUEAAAAAAAAAAAIDAFlBAAAAAAAAAAADBABZQQAAAAAAAAAABAUAWUEAAAAAAAAAAAUAAFlBAAAAAAAAAAACBgBZQQAAAAAAAAAABgcAWUEAAAAAAAAAAAcIAFlBAAAAAAAAAAAICQBZQQAAAAAAAAAACQoAWUEAAAAAAAAAAAoCAFlBAAAAAAAAAAAAAAAAA==</t>
        </r>
      </text>
    </comment>
    <comment ref="A660" authorId="0" shapeId="0" xr:uid="{5C1FA395-DE0B-4E4C-9B85-DBD4F4E0745D}">
      <text>
        <r>
          <rPr>
            <sz val="9"/>
            <color indexed="81"/>
            <rFont val="MS P ゴシック"/>
            <family val="3"/>
            <charset val="128"/>
          </rPr>
          <t>Insight iXlW00001C0000660R0585476093S00001318P01196LAocjBAQBF1NjaVRlZ2ljLmRhdGEuTW9sZWN1bGUBbwF/ARJTY2lUZWdpYy5Nb2xlY3VsZQAAAQFkAv5qAQAAAAIAAjwYAAAA/PwA/AACAAAAAAAA8L8CP8bctYR85j8CQs9m1edq6b8AAAAAHAAAAPz8APwAAgAAAAAAAPC/Aj/G3LWEfOY/AvnCZKpgVMo/AAAAABwAAAD8/AD8AAIAAAAAAADwvwIQ6bevA+fEvwKhZ7Pqc7X0vwAAAAAYAAAA/PwA/AACAAAAAAAA8L8CEOm3rwPnxL8CvjCZKhiV5j8AAAAAGAAAAPz8APwAAgAAAAAAAPC/AtUJaCJsePC/AvnCZKpgVMo/AAAAABgAAAD8/AD8AAIAAAAAAADwvwLVCWgibHjwvwJCz2bV52rpvwAAAAAYAAAA/PwA/AACAAAAAAAA8L8C0m9fB84Z+T8CvjCZKhiV5j8AAAAAHAAAAPz8APwAAgAAAAAAAPC/Ag0CK4cWWQZAAu2ePCzUmvY/AAAAACAAAAD8/AD8AAIAAAAAAADwvwLSb18Hzhn5PwKhZ7Pqc7X0vwAAAAAYAAAA/PwA/AACAAAAAAAA8L8Cnl4pyxBHBEACC0YldQKa3D8AAAAAGAAAAPz8APwAAgAAAAAAAPC/Aq+2Yn/ZPf0/AsnlP6Tfvvo/AAAAABgAAAD8/AD8AAIAAAAAAADwvwIXak3zjlP+vwK+MJkqGJXmPwAAAAAYAAAA/PwA/AACAAAAAAAA8L8CF2pN845T/r8CoWez6nO19L8AAAAAGAAAAPz8APwAAgAAAAAAAPC/AixlGeJYFwbAAvnCZKpgVMo/AAAAABgAAAD8/AD8AAIAAAAAAADwvwIsZRniWBcGwAJCz2bV52rpvwAAAAABEQQAAWUEAAAAAAAAAAAIAAFlBAAAAAAAAAAADAQBZQQAAAAAAAAAABAUAWUIDAAAAAAAAAAUCAFlBAAAAAAAAAAAGAQBZQQAAAAAAAAAABwoAWUEAAAAAAAAAAAgAAFlCAAAAAAAAAAAJBgBZQQAAAAAAAAAACgYAWUEAAAAAAAAAAAsEAFlBAAAAAAAAAAAMBQBZQQAAAAAAAAAADQsAWUICAAAAAAAAAA4MAFlCAgAAAAAAAAADBABZQQAAAAAAAAAACQcAWUEAAAAAAAAAAA0OAFlBAAAAAAAAAAAAAAAAA==</t>
        </r>
      </text>
    </comment>
    <comment ref="A661" authorId="0" shapeId="0" xr:uid="{B07D2D6C-17AE-4FE7-82B4-D34438BCD306}">
      <text>
        <r>
          <rPr>
            <sz val="9"/>
            <color indexed="81"/>
            <rFont val="MS P ゴシック"/>
            <family val="3"/>
            <charset val="128"/>
          </rPr>
          <t>Insight iXlW00001C0000661R0585476093S00001320P01160LAocjBAQBF1NjaVRlZ2ljLmRhdGEuTW9sZWN1bGUBbwF/ARJTY2lUZWdpYy5Nb2xlY3VsZQAAAQFkAv5qAQAAAAIAAjwYAAAA/PwA/AACAAAAAAAA8L8C3gIJih/jAcACmUwVjErq/L8AAAAAGAAAAPz8APwAAgAAAAAAAPC/AmKh1jTvuALAAuJYF7fRAOq/AAAAABgAAAD8/AD8AAIAAAAAAADwvwKdoiO5/AcKwAIN4C2QoPjZvwAAAAAYAAAA/PwA/AACAAAAAAAA8L8COdbFbTSA+L8CRWlv8IXJzL8AAAAAIAAAAPz8APwAAgAAAAAAAPC/AsgpOpLLf/i/As3MzMzMzOg/AAAAABwAAAD8/AD8AAIAAAAAAADwvwJUdCSX/5DivwJjf9k9eVjxPwAAAAAYAAAA/PwA/AACAAAAAAAA8L8CxY8xdy0hfz8CmpmZmZmZ0T8AAAAAHAAAAPz8APwAAgAAAAAAAPC/AlR0JJf/kOK/AkoMAiuHFuG/AAAAABgAAAD8/AD8AAIAAAAAAADwvwKQMXctIR/wPwKamZmZmZnRPwAAAAAYAAAA/PwA/AACAAAAAAAA8L8CkDF3LSEf+D8CGXPXEvJB8j8AAAAAGAAAAPz8APwAAgAAAAAAAPC/AsiYu5aQDwRAAhlz1xLyQfI/AAAAABgAAAD8/AD8AAIAAAAAAADwvwKQwvUoXA8IQAJeS8gHPZvRPwAAAAAYAAAA/PwA/AACAAAAAAAA8L8CkML1KFwPBEACt/P91Hjp4r8AAAAAHAAAAPz8APwAAgAAAAAAAPC/ApAxdy0hH/g/Arfz/dR46eK/AAAAAAERAAAA/PwA/AACAAAAAAAA8L8C9ihcj8J1DkAC4QuTqYJR1b8AAAAAPAAEAWUEAAAAAAAAAAAECAFlBAAAAAAAAAAABAwBZQQAAAAAAAAAAAwQAWUEAAAAAAAAAAAQFAFlBAAAAAAAAAAAFBgBZQgIAAAAAAAAABgcAWUEAAAAAAAAAAAcDAFlCAwAAAAAAAAAIBgBZQQAAAAAAAAAACAkAWUEAAAAAAAAAAAkKAFlBAAAAAAAAAAAKCwBZQQAAAAAAAAAACwwAWUEAAAAAAAAAAAwNAFlBAAAAAAAAAAANCABZQQAAAAAAAAAAAAAAAA=</t>
        </r>
      </text>
    </comment>
    <comment ref="A662" authorId="0" shapeId="0" xr:uid="{E1677AD0-EA76-4647-9498-D0C025BA053A}">
      <text>
        <r>
          <rPr>
            <sz val="9"/>
            <color indexed="81"/>
            <rFont val="MS P ゴシック"/>
            <family val="3"/>
            <charset val="128"/>
          </rPr>
          <t>Insight iXlW00001C0000662R0585476093S00001322P01252LAocjBAQBF1NjaVRlZ2ljLmRhdGEuTW9sZWN1bGUBbwF/ARJTY2lUZWdpYy5Nb2xlY3VsZQAAAQFkAv5qAQAAAAIAAgEQGAAAAPz8APwAAgAAAAAAAPC/AvAWSFD8GApAAoDZPXlYqNk/AAAAABgAAAD8/AD8AAIAAAAAAADwvwLwFkhQ/BgGQAKi1jTvOEX0PwAAAAAYAAAA/PwA/AACAAAAAAAA8L8C4C2QoPgx/D8CotY07zhF9D8AAAAAGAAAAPz8APwAAgAAAAAAAPC/AuAtkKD4MfQ/AoDZPXlYqNk/AAAAABwAAAD8/AD8AAIAAAAAAADwvwLgLZCg+DH8PwJLWYY41sXdvwAAAAAYAAAA/PwA/AACAAAAAAAA8L8C8BZIUPwYBkACh6dXyjLE3b8AAAAAGAAAAPz8APwAAgAAAAAAAPC/AoC3QILix9A/AoDZPXlYqNk/AAAAABwAAAD8/AD8AAIAAAAAAADwvwJm9+RhodbUvwLr4jYawFvzPwAAAAAgAAAA/PwA/AACAAAAAAAA8L8Cdy0hH/Rs9L8CwOyePCzU7D8AAAAAGAAAAPz8APwAAgAAAAAAAPC/AnctIR/0bPS/AgOaCBueXrm/AAAAABwAAAD8/AD8AAIAAAAAAADwvwJm9+RhodbUvwKu2F92Tx7avwAAAAAYAAAA/PwA/AACAAAAAAAA8L8COiNKe4OvAMAC0pFc/kP65b8AAAAAGAAAAPz8APwAAgAAAAAAAPC/Ase6uI0G8AHAAphuEoPAyvq/AAAAABgAAAD8/AD8AAIAAAAAAADwvwKfzarP1dYJwAJ9PzVeukn4vwAAAAAYAAAA/PwA/AACAAAAAAAA8L8CEjY8vVKWCMACnDOitDf44L8AAAAAAREAAAD8/AD8AAIAAAAAAADwvwKrPldbsT8QQALZX3ZPHhbKvwAAAAABEQAEAWUEAAAAAAAAAAAECAFlBAAAAAAAAAAACAwBZQQAAAAAAAAAAAwQAWUEAAAAAAAAAAAQFAFlBAAAAAAAAAAAFAABZQQAAAAAAAAAAAwYAWUEAAAAAAAAAAAYHAFlCAwAAAAAAAAAHCABZQQAAAAAAAAAACAkAWUEAAAAAAAAAAAkKAFlCAgAAAAAAAAAKBgBZQQAAAAAAAAAACQsAWUEAAAAAAAAAAAsMAFlBAAAAAAAAAAAMDQBZQQAAAAAAAAAADQ4AWUEAAAAAAAAAAA4LAFlBAAAAAAAAAAAAAAAAA==</t>
        </r>
      </text>
    </comment>
    <comment ref="A663" authorId="0" shapeId="0" xr:uid="{C9261691-E7E4-4FD7-8EF9-47BDA59C4AF5}">
      <text>
        <r>
          <rPr>
            <sz val="9"/>
            <color indexed="81"/>
            <rFont val="MS P ゴシック"/>
            <family val="3"/>
            <charset val="128"/>
          </rPr>
          <t>Insight iXlW00001C0000663R0585476093S00001324P01104LAocjBAQBF1NjaVRlZ2ljLmRhdGEuTW9sZWN1bGUBbwF/ARJTY2lUZWdpYy5Nb2xlY3VsZQAAAQFkAv5qAQAAAAIAAjgcAAAA/PwA/AACAAAAAAAA8L8C4ZwRpb3Bx78CQfFjzF1LuL8AAAAAGAAAAPz8APwAAgAAAAAAAPC/AiD0bFZ9rv6/AkHxY8xdS7i/AAAAABgAAAD8/AD8AAIAAAAAAADwvwLek4eFWtPwvwIofoy5awnjvwAAAAAYAAAA/PwA/AACAAAAAAAA8L8CS1mGONbF5T8CKH6MuWsJ478AAAAAIAAAAPz8APwAAgAAAAAAAPC/AjEqqRPQRAbAAih+jLlrCeO/AAAAACAAAAD8/AD8AAIAAAAAAADwvwJYObTIdr74PwJB8WPMXUu4vwAAAAAgAAAA/PwA/AACAAAAAAAA8L8CIPRsVn2u/r8C2IFzRpT27D8AAAAAGAAAAPz8APwAAgAAAAAAAPC/Alg5tMh2vvg/AtiBc0aU9uw/AAAAABgAAAD8/AD8AAIAAAAAAADwvwJLWYY41sXlPwIUP8bctYT5vwAAAAAYAAAA/PwA/AACAAAAAAAA8L8C3pOHhVrT8L8CFD/G3LWE+b8AAAAAGAAAAPz8APwAAgAAAAAAAPC/AuGcEaW9wce/AoofY+5awgDAAAAAABgAAAD8/AD8AAIAAAAAAADwvwJYObTIdr74PwIE54wo7Y0CQAAAAAAYAAAA/PwA/AACAAAAAAAA8L8ClWWIY13c6j8CescpOpLL+T8AAAAAGAAAAPz8APwAAgAAAAAAAPC/AvMf0m9fBwJAAnrHKTqSy/k/AAAAADwECAFlBAAAAAAAAAAACAABZQQAAAAAAAAAAAwAAWUIDAAAAAAAAAAQBAFlCAAAAAAAAAAAFAwBZQQAAAAAAAAAABgEAWUEAAAAAAAAAAAcFAFlBAAAAAAAAAAAIAwBZQQAAAAAAAAAACQIAWUIDAAAAAAAAAAoIAFlCAgAAAAAAAAALDQBZQQAAAAAAAAAADAcAWUEAAAAAAAAAAA0HAFlBAAAAAAAAAAAKCQBZQQAAAAAAAAAADAsAWUEAAAAAAAAAAAAAAAA</t>
        </r>
      </text>
    </comment>
    <comment ref="A664" authorId="0" shapeId="0" xr:uid="{1BB78B7B-62CD-4EA2-9A52-C1419E4A2F36}">
      <text>
        <r>
          <rPr>
            <sz val="9"/>
            <color indexed="81"/>
            <rFont val="MS P ゴシック"/>
            <family val="3"/>
            <charset val="128"/>
          </rPr>
          <t>Insight iXlW00001C0000664R0585476093S00001326P01160LAocjBAQBF1NjaVRlZ2ljLmRhdGEuTW9sZWN1bGUBbwF/ARJTY2lUZWdpYy5Nb2xlY3VsZQAAAQFkAv5qAQAAAAIAAjwYAAAA/PwA/AACAAAAAAAA8L8CutqK/WV3A0AC0GbV52orxj8AAAAAGAAAAPz8APwAAgAAAAAAAPC/AoxK6gQ0Efm/AtBm1edqK8Y/AAAAABgAAAD8/AD8AAIAAAAAAADwvwJGJXUCmogAwAIcDeAtkKDwPwAAAAAYAAAA/PwA/AACAAAAAAAA8L8CGJXUCWgi4r8C0GbV52orxj8AAAAAHAAAAPz8APwAAgAAAAAAAPC/AkYldQKaiADAAtBm1edqK+a/AAAAACAAAAD8/AD8AAIAAAAAAADwvwJGJXUCmogIwAIcDeAtkKDwPwAAAAAYAAAA/PwA/AACAAAAAAAA8L8CwqikTkATsb8C0GbV52or5r8AAAAAGAAAAPz8APwAAgAAAAAAAPC/AnS1FfvL7vY/AtBm1edqK8Y/AAAAACQAAAD8/AD8AAIAAAAAAADwvwK62or9ZXcDQALarPpcbcXyPwAAAAAkAAAA/PwA/AACAAAAAAAA8L8CutqK/WV3C0AC0GbV52orxj8AAAAAJAAAAPz8APwAAgAAAAAAAPC/Arraiv1ldwNAAk2mCkYldeq/AAAAACAAAAD8/AD8AAIAAAAAAADwvwLoaiv2l93tPwLQZtXnaivmvwAAAAAgAAAA/PwA/AACAAAAAAAA8L8CjErqBDQR+b8CXW3F/rJ7/j8AAAAAGAAAAPz8APwAAgAAAAAAAPC/AoxK6gQ0Efm/AqoT0ETY8Pi/AAAAABgAAAD8/AD8AAIAAAAAAADwvwIYldQJaCLivwKqE9BE2PD4vwAAAAA8BAwBZQQAAAAAAAAAAAgEAWUEAAAAAAAAAAAMGAFlCAwAAAAAAAAAEDQBZQQAAAAAAAAAABQIAWUIAAAAAAAAAAAYLAFlBAAAAAAAAAAAHAABZQQAAAAAAAAAACAAAWUEAAAAAAAAAAAkAAFlBAAAAAAAAAAAKAABZQQAAAAAAAAAACwcAWUEAAAAAAAAAAAwCAFlBAAAAAAAAAAANDgBZQgIAAAAAAAAADgYAWUEAAAAAAAAAAAQBAFlCAgAAAAAAAAAAAAAAA==</t>
        </r>
      </text>
    </comment>
    <comment ref="A665" authorId="0" shapeId="0" xr:uid="{1FE010A5-6E11-431D-84AE-AD2BF3D5073B}">
      <text>
        <r>
          <rPr>
            <sz val="9"/>
            <color indexed="81"/>
            <rFont val="MS P ゴシック"/>
            <family val="3"/>
            <charset val="128"/>
          </rPr>
          <t>Insight iXlW00001C0000665R0585476093S00001328P01104LAocjBAQBF1NjaVRlZ2ljLmRhdGEuTW9sZWN1bGUBbwF/ARJTY2lUZWdpYy5Nb2xlY3VsZQAAAQFkAv5qAQAAAAIAAjgYAAAA/PwA/AACAAAAAAAA8L8CkDF3LSEf978C4ZwRpb3Bxz8AAAAAGAAAAPz8APwAAgAAAAAAAPC/ApAxdy0hH/+/At6Th4Va0/A/AAAAABgAAAD8/AD8AAIAAAAAAADwvwI/xty1hHzcvwLhnBGlvcHHPwAAAAAcAAAA/PwA/AACAAAAAAAA8L8CkDF3LSEf/78CS1mGONbF5b8AAAAAGAAAAPz8APwAAgAAAAAAAPC/AjhnRGlvcARAAuGcEaW9wcc/AAAAABgAAAD8/AD8AAIAAAAAAADwvwJZF7fRAF4LQAKQMXctIR/UvwAAAAAYAAAA/PwA/AACAAAAAAAA8L8CWRe30QBeC0ACOGdEaW/w5T8AAAAAIAAAAPz8APwAAgAAAAAAAPC/AsiYu5aQjwfAAt6Th4Va0/A/AAAAABgAAAD8/AD8AAIAAAAAAADwvwIIzhlR2husPwJLWYY41sXlvwAAAAAgAAAA/PwA/AACAAAAAAAA8L8CcM6I0t7g8D8CS1mGONbF5b8AAAAAGAAAAPz8APwAAgAAAAAAAPC/AnHOiNLe4Pg/AuGcEaW9wcc/AAAAACAAAAD8/AD8AAIAAAAAAADwvwKQMXctIR/3vwIg9GxWfa7+PwAAAAAYAAAA/PwA/AACAAAAAAAA8L8CkDF3LSEf978C54wo7Q2++L8AAAAAGAAAAPz8APwAAgAAAAAAAPC/Aj/G3LWEfNy/AueMKO0Nvvi/AAAAADwEAAFlBAAAAAAAAAAACAABZQQAAAAAAAAAAAwAAWUIDAAAAAAAAAAQKAFlBAAAAAAAAAAAFBABZQQAAAAAAAAAABgQAWUEAAAAAAAAAAAcBAFlCAAAAAAAAAAAIAgBZQgMAAAAAAAAACQgAWUEAAAAAAAAAAAoJAFlBAAAAAAAAAAALAQBZQQAAAAAAAAAADAMAWUEAAAAAAAAAAA0MAFlCAgAAAAAAAAAIDQBZQQAAAAAAAAAABgUAWUEAAAAAAAAAAAAAAAA</t>
        </r>
      </text>
    </comment>
    <comment ref="A666" authorId="0" shapeId="0" xr:uid="{545AED98-49AD-45FD-B3EA-EBD0C6A34998}">
      <text>
        <r>
          <rPr>
            <sz val="9"/>
            <color indexed="81"/>
            <rFont val="MS P ゴシック"/>
            <family val="3"/>
            <charset val="128"/>
          </rPr>
          <t>Insight iXlW00001C0000666R0585476093S00001330P01104LAocjBAQBF1NjaVRlZ2ljLmRhdGEuTW9sZWN1bGUBbwF/ARJTY2lUZWdpYy5Nb2xlY3VsZQAAAQFkAv5qAQAAAAIAAjgcAAAA/PwA/AACAAAAAAAA8L8CsVBrmnec3r8CN6s+V1uxr78AAAAAGAAAAPz8APwAAgAAAAAAAPC/AljKMsSxrgHAAjerPldbsa+/AAAAABgAAAD8/AD8AAIAAAAAAADwvwJuNIC3QIL1vwK06nO1FfvhvwAAAAAYAAAA/PwA/AACAAAAAAAA8L8CVjAqqRPQ2D8CtOpztRX74b8AAAAAGAAAAPz8APwAAgAAAAAAAPC/AoV80LNZ9QBAAqcKRiV1Avc/AAAAABgAAAD8/AD8AAIAAAAAAADwvwJNpgpGJfUIQAKnCkYldQL3PwAAAAAYAAAA/PwA/AACAAAAAAAA8L8ChXzQs1n1BEACrYvbaABvAkAAAAAAIAAAAPz8APwAAgAAAAAAAPC/Anl6pSxDnAjAArTqc7UV++G/AAAAACAAAAD8/AD8AAIAAAAAAADwvwJX7C+7Jw/0PwI3qz5XW7GvvwAAAAAYAAAA/PwA/AACAAAAAAAA8L8CV+wvuycP9D8CTRWMSuoE7j8AAAAAIAAAAPz8APwAAgAAAAAAAPC/AljKMsSxrgHAAk0VjErqBO4/AAAAABgAAAD8/AD8AAIAAAAAAADwvwJuNIC3QIL1vwJa9bnaiv34vwAAAAAYAAAA/PwA/AACAAAAAAAA8L8CsVBrmnec3r8CrfpcbcV+AMAAAAAAGAAAAPz8APwAAgAAAAAAAPC/AlYwKqkT0Ng/Alr1udqK/fi/AAAAADwECAFlBAAAAAAAAAAACAABZQQAAAAAAAAAAAwAAWUIDAAAAAAAAAAQJAFlBAAAAAAAAAAAFBABZQQAAAAAAAAAABgQAWUEAAAAAAAAAAAcBAFlCAAAAAAAAAAAIAwBZQQAAAAAAAAAACQgAWUEAAAAAAAAAAAoBAFlBAAAAAAAAAAALAgBZQgMAAAAAAAAADA0AWUICAAAAAAAAAA0DAFlBAAAAAAAAAAAMCwBZQQAAAAAAAAAABgUAWUEAAAAAAAAAAAAAAAA</t>
        </r>
      </text>
    </comment>
    <comment ref="A667" authorId="0" shapeId="0" xr:uid="{0F34D8B5-8BF3-48C9-B19D-15AF4C24043C}">
      <text>
        <r>
          <rPr>
            <sz val="9"/>
            <color indexed="81"/>
            <rFont val="MS P ゴシック"/>
            <family val="3"/>
            <charset val="128"/>
          </rPr>
          <t>Insight iXlW00001C0000667R0585476093S00001332P01136LAocjBAQBF1NjaVRlZ2ljLmRhdGEuTW9sZWN1bGUBbwF/ARJTY2lUZWdpYy5Nb2xlY3VsZQAAAQFkAv5qAQAAAAIAAjwYAAAA/PwA/AACAAAAAAAA8L8Cm+Ydp+jIBMACZF3cRgN41z8AAAAAGAAAAPz8APwAAgAAAAAAAPC/ApvmHafoyARAAmRd3EYDeNc/AAAAABgAAAD8/AD8AAIAAAAAAADwvwKDwMqhRbb7PwI5RUdy+Q/BvwAAAAAYAAAA/PwA/AACAAAAAAAA8L8AAsKopE5AE8G/AAAAABwAAAD8/AD8AAIAAAAAAADwvwACp+hILv8h8r8AAAAAGAAAAPz8APwAAgAAAAAAAPC/AoPAyqFFtus/AqCrrdhfdtc/AAAAACAAAAD8/AD8AAIAAAAAAADwvwKb5h2n6MgEQAJZF7fRAN71PwAAAAAgAAAA/PwA/AACAAAAAAAA8L8Cg8DKoUW2678CZF3cRgN41z8AAAAAGAAAAPz8APwAAgAAAAAAAPC/AoPAyqFFtvu/AjlFR3L5D8G/AAAAACQAAAD8/AD8AAIAAAAAAADwvwKb5h2n6MgIwAJn1edqK/bfvwAAAAAkAAAA/PwA/AACAAAAAAAA8L8CvJaQD3q2C8ACsi5uowG86z8AAAAAJAAAAPz8APwAAgAAAAAAAPC/ApvmHafoyADAApt3nKIjufM/AAAAACAAAAD8/AD8AAIAAAAAAADwvwK8lpAPerYLQAI5RUdy+Q/BvwAAAAAYAAAA/PwA/AACAAAAAAAA8L8Cg8DKoUW26z8Cp+hILv8h+r8AAAAAGAAAAPz8APwAAgAAAAAAAPC/AoPAyqFFtvs/AqfoSC7/IfK/AAAAADwECAFlBAAAAAAAAAAACBQBZQQAAAAAAAAAAAwcAWUEAAAAAAAAAAAQDAFlBAAAAAAAAAAAFAwBZQgMAAAAAAAAABgEAWUIAAAAAAAAAAAcIAFlBAAAAAAAAAAAIAABZQQAAAAAAAAAACQAAWUEAAAAAAAAAAAoAAFlBAAAAAAAAAAALAABZQQAAAAAAAAAADAEAWUEAAAAAAAAAAA0EAFlCAgAAAAAAAAAOAgBZQgMAAAAAAAAADQ4AWUEAAAAAAAAAAAAAAAA</t>
        </r>
      </text>
    </comment>
    <comment ref="A668" authorId="0" shapeId="0" xr:uid="{812B1B18-B1A8-4690-BFB6-10B5CF264782}">
      <text>
        <r>
          <rPr>
            <sz val="9"/>
            <color indexed="81"/>
            <rFont val="MS P ゴシック"/>
            <family val="3"/>
            <charset val="128"/>
          </rPr>
          <t>Insight iXlW00001C0000668R0585476093S00001334P01104LAocjBAQBF1NjaVRlZ2ljLmRhdGEuTW9sZWN1bGUBbwF/ARJTY2lUZWdpYy5Nb2xlY3VsZQAAAQFkAv5qAQAAAAIAAjgYAAAA/PwA/AACAAAAAAAA8L8C097gC5OpA0ACZF3cRgN41z8AAAAAGAAAAPz8APwAAgAAAAAAAPC/AmRd3EYDePk/AjlFR3L5D8G/AAAAABgAAAD8/AD8AAIAAAAAAADwvwKFfNCzWfXBvwI5RUdy+Q/BvwAAAAAYAAAA/PwA/AACAAAAAAAA8L8CY+5aQj7oBcACZF3cRgN41z8AAAAAHAAAAPz8APwAAgAAAAAAAPC/AoV80LNZ9cG/AqfoSC7/IfK/AAAAABgAAAD8/AD8AAIAAAAAAADwvwIrGJXUCegJwAKbd5yiI7nzPwAAAAAYAAAA/PwA/AACAAAAAAAA8L8CZO5aQj7oDcACZF3cRgN41z8AAAAAGAAAAPz8APwAAgAAAAAAAPC/AmKh1jTvOOc/AmRd3EYDeNc/AAAAACAAAAD8/AD8AAIAAAAAAADwvwLT3uALk6kDQAJZF7fRAN71PwAAAAAgAAAA/PwA/AACAAAAAAAA8L8C0m9fB84Z8L8CZF3cRgN41z8AAAAAGAAAAPz8APwAAgAAAAAAAPC/AhTQRNjw9P2/AjlFR3L5D8G/AAAAACAAAAD8/AD8AAIAAAAAAADwvwL0jlN0JJcKQAI5RUdy+Q/BvwAAAAAYAAAA/PwA/AACAAAAAAAA8L8CYqHWNO845z8Cp+hILv8h+r8AAAAAGAAAAPz8APwAAgAAAAAAAPC/AvOwUGuad/k/AqfoSC7/IfK/AAAAADwEAAFlBAAAAAAAAAAACBwBZQQAAAAAAAAAAAwoAWUEAAAAAAAAAAAQMAFlBAAAAAAAAAAAFAwBZQQAAAAAAAAAABgMAWUEAAAAAAAAAAAcBAFlCAwAAAAAAAAAIAABZQgAAAAAAAAAACQIAWUEAAAAAAAAAAAoJAFlBAAAAAAAAAAALAABZQQAAAAAAAAAADA0AWUICAAAAAAAAAA0BAFlBAAAAAAAAAAACBABZQgIAAAAAAAAABgUAWUEAAAAAAAAAAAAAAAA</t>
        </r>
      </text>
    </comment>
    <comment ref="A669" authorId="0" shapeId="0" xr:uid="{811F146F-11E6-4A54-AB7E-51591CE0D7EF}">
      <text>
        <r>
          <rPr>
            <sz val="9"/>
            <color indexed="81"/>
            <rFont val="MS P ゴシック"/>
            <family val="3"/>
            <charset val="128"/>
          </rPr>
          <t>Insight iXlW00001C0000669R0585476093S00001336P01324LAocjBAQBF1NjaVRlZ2ljLmRhdGEuTW9sZWN1bGUBbwF/ARJTY2lUZWdpYy5Nb2xlY3VsZQAAAQFkAv5qAQAAAAIAAgERGAAAAPz8APwAAgAAAAAAAPC/AsB9HThnRAlAAmU730+Nl8Y/AAAAABgAAAD8/AD8AAIAAAAAAADwvwKfzarP1VYCQAJOYhBYObTUvwAAAAAYAAAA/PwA/AACAAAAAAAA8L8CdLUV+8vu4T8CTmIQWDm01L8AAAAAHAAAAPz8APwAAgAAAAAAAPC/AnS1FfvL7uE/ApQYBFYOLfW/AAAAABgAAAD8/AD8AAIAAAAAAADwvwL8OnDOiNL2PwJlO99PjZfGPwAAAAAgAAAA/PwA/AACAAAAAAAA8L8CwH0dOGdECUACbef7qfHS8j8AAAAAIAAAAPz8APwAAgAAAAAAAPC/Ah8Wak3zjtO/AmU730+Nl8Y/AAAAACAAAAD8/AD8AAIAAAAAAADwvwK4rwPnjCgOwAJt5/up8dLyPwAAAAAgAAAA/PwA/AACAAAAAAAA8L8CDQIrhxYZEEACTmIQWDm01L8AAAAAGAAAAPz8APwAAgAAAAAAAPC/Avw6cM6I0vY/ApQYBFYOLf2/AAAAABgAAAD8/AD8AAIAAAAAAADwvwI6kst/SL/yvwJOYhBYObTUvwAAAAAYAAAA/PwA/AACAAAAAAAA8L8Cn82qz9VWAkAClBgEVg4t9b8AAAAAGAAAAPz8APwAAgAAAAAAAPC/Aj55WKg1TQDAAmU730+Nl8Y/AAAAABgAAAD8/AD8AAIAAAAAAADwvwKA2T15WCgOwAJlO99PjZfGPwAAAAAYAAAA/PwA/AACAAAAAAAA8L8CXynLEMc6B8AC/DpwzojS+j8AAAAAGAAAAPz8APwAAgAAAAAAAPC/Al8pyxDHOgfAAk5iEFg5tNS/AAAAABgAAAD8/AD8AAIAAAAAAADwvwI+eVioNU0AwAL8OnDOiNLyPwAAAAABEgQAAWUEAAAAAAAAAAAIEAFlCAwAAAAAAAAADCQBZQgIAAAAAAAAABAEAWUEAAAAAAAAAAAUAAFlCAAAAAAAAAAAGAgBZQQAAAAAAAAAABw4AWUEAAAAAAAAAAAgAAFlBAAAAAAAAAAAJCwBZQQAAAAAAAAAACgYAWUEAAAAAAAAAAAsBAFlCAwAAAAAAAAAMCgBZQQAAAAAAAAAADQ8AWUEAAAAAAAAAAA4ARABZQQAAAAAAAAAADwwAWUEAAAAAAAAAAABEDABZQQAAAAAAAAAAAgMAWUEAAAAAAAAAAA0HAFlBAAAAAAAAAAAAAAAAA==</t>
        </r>
      </text>
    </comment>
    <comment ref="A670" authorId="0" shapeId="0" xr:uid="{C4B6E97D-5DDD-475C-93AC-BBADCA685EF6}">
      <text>
        <r>
          <rPr>
            <sz val="9"/>
            <color indexed="81"/>
            <rFont val="MS P ゴシック"/>
            <family val="3"/>
            <charset val="128"/>
          </rPr>
          <t>Insight iXlW00001C0000670R0585476093S00001338P01248LAocjBAQBF1NjaVRlZ2ljLmRhdGEuTW9sZWN1bGUBbwF/ARJTY2lUZWdpYy5Nb2xlY3VsZQAAAQFkAv5qAQAAAAIAAgEQGAAAAPz8APwAAgAAAAAAAPC/AuQUHcnlPwBAAhQ/xty1hOY/AAAAABgAAAD8/AD8AAIAAAAAAADwvwIRx7q4jQagPwJqTfOOU3TwvwAAAAAYAAAA/PwA/AACAAAAAAAA8L8CyCk6kst/+D8CRWlv8IXJxL8AAAAAHAAAAPz8APwAAgAAAAAAAPC/Ao9TdCSX/+A/Aqyt2F92T/6/AAAAABgAAAD8/AD8AAIAAAAAAADwvwJxrIvbaADhPwJFaW/whcnEvwAAAAAgAAAA/PwA/AACAAAAAAAA8L8Cj1N0JJf/7r8Cak3zjlN08L8AAAAAIAAAAPz8APwAAgAAAAAAAPC/AsgpOpLLf/g/Asx/SL99Hfk/AAAAABwAAAD8/AD8AAIAAAAAAADwvwLkFB3J5b8HwAIy5q4l5IPmPwAAAAAgAAAA/PwA/AACAAAAAAAA8L8C5BQdyeU/CEACFD/G3LWE5j8AAAAAGAAAAPz8APwAAgAAAAAAAPC/AsgpOpLLf/g/Aqyt2F92T/6/AAAAABgAAAD8/AD8AAIAAAAAAADwvwLIKTqSy3/3vwJFaW/whcnEvwAAAAAYAAAA/PwA/AACAAAAAAAA8L8C5BQdyeU/AEACak3zjlN08L8AAAAAGAAAAPz8APwAAgAAAAAAAPC/AuQUHcnlvwPAAkVpb/CFycS/AAAAABgAAAD8/AD8AAIAAAAAAADwvwLkFB3J5b8DwAJb07zjFB35PwAAAAAYAAAA/PwA/AACAAAAAAAA8L8Cj1N0JJf/7r8CMuauJeSD5j8AAAAAGAAAAPz8APwAAgAAAAAAAPC/AsgpOpLLf/e/AlvTvOMUHfk/AAAAAAERBBABZQgMAAAAAAAAAAgAAWUEAAAAAAAAAAAMJAFlCAgAAAAAAAAAEAgBZQQAAAAAAAAAABQEAWUEAAAAAAAAAAAYAAFlCAAAAAAAAAAAHDABZQgIAAAAAAAAACAAAWUEAAAAAAAAAAAkLAFlBAAAAAAAAAAAKBQBZQQAAAAAAAAAACwIAWUIDAAAAAAAAAAwKAFlBAAAAAAAAAAANDwBZQgIAAAAAAAAADgoAWUIDAAAAAAAAAA8OAFlBAAAAAAAAAAABAwBZQQAAAAAAAAAABw0AWUEAAAAAAAAAAAAAAAA</t>
        </r>
      </text>
    </comment>
    <comment ref="A671" authorId="0" shapeId="0" xr:uid="{3471B579-9C4A-4FB8-A152-987884D57F5A}">
      <text>
        <r>
          <rPr>
            <sz val="9"/>
            <color indexed="81"/>
            <rFont val="MS P ゴシック"/>
            <family val="3"/>
            <charset val="128"/>
          </rPr>
          <t>Insight iXlW00001C0000671R0585476093S00001340P01324LAocjBAQBF1NjaVRlZ2ljLmRhdGEuTW9sZWN1bGUBbwF/ARJTY2lUZWdpYy5Nb2xlY3VsZQAAAQFkAv5qAQAAAAIAAgERGAAAAPz8APwAAgAAAAAAAPC/Ap/Nqs/VVgJAAk5iEFg5tNS/AAAAABgAAAD8/AD8AAIAAAAAAADwvwLAfR04Z0QJQAJlO99PjZfGPwAAAAAcAAAA/PwA/AACAAAAAAAA8L8C/DpwzojS9j8ClBgEVg4t/b8AAAAAGAAAAPz8APwAAgAAAAAAAPC/Avw6cM6I0vY/AmU730+Nl8Y/AAAAACAAAAD8/AD8AAIAAAAAAADwvwLAfR04Z0QJQAJt5/up8dLyPwAAAAAgAAAA/PwA/AACAAAAAAAA8L8CgNk9eVgoDsACbef7qfHS8j8AAAAAGAAAAPz8APwAAgAAAAAAAPC/Ap/Nqs/VVgJAApQYBFYOLfW/AAAAACAAAAD8/AD8AAIAAAAAAADwvwIfFmpN847TvwJlO99PjZfGPwAAAAAYAAAA/PwA/AACAAAAAAAA8L8CdLUV+8vu4T8CTmIQWDm01L8AAAAAIAAAAPz8APwAAgAAAAAAAPC/AvAWSFD8GBBAAhIUP8bctdS/AAAAABgAAAD8/AD8AAIAAAAAAADwvwI6kst/SL/yvwJOYhBYObTUvwAAAAAYAAAA/PwA/AACAAAAAAAA8L8CdLUV+8vu4T8ClBgEVg4t9b8AAAAAGAAAAPz8APwAAgAAAAAAAPC/Aj55WKg1TQDAAmU730+Nl8Y/AAAAABgAAAD8/AD8AAIAAAAAAADwvwKA2T15WCgOwAJlO99PjZfGPwAAAAAYAAAA/PwA/AACAAAAAAAA8L8CXynLEMc6B8ACbef7qfHS+j8AAAAAGAAAAPz8APwAAgAAAAAAAPC/Al8pyxDHOgfAAk5iEFg5tNS/AAAAABgAAAD8/AD8AAIAAAAAAADwvwI+eVioNU0AwAJt5/up8dLyPwAAAAABEgQAAWUEAAAAAAAAAAAIGAFlBAAAAAAAAAAADAABZQQAAAAAAAAAABAEAWUIAAAAAAAAAAAUOAFlBAAAAAAAAAAAGAABZQgMAAAAAAAAABwgAWUEAAAAAAAAAAAgDAFlCAwAAAAAAAAAJAQBZQQAAAAAAAAAACgcAWUEAAAAAAAAAAAsCAFlCAgAAAAAAAAAMCgBZQQAAAAAAAAAADQ8AWUEAAAAAAAAAAA4ARABZQQAAAAAAAAAADwwAWUEAAAAAAAAAAABEDABZQQAAAAAAAAAACAsAWUEAAAAAAAAAAA0FAFlBAAAAAAAAAAAAAAAAA==</t>
        </r>
      </text>
    </comment>
    <comment ref="A672" authorId="0" shapeId="0" xr:uid="{4419F314-5872-400B-8E7D-98D3DFC2A1D9}">
      <text>
        <r>
          <rPr>
            <sz val="9"/>
            <color indexed="81"/>
            <rFont val="MS P ゴシック"/>
            <family val="3"/>
            <charset val="128"/>
          </rPr>
          <t>Insight iXlW00001C0000672R0585476093S00001342P01104LAocjBAQBF1NjaVRlZ2ljLmRhdGEuTW9sZWN1bGUBbwF/ARJTY2lUZWdpYy5Nb2xlY3VsZQAAAQFkAv5qAQAAAAIAAjgYAAAA/PwA/AACAAAAAAAA8L8CL90kBoGV978CV32utmJ/wb8AAAAAGAAAAPz8APwAAgAAAAAAAPC/ArkehetRuALAAlafq63YX+S/AAAAABwAAAD8/AD8AAIAAAAAAADwvwLb+X5qvHTjvwJVMCqpE9D1PwAAAAAYAAAA/PwA/AACAAAAAAAA8L8C2/l+arx0478CVp+rrdhf5L8AAAAAIAAAAPz8APwAAgAAAAAAAPC/ArkehetRuALAAqvP1VbsL/q/AAAAABgAAAD8/AD8AAIAAAAAAADwvwJQjZduEoPQPwJXfa62Yn/BvwAAAAAgAAAA/PwA/AACAAAAAAAA8L8CB/AWSFD88T8CVp+rrdhf5L8AAAAAGAAAAPz8APwAAgAAAAAAAPC/Ai/dJAaBlfe/AqtgVFInoOs/AAAAACAAAAD8/AD8AAIAAAAAAADwvwLZzvdT46UJwAJXfa62Yn/BvwAAAAAYAAAA/PwA/AACAAAAAAAA8L8CUI2XbhKD0D8Cq2BUUieg6z8AAAAAGAAAAPz8APwAAgAAAAAAAPC/AklQ/Bhz1/8/Ald9rrZif8G/AAAAABgAAAD8/AD8AAIAAAAAAADwvwJIcvkP6bcJQALGbTSAt0DiPwAAAAAYAAAA/PwA/AACAAAAAAAA8L8Ckst/SL/9AUACf/s6cM6I6j8AAAAAGAAAAPz8APwAAgAAAAAAAPC/AtnO91PjpQdAAh1aZDvfT9m/AAAAADwEAAFlBAAAAAAAAAAACBwBZQQAAAAAAAAAAAwAAWUEAAAAAAAAAAAQBAFlCAAAAAAAAAAAFAwBZQgMAAAAAAAAABgUAWUEAAAAAAAAAAAcAAFlCAwAAAAAAAAAIAQBZQQAAAAAAAAAACQIAWUICAAAAAAAAAAoGAFlBAAAAAAAAAAALDQBZQQAAAAAAAAAADAoAWUEAAAAAAAAAAA0KAFlBAAAAAAAAAAAFCQBZQQAAAAAAAAAADAsAWUEAAAAAAAAAAAAAAAA</t>
        </r>
      </text>
    </comment>
    <comment ref="A673" authorId="0" shapeId="0" xr:uid="{DB1592BE-A5F5-43EA-AE78-515969E5878D}">
      <text>
        <r>
          <rPr>
            <sz val="9"/>
            <color indexed="81"/>
            <rFont val="MS P ゴシック"/>
            <family val="3"/>
            <charset val="128"/>
          </rPr>
          <t>Insight iXlW00001C0000673R0585476093S00001344P01176LAocjBAQBF1NjaVRlZ2ljLmRhdGEuTW9sZWN1bGUBbwF/ARJTY2lUZWdpYy5Nb2xlY3VsZQAAAQFkAv5qAQAAAAIAAjwYAAAA/PwA/AACAAAAAAAA8L8C9WxWfa627r8C3SQGgZVDw78AAAAAIAAAAPz8APwAAgAAAAAAAPC/Aj2bVZ+rrQfAAt0kBoGVQ8O/AAAAABgAAAD8/AD8AAIAAAAAAADwvwLKw0Ktad7nPwLE0ytlGeLcvwAAAAAYAAAA/PwA/AACAAAAAAAA8L8CkX77OnDOyL8CbVZ9rrZi6b8AAAAAHAAAAPz8APwAAgAAAAAAAPC/ApF++zpwzsi/Av2H9NvXgd8/AAAAABgAAAD8/AD8AAIAAAAAAADwvwLp2az6XG3tPwLfT42XbhLhPwAAAAAYAAAA/PwA/AACAAAAAAAA8L8CejarPldb978CTDeJQWDl5j8AAAAAGAAAAPz8APwAAgAAAAAAAPC/Ano2qz5XW/e/At0kBoGVQ/C/AAAAABgAAAD8/AD8AAIAAAAAAADwvwI7kst/SL/9PwJrvHSTGATsPwAAAAAkAAAA/PwA/AACAAAAAAAA8L8CpU5AE2FDAEACFvvL7snD/T8AAAAAGAAAAPz8APwAAgAAAAAAAPC/Aj2bVZ+rrQPAAt0kBoGVQ/C/AAAAABgAAAD8/AD8AAIAAAAAAADwvwI9m1Wfq60DwAJMN4lBYOXmPwAAAAAYAAAA/PwA/AACAAAAAAAA8L8CIv32deCcA0ACjErqBDQR6L8AAAAAGAAAAPz8APwAAgAAAAAAAPC/Av7UeOkmMfg/AozbaABvgfG/AAAAABgAAAD8/AD8AAIAAAAAAADwvwKqglFJnQAFQALUvOMUHcnNPwAAAAABEAQoAWUEAAAAAAAAAAAIDAFlBAAAAAAAAAAADAABZQQAAAAAAAAAABAAAWUEAAAAAAAAAAAUCAFlBAAAAAAAAAAAGAABZQQAAAAAAAAAABwAAWUEAAAAAAAAAAAgFAFlCAwAAAAAAAAAJCABZQQAAAAAAAAAACgcAWUEAAAAAAAAAAAsGAFlBAAAAAAAAAAAMDQBZQQAAAAAAAAAADQIAWUIDAAAAAAAAAA4MAFlCAgAAAAAAAAALAQBZQQAAAAAAAAAACA4AWUEAAAAAAAAAAAAAAAA</t>
        </r>
      </text>
    </comment>
    <comment ref="A674" authorId="0" shapeId="0" xr:uid="{357BCFCE-9F82-4E46-8596-4BF417811442}">
      <text>
        <r>
          <rPr>
            <sz val="9"/>
            <color indexed="81"/>
            <rFont val="MS P ゴシック"/>
            <family val="3"/>
            <charset val="128"/>
          </rPr>
          <t>Insight iXlW00001C0000674R0585476093S00001346P01468LAocjBAQBF1NjaVRlZ2ljLmRhdGEuTW9sZWN1bGUBbwF/ARJTY2lUZWdpYy5Nb2xlY3VsZQAAAQFkAv5qAQAAAAIAAgETGAAAAPz8APwAAgAAAAAAAPC/AgHeAgmKH+c/AnzysFBrmsc/AAAAABgAAAD8/AD8AAIAAAAAAADwvwLByqFFtvPzvwL6D+m3rwPhPwAAAAAYAAAA/PwA/AACAAAAAAAA8L8Cak3zjlN0tD8CsVBrmnec4r8AAAAAGAAAAPz8APwAAgAAAAAAAPC/AhTQRNjw9Oy/AuomMQisHNq/AAAAABgAAAD8/AD8AAIAAAAAAADwvwKcVZ+rrdj1PwKxUGuad5zivwAAAAAgAAAA/PwA/AACAAAAAAAA8L8CPnlYqDXNAkAC6iYxCKwc2r8AAAAAJAAAAPz8APwAAgAAAAAAAPC/AgR4CyQofgHAArmNBvAWSMg/AAAAACQAAAD8/AD8AAIAAAAAAADwvwIGgZVDi2z5vwK0WfW52or3PwAAAAAkAAAA/PwA/AACAAAAAAAA8L8CFR3J5T+k678CYVRSJ6CJ9T8AAAAAIAAAAPz8APwAAgAAAAAAAPC/AgHeAgmKH+c/AigPC7WmeQFAAAAAACAAAAD8/AD8AAIAAAAAAADwvwJnZmZmZmbzPwI9LNSa5h35vwAAAAAYAAAA/PwA/AACAAAAAAAA8L8CQs9m1edq+T8Cnzws1Jrm5T8AAAAAGAAAAPz8APwAAgAAAAAAAPC/AgmKH2PuWsK/Ap88LNSa5uU/AAAAABgAAAD8/AD8AAIAAAAAAADwvwKt+lxtxf7aPwIQejarPlf4vwAAAAAYAAAA/PwA/AACAAAAAAAA8L8CpU5AE2HD+L8CYxBYObTI8r8AAAAAGAAAAPz8APwAAgAAAAAAAPC/AgmKH2PuWsK/AlAeFmpN8/o/AAAAABgAAAD8/AD8AAIAAAAAAADwvwJCz2bV52r5PwJQHhZqTfP6PwAAAAAYAAAA/PwA/AACAAAAAAAA8L8C9dvXgXNGzL8CXCBB8WNMAsAAAAAAGAAAAPz8APwAAgAAAAAAAPC/Al+YTBWMSvO/Ag1xrIvb6ADAAAAAAAEUBAwBZQQAAAAAAAAAAAgAAWUEAAAAAAAAAAAMCAFlBAAAAAAAAAAAEAABZQQAAAAAAAAAABQQAWUIAAAAAAAAAAAYBAFlBAAAAAAAAAAAHAQBZQQAAAAAAAAAACAEAWUEAAAAAAAAAAAkPAFlBAAAAAAAAAAAKBABZQQAAAAAAAAAACwAAWUEAAAAAAAAAAAwAAFlBAAAAAAAAAAANAgBZQgMAAAAAAAAADgMAWUIDAAAAAAAAAA8MAFlBAAAAAAAAAAAARAsAWUEAAAAAAAAAAABETQBZQQAAAAAAAAAAAESAREBZQgIAAAAAAAAAAEQJAFlBAAAAAAAAAAAOAESAWUEAAAAAAAAAAAAAAAA</t>
        </r>
      </text>
    </comment>
    <comment ref="A675" authorId="0" shapeId="0" xr:uid="{E1F2C89D-E78C-402D-BDE7-E2CE02A92651}">
      <text>
        <r>
          <rPr>
            <sz val="9"/>
            <color indexed="81"/>
            <rFont val="MS P ゴシック"/>
            <family val="3"/>
            <charset val="128"/>
          </rPr>
          <t>Insight iXlW00001C0000675R0585476093S00001348P01236LAocjBAQBF1NjaVRlZ2ljLmRhdGEuTW9sZWN1bGUBbwF/ARJTY2lUZWdpYy5Nb2xlY3VsZQAAAQFkAv5qAQAAAAIAAgEQHAAAAPz8APwAAgAAAAAAAPC/ApF++zpwzsi/Av2H9NvXgd8/AAAAABgAAAD8/AD8AAIAAAAAAADwvwL1bFZ9rrbuvwLdJAaBlUPDvwAAAAAYAAAA/PwA/AACAAAAAAAA8L8CkX77OnDOyL8CbVZ9rrZi6b8AAAAAGAAAAPz8APwAAgAAAAAAAPC/AsrDQq1p3uc/AsTTK2UZ4ty/AAAAABgAAAD8/AD8AAIAAAAAAADwvwL+1HjpJjH4PwKM22gAb4HxvwAAAAAYAAAA/PwA/AACAAAAAAAA8L8CIv32deCcA0ACjErqBDQR6L8AAAAAGAAAAPz8APwAAgAAAAAAAPC/AqqCUUmdAAVAAtS84xQdyc0/AAAAABgAAAD8/AD8AAIAAAAAAADwvwI7kst/SL/9PwJrvHSTGATsPwAAAAABIwAAAPz8APwAAgAAAAAAAPC/AqVOQBNhQwBAAhb7y+7Jw/0/AAAAABgAAAD8/AD8AAIAAAAAAADwvwLp2az6XG3tPwLfT42XbhLhPwAAAAAYAAAA/PwA/AACAAAAAAAA8L8CejarPldb978C3SQGgZVD8L8AAAAAGAAAAPz8APwAAgAAAAAAAPC/Aj2bVZ+rrQPAAt0kBoGVQ/C/AAAAACAAAAD8/AD8AAIAAAAAAADwvwI9m1Wfq60HwALdJAaBlUPDvwAAAAAYAAAA/PwA/AACAAAAAAAA8L8CPZtVn6utA8ACTDeJQWDl5j8AAAAAGAAAAPz8APwAAgAAAAAAAPC/Ano2qz5XW/e/Akw3iUFg5eY/AAAAAAERAAAA/PwA/AACAAAAAAAA8L8CEOm3rwNnC0ACFD/G3LWE2D8AAAAAARAABAFlBAAAAAAAAAAABAgBZQQAAAAAAAAAAAgMAWUEAAAAAAAAAAAMEAFlCAwAAAAAAAAAEBQBZQQAAAAAAAAAABQYAWUICAAAAAAAAAAYHAFlBAAAAAAAAAAAHCABZQQAAAAAAAAAABwkAWUICAAAAAAAAAAkDAFlBAAAAAAAAAAABCgBZQQAAAAAAAAAACgsAWUEAAAAAAAAAAAsMAFlBAAAAAAAAAAAMDQBZQQAAAAAAAAAADQ4AWUEAAAAAAAAAAA4BAFlBAAAAAAAAAAAAAAAAA==</t>
        </r>
      </text>
    </comment>
    <comment ref="A676" authorId="0" shapeId="0" xr:uid="{9A7424A7-2A05-48A6-A8ED-D2658332777D}">
      <text>
        <r>
          <rPr>
            <sz val="9"/>
            <color indexed="81"/>
            <rFont val="MS P ゴシック"/>
            <family val="3"/>
            <charset val="128"/>
          </rPr>
          <t>Insight iXlW00001C0000676R0585476093S00001350P01452LAocjBAQBF1NjaVRlZ2ljLmRhdGEuTW9sZWN1bGUBbwF/ARJTY2lUZWdpYy5Nb2xlY3VsZQAAAQFkAv5qAQAAAAIAAgETHAAAAPz8APwAAgAAAAAAAPC/AkCk374OnO2/Al8pyxDHutw/AAAAABgAAAD8/AD8AAIAAAAAAADwvwLImLuWkA/7vwIa4lgXt9HIvwAAAAAYAAAA/PwA/AACAAAAAAAA8L8CXkvIBz2b7b8CvAUSFD/G6r8AAAAAGAAAAPz8APwAAgAAAAAAAPC/ApPLf0i/fY0/AmIyVTAqqd+/AAAAABgAAAD8/AD8AAIAAAAAAADwvwJh5dAi2/noPwIzMzMzMzPyvwAAAAAYAAAA/PwA/AACAAAAAAAA8L8C95fdk4eF+z8C2/l+arx06b8AAAAAGAAAAPz8APwAAgAAAAAAAPC/AgajkjoBTf4/AiBj7lpCPsg/AAAAABgAAAD8/AD8AAIAAAAAAADwvwJe3EYDeAvyPwIcDeAtkKDqPwAAAAAYAAAA/PwA/AACAAAAAAAA8L8CM1UwKqkTyD8CIUHxY8xd3z8AAAAAGAAAAPz8APwAAgAAAAAAAPC/Al+6SQwCqwZAAlMFo5I6AeE/AAAAACQAAAD8/AD8AAIAAAAAAADwvwI830+Nl+4DQAJhVFInoIn3PwAAAAAkAAAA/PwA/AACAAAAAAAA8L8COiNKe4MvDkAC33GKjuTy6z8AAAAAJAAAAPz8APwAAgAAAAAAAPC/AoGVQ4tsZwlAAjY8vVKWIdq/AAAAABgAAAD8/AD8AAIAAAAAAADwvwJkzF1LyIcBwAKFfNCzWfXwvwAAAAAYAAAA/PwA/AACAAAAAAAA8L8CZMxdS8iHCcAChXzQs1n18L8AAAAAIAAAAPz8APwAAgAAAAAAAPC/AmTMXUvIhw3AAhriWBe30ci/AAAAABgAAAD8/AD8AAIAAAAAAADwvwJkzF1LyIcJwAL9h/Tb14HlPwAAAAAYAAAA/PwA/AACAAAAAAAA8L8CZMxdS8iHAcAC/Yf029eB5T8AAAAAAREAAAD8/AD8AAIAAAAAAADwvwLQRNjw9EoSQAK2hHzQs1nFPwAAAAABEwAEAWUEAAAAAAAAAAAECAFlBAAAAAAAAAAACAwBZQQAAAAAAAAAAAwQAWUIDAAAAAAAAAAQFAFlBAAAAAAAAAAAFBgBZQgIAAAAAAAAABgcAWUEAAAAAAAAAAAcIAFlCAgAAAAAAAAAIAwBZQQAAAAAAAAAABgkAWUEAAAAAAAAAAAkKAFlBAAAAAAAAAAAJCwBZQQAAAAAAAAAACQwAWUEAAAAAAAAAAAENAFlBAAAAAAAAAAANDgBZQQAAAAAAAAAADg8AWUEAAAAAAAAAAA8ARABZQQAAAAAAAAAAAEQAREBZQQAAAAAAAAAAAERBAFlBAAAAAAAAAAAAAAAAA==</t>
        </r>
      </text>
    </comment>
    <comment ref="A677" authorId="0" shapeId="0" xr:uid="{86C612C8-751A-4C2C-BB58-DF6332A74CBA}">
      <text>
        <r>
          <rPr>
            <sz val="9"/>
            <color indexed="81"/>
            <rFont val="MS P ゴシック"/>
            <family val="3"/>
            <charset val="128"/>
          </rPr>
          <t>Insight iXlW00001C0000677R0585476093S00001352P01544LAocjBAQBF1NjaVRlZ2ljLmRhdGEuTW9sZWN1bGUBbwF/ARJTY2lUZWdpYy5Nb2xlY3VsZQAAAQFkAv5qAQAAAAIAAgEUGAAAAPz8APwAAgAAAAAAAPC/AjzfT42XbgdAAuVhodY076i/AAAAABgAAAD8/AD8AAIAAAAAAADwvwI17zhFR3L6vwKRD3o2qz6XPwAAAAAYAAAA/PwA/AACAAAAAAAA8L8C6Gor9pddAsAC1LzjFB3J578AAAAAGAAAAPz8APwAAgAAAAAAAPC/ApchjnVxG/8/AmpN845TdMy/AAAAABgAAAD8/AD8AAIAAAAAAADwvwKaCBueXinwvwLUvOMUHcnnvwAAAAAgAAAA/PwA/AACAAAAAAAA8L8Cih9j7lpC/78CIbByaJHt+r8AAAAAJAAAAPz8APwAAgAAAAAAAPC/Au0vuycPCwZAAqMjufyH9O0/AAAAACQAAAD8/AD8AAIAAAAAAADwvwKsrdhfdk8PQAIAAAAAAADAPwAAAAAkAAAA/PwA/AACAAAAAAAA8L8Cw2SqYFTSCEAC8KfGSzeJ8L8AAAAAIAAAAPz8APwAAgAAAAAAAPC/AjXvOEVHcvq/Ah/0bFZ9LgBAAAAAABgAAAD8/AD8AAIAAAAAAADwvwJRa5p3nKL5PwJlO99PjZfyvwAAAAAYAAAA/PwA/AACAAAAAAAA8L8Cbef7qfHS9D8C9rnaiv1l4T8AAAAAGAAAAPz8APwAAgAAAAAAAPC/AmPuWkI+6Jm/Apf/kH77OuK/AAAAACAAAAD8/AD8AAIAAAAAAADwvwJYObTIdj4KwAKX/5B++zrivwAAAAAYAAAA/PwA/AACAAAAAAAA8L8C4ZwRpb3B4z8CdEaU9gZf9b8AAAAAGAAAAPz8APwAAgAAAAAAAPC/AjEqqRPQRNQ/Aq5H4XoUrtc/AAAAABgAAAD8/AD8AAIAAAAAAADwvwLnHafoSC7pvwJ90LNZ9bngPwAAAAAYAAAA/PwA/AACAAAAAAAA8L8CuycPC7UmBMACfdCzWfW54D8AAAAAGAAAAPz8APwAAgAAAAAAAPC/ArsnDwu1JgTAAj/o2az6XPg/AAAAABgAAAD8/AD8AAIAAAAAAADwvwLnHafoSC7pvwI/6Nms+lz4PwAAAAABFQQQAWUEAAAAAAAAAAAIBAFlBAAAAAAAAAAADAABZQQAAAAAAAAAABAwAWUEAAAAAAAAAAAUCAFlCAAAAAAAAAAAGAABZQQAAAAAAAAAABwAAWUEAAAAAAAAAAAgAAFlBAAAAAAAAAAAJAESAWUEAAAAAAAAAAAoDAFlBAAAAAAAAAAALAwBZQgMAAAAAAAAADA8AWUIDAAAAAAAAAA0CAFlBAAAAAAAAAAAOCgBZQgIAAAAAAAAADwsAWUEAAAAAAAAAAABEAQBZQQAAAAAAAAAAAERBAFlBAAAAAAAAAAAARIBEQFlBAAAAAAAAAAAARMBEAFlBAAAAAAAAAAAMDgBZQQAAAAAAAAAAAETJAFlBAAAAAAAAAAAAAAAAA==</t>
        </r>
      </text>
    </comment>
    <comment ref="A678" authorId="0" shapeId="0" xr:uid="{21387AD5-4D96-4E2F-8044-386797F3C266}">
      <text>
        <r>
          <rPr>
            <sz val="9"/>
            <color indexed="81"/>
            <rFont val="MS P ゴシック"/>
            <family val="3"/>
            <charset val="128"/>
          </rPr>
          <t>Insight iXlW00001C0000678R0585476093S00001354P00876LAocjBAQBF1NjaVRlZ2ljLmRhdGEuTW9sZWN1bGUBbwF/ARJTY2lUZWdpYy5Nb2xlY3VsZQAAAQFkAv5qAQAAAAIAAiwYAAAA/PwA/AACAAAAAAAA8L8CN6s+V1ux478C029fB84Z7b8AAAAAGAAAAPz8APwAAgAAAAAAAPC/AqMjufyH9Js/AgmKH2PuWsK/AAAAACAAAAD8/AD8AAIAAAAAAADwvwJXfa62Yn/RvwKhibDh6ZX9vwAAAAAgAAAA/PwA/AACAAAAAAAA8L8CoyO5/If0mz8Cvw6cM6K0/T8AAAAAIAAAAPz8APwAAgAAAAAAAPC/Au2ePCzUmvm/ApayDHGsi+e/AAAAABgAAAD8/AD8AAIAAAAAAADwvwJTliGOdXHlPwLTb18HzhntvwAAAAAYAAAA/PwA/AACAAAAAAAA8L8CZvfkYaHW6r8C/DpwzojS1j8AAAAAGAAAAPz8APwAAgAAAAAAAPC/AqGJsOHplew/Avw6cM6I0tY/AAAAABgAAAD8/AD8AAIAAAAAAADwvwJm9+RhodbqvwK/DpwzorT1PwAAAAAYAAAA/PwA/AACAAAAAAAA8L8CoYmw4emV7D8Cvw6cM6K09T8AAAAAGAAAAPz8APwAAgAAAAAAAPC/AgpoImx4evo/ApayDHGsi+e/AAAAACwEAAFlBAAAAAAAAAAACAABZQgAAAAAAAAAAAwkAWUEAAAAAAAAAAAQAAFlBAAAAAAAAAAAFAQBZQQAAAAAAAAAABgEAWUEAAAAAAAAAAAcBAFlBAAAAAAAAAAAIBgBZQQAAAAAAAAAACQcAWUEAAAAAAAAAAAoFAFlBAAAAAAAAAAADCABZQQAAAAAAAAAAAAAAAA=</t>
        </r>
      </text>
    </comment>
    <comment ref="A679" authorId="0" shapeId="0" xr:uid="{C397CCA7-D600-44AC-96BF-DD4D9D9B0736}">
      <text>
        <r>
          <rPr>
            <sz val="9"/>
            <color indexed="81"/>
            <rFont val="MS P ゴシック"/>
            <family val="3"/>
            <charset val="128"/>
          </rPr>
          <t>Insight iXlW00001C0000679R0585476093S00001356P01016LAocjBAQBF1NjaVRlZ2ljLmRhdGEuTW9sZWN1bGUBbwF/ARJTY2lUZWdpYy5Nb2xlY3VsZQAAAQFkAv5qAQAAAAIAAjQYAAAA/PwA/AACAAAAAAAA8L8CMQisHFpk078CNBE2PL1Spr8AAAAAGAAAAPz8APwAAgAAAAAAAPC/Ak/RkVz+Q+6/AmPuWkI+6Om/AAAAABgAAAD8/AD8AAIAAAAAAADwvwI6kst/SL/VPwJj7lpCPujpvwAAAAAgAAAA/PwA/AACAAAAAAAA8L8Cw2SqYFRS478C6Ugu/yH9+78AAAAAIAAAAPz8APwAAgAAAAAAAPC/AjEIrBxaZNO/AndPHhZqTf8/AAAAACAAAAD8/AD8AAIAAAAAAADwvwKIhVrTvOP+vwJF2PD0SlnkvwAAAAAYAAAA/PwA/AACAAAAAAAA8L8Ca7x0kxgE4j8C2j15WKg13T8AAAAAGAAAAPz8APwAAgAAAAAAAPC/Ak5iEFg5tPK/Ato9eVioNd0/AAAAABgAAAD8/AD8AAIAAAAAAADwvwJvgQTFjzH1PwJF2PD0SlnkvwAAAAAYAAAA/PwA/AACAAAAAAAA8L8CTmIQWDm08r8Cd08eFmpN9z8AAAAAGAAAAPz8APwAAgAAAAAAAPC/Amu8dJMYBOI/AndPHhZqTfc/AAAAABgAAAD8/AD8AAIAAAAAAADwvwK1N/jCZKr6PwKP5PIf0m/TPwAAAAAYAAAA/PwA/AACAAAAAAAA8L8CCmgibHh6/z8CPN9PjZdu9r8AAAAANAQAAWUEAAAAAAAAAAAIAAFlBAAAAAAAAAAADAQBZQgAAAAAAAAAABAkAWUEAAAAAAAAAAAUBAFlBAAAAAAAAAAAGAABZQQAAAAAAAAAABwAAWUEAAAAAAAAAAAgCAFlBAAAAAAAAAAAJBwBZQQAAAAAAAAAACgYAWUEAAAAAAAAAAAsIAFlBAAAAAAAAAAAMCABZQQAAAAAAAAAABAoAWUEAAAAAAAAAAAAAAAA</t>
        </r>
      </text>
    </comment>
    <comment ref="A680" authorId="0" shapeId="0" xr:uid="{20D99B5B-5472-401F-831B-450EF204E45A}">
      <text>
        <r>
          <rPr>
            <sz val="9"/>
            <color indexed="81"/>
            <rFont val="MS P ゴシック"/>
            <family val="3"/>
            <charset val="128"/>
          </rPr>
          <t>Insight iXlW00001C0000680R0585476093S00001358P01036LAocjBAQBF1NjaVRlZ2ljLmRhdGEuTW9sZWN1bGUBbwF/ARJTY2lUZWdpYy5Nb2xlY3VsZQAAAQFkAv5qAQAAAAIAAjQYAAAA/PwA/AACAAAAAAAA8L8CjGzn+6nx1r8C7uvAOSNKq78AAAAAGAAAAPz8APwAAgAAAAAAAPC/Ar7BFyZTBfC/AvH0SlmGOOq/AAAAABgAAAD8/AD8AAIAAAAAAADwvwJZqDXNO070PwLT3uALk6nkvwAAAAAYAAAA/PwA/AACAAAAAAAA8L8C4C2QoPgx0j8C8fRKWYY46r8AAAAAGAAAAPz8APwAAgAAAAAAAPC/Agg9m1WfqwFAAl5LyAc9m++/AAAAABgAAAD8/AD8AAIAAAAAAADwvwK5jQbwFkgAQALhnBGlvcFnvwAAAAAgAAAA/PwA/AACAAAAAAAA8L8CDr4wmSoY5b8CMEymCkYl/L8AAAAAIAAAAPz8APwAAgAAAAAAAPC/Aoxs5/up8da/AqH4MeauJf8/AAAAACAAAAD8/AD8AAIAAAAAAADwvwKfXinLEMf/vwLT3uALk6nkvwAAAAAYAAAA/PwA/AACAAAAAAAA8L8CZTvfT42X878Cg+LHmLuW3D8AAAAAGAAAAPz8APwAAgAAAAAAAPC/Aj4K16NwPeA/AoPix5i7ltw/AAAAABgAAAD8/AD8AAIAAAAAAADwvwJlO99PjZfzvwKh+DHmriX3PwAAAAAYAAAA/PwA/AACAAAAAAAA8L8CPgrXo3A94D8Cofgx5q4l9z8AAAAAOAQAAWUEAAAAAAAAAAAIDAFlBAAAAAAAAAAADAABZQQAAAAAAAAAABAIAWUEAAAAAAAAAAAUCAFlBAAAAAAAAAAAGAQBZQgAAAAAAAAAABwwAWUEAAAAAAAAAAAgBAFlBAAAAAAAAAAAJAABZQQAAAAAAAAAACgAAWUEAAAAAAAAAAAsJAFlBAAAAAAAAAAAMCgBZQQAAAAAAAAAACwcAWUEAAAAAAAAAAAUEAFlBAAAAAAAAAAAAAAAAA==</t>
        </r>
      </text>
    </comment>
    <comment ref="A681" authorId="0" shapeId="0" xr:uid="{AE2C278B-B3C0-49EE-82C4-CEA2D697F08E}">
      <text>
        <r>
          <rPr>
            <sz val="9"/>
            <color indexed="81"/>
            <rFont val="MS P ゴシック"/>
            <family val="3"/>
            <charset val="128"/>
          </rPr>
          <t>Insight iXlW00001C0000681R0585476093S00001360P00788LAocjBAQBF1NjaVRlZ2ljLmRhdGEuTW9sZWN1bGUBbwF/ARJTY2lUZWdpYy5Nb2xlY3VsZQAAAQFkAv5qAQAAAAIAAigYAAAA/PwA/AACAAAAAAAA8L8C0m9fB84ZAEACW9O84xQd0b8AAAAAGAAAAPz8APwAAgAAAAAAAPC/Al66SQwCK/E/AjnWxW00gOO/AAAAABgAAAD8/AD8AAIAAAAAAADwvwIVHcnlP6TTPwLSb18HzhmhPwAAAAAcAAAA/PwA/AACAAAAAAAA8L8CXrpJDAIr8T8CM8SxLm6j5T8AAAAAGAAAAPz8APwAAgAAAAAAAPC/AtfFbTSAt8i/AobJVMGopOq/AAAAABgAAAD8/AD8AAIAAAAAAADwvwK7uI0G8BbzvwKGyVTBqKTqvwAAAAAgAAAA/PwA/AACAAAAAAAA8L8Cu7iNBvAW+78C0m9fB84ZoT8AAAAAGAAAAPz8APwAAgAAAAAAAPC/Aru4jQbwFvO/AoG3QILix+w/AAAAABgAAAD8/AD8AAIAAAAAAADwvwLXxW00gLfIvwKBt0CC4sfsPwAAAAABEQAAAPz8APwAAgAAAAAAAPC/AjnWxW00gAZAAtJvXwfOGaE/AAAAACQABAFlBAAAAAAAAAAABAgBZQQAAAAAAAAAAAgMAWUEAAAAAAAAAAAIEAFlBAAAAAAAAAAAEBQBZQQAAAAAAAAAABQYAWUEAAAAAAAAAAAYHAFlBAAAAAAAAAAAHCABZQQAAAAAAAAAACAIAWUEAAAAAAAAAAAAAAAA</t>
        </r>
      </text>
    </comment>
    <comment ref="A682" authorId="0" shapeId="0" xr:uid="{46299CF4-3688-48BC-9AB7-799C3D97612F}">
      <text>
        <r>
          <rPr>
            <sz val="9"/>
            <color indexed="81"/>
            <rFont val="MS P ゴシック"/>
            <family val="3"/>
            <charset val="128"/>
          </rPr>
          <t>Insight iXlW00001C0000682R0585476093S00001362P00932LAocjBAQBF1NjaVRlZ2ljLmRhdGEuTW9sZWN1bGUBbwF/ARJTY2lUZWdpYy5Nb2xlY3VsZQAAAQFkAv5qAQAAAAIAAjAYAAAA/PwA/AACAAAAAAAA8L8CUkmdgCbC+z8ChetRuB6F5z8AAAAAGAAAAPz8APwAAgAAAAAAAPC/ArTqc7UV+/g/AvA4RUdy+c+/AAAAABgAAAD8/AD8AAIAAAAAAADwvwKu2F92T54CQAJyGw3gLZDsvwAAAAAYAAAA/PwA/AACAAAAAAAA8L8C+THmriXk4z8CqRPQRNjw4r8AAAAAGAAAAPz8APwAAgAAAAAAAPC/AubQItv5fsK/AsiYu5aQD6o/AAAAABwAAAD8/AD8AAIAAAAAAADwvwL5MeauJeTjPwLChqdXyjLmPwAAAAAYAAAA/PwA/AACAAAAAAAA8L8COrTIdr6f5L8C9wZfmEwV6r8AAAAAGAAAAPz8APwAAgAAAAAAAPC/Ah1aZDvfT/q/AvcGX5hMFeq/AAAAACAAAAD8/AD8AAIAAAAAAADwvwIPLbKd7ycBwALImLuWkA+qPwAAAAAYAAAA/PwA/AACAAAAAAAA8L8CHVpkO99P+r8CEHo2qz5X7T8AAAAAGAAAAPz8APwAAgAAAAAAAPC/Ajq0yHa+n+S/AhB6Nqs+V+0/AAAAAAERAAAA/PwA/AACAAAAAAAA8L8CFD/G3LUECUACB/AWSFD8iD8AAAAALAAEAWUEAAAAAAAAAAAECAFlBAAAAAAAAAAABAwBZQQAAAAAAAAAAAwQAWUEAAAAAAAAAAAQFAFlBAAAAAAAAAAAEBgBZQQAAAAAAAAAABgcAWUEAAAAAAAAAAAcIAFlBAAAAAAAAAAAICQBZQQAAAAAAAAAACQoAWUEAAAAAAAAAAAoEAFlBAAAAAAAAAAAAAAAAA==</t>
        </r>
      </text>
    </comment>
    <comment ref="A683" authorId="0" shapeId="0" xr:uid="{0CCB95CC-AB34-4BA1-ACEC-6E6BAE21EE1E}">
      <text>
        <r>
          <rPr>
            <sz val="9"/>
            <color indexed="81"/>
            <rFont val="MS P ゴシック"/>
            <family val="3"/>
            <charset val="128"/>
          </rPr>
          <t>Insight iXlW00001C0000683R0585476093S00001364P00860LAocjBAQBF1NjaVRlZ2ljLmRhdGEuTW9sZWN1bGUBbwF/ARJTY2lUZWdpYy5Nb2xlY3VsZQAAAQFkAv5qAQAAAAIAAiwYAAAA/PwA/AACAAAAAAAA8L8Cnzws1Jrm6T8Ce6UsQxzr9z8AAAAAGAAAAPz8APwAAgAAAAAAAPC/Atz5fmq8dO8/AjQRNjy9UuA/AAAAABgAAAD8/AD8AAIAAAAAAADwvwItsp3vp8bLPwIH8BZIUPzAvwAAAAAYAAAA/PwA/AACAAAAAAAA8L8C3Pl+arx07z8COIlBYOXQ6L8AAAAAHAAAAPz8APwAAgAAAAAAAPC/AqVOQBNhw/4/Alg5tMh2vtu/AAAAABgAAAD8/AD8AAIAAAAAAADwvwLqJjEIrBzSvwKFfNCzWfXvvwAAAAAYAAAA/PwA/AACAAAAAAAA8L8Cu0kMAiuH9L8ChXzQs1n1778AAAAAIAAAAPz8APwAAgAAAAAAAPC/ArtJDAIrh/y/AgfwFkhQ/MC/AAAAABgAAAD8/AD8AAIAAAAAAADwvwK7SQwCK4f0vwKCBMWPMXfnPwAAAAAYAAAA/PwA/AACAAAAAAAA8L8C6iYxCKwc0r8CggTFjzF35z8AAAAAAREAAAD8/AD8AAIAAAAAAADwvwK5jQbwFsgFQALhnBGlvcHPPwAAAAAoAAQBZQQAAAAAAAAAAAQIAWUEAAAAAAAAAAAIDAFlBAAAAAAAAAAADBABZQQAAAAAAAAAAAgUAWUEAAAAAAAAAAAUGAFlBAAAAAAAAAAAGBwBZQQAAAAAAAAAABwgAWUEAAAAAAAAAAAgJAFlBAAAAAAAAAAAJAgBZQQAAAAAAAAAAAAAAAA=</t>
        </r>
      </text>
    </comment>
    <comment ref="A684" authorId="0" shapeId="0" xr:uid="{6730BF66-B8C6-431B-BC01-676CD17D8A09}">
      <text>
        <r>
          <rPr>
            <sz val="9"/>
            <color indexed="81"/>
            <rFont val="MS P ゴシック"/>
            <family val="3"/>
            <charset val="128"/>
          </rPr>
          <t>Insight iXlW00001C0000684R0585476093S00001366P01000LAocjBAQBF1NjaVRlZ2ljLmRhdGEuTW9sZWN1bGUBbwF/ARJTY2lUZWdpYy5Nb2xlY3VsZQAAAQFkAv5qAQAAAAIAAjQYAAAA/PwA/AACAAAAAAAA8L8Cmggbnl4p+z8C7S+7Jw8L4z8AAAAAGAAAAPz8APwAAgAAAAAAAPC/Avyp8dJNYvg/AqoT0ETY8Ni/AAAAABgAAAD8/AD8AAIAAAAAAADwvwJSuB6F61ECQAKF61G4HoXwvwAAAAAYAAAA/PwA/AACAAAAAAAA8L8CirDh6ZWy4j8CYHZPHhZq578AAAAAGAAAAPz8APwAAgAAAAAAAPC/AqLWNO84Rce/AlJJnYAmwra/AAAAABgAAAD8/AD8AAIAAAAAAADwvwKKsOHplbLiPwIMJCh+jLnhPwAAAAAcAAAA/PwA/AACAAAAAAAA8L8C1zTvOEVH2j8C564l5IOe+D8AAAAAGAAAAPz8APwAAgAAAAAAAPC/Aqk1zTtO0eW/Aq5p3nGKju6/AAAAABgAAAD8/AD8AAIAAAAAAADwvwLVmuYdp+j6vwKuad5xio7uvwAAAAAgAAAA/PwA/AACAAAAAAAA8L8Cak3zjlN0AcACUkmdgCbCtr8AAAAAGAAAAPz8APwAAgAAAAAAAPC/AtWa5h2n6Pq/AlkXt9EA3ug/AAAAABgAAAD8/AD8AAIAAAAAAADwvwKpNc07TtHlvwJZF7fRAN7oPwAAAAABEQAAAPz8APwAAgAAAAAAAPC/ArkehetRuAhAAsKGp1fKMtA/AAAAADAABAFlBAAAAAAAAAAABAgBZQQAAAAAAAAAAAQMAWUEAAAAAAAAAAAMEAFlBAAAAAAAAAAAEBQBZQQAAAAAAAAAABQYAWUEAAAAAAAAAAAQHAFlBAAAAAAAAAAAHCABZQQAAAAAAAAAACAkAWUEAAAAAAAAAAAkKAFlBAAAAAAAAAAAKCwBZQQAAAAAAAAAACwQAWUEAAAAAAAAAAAAAAAA</t>
        </r>
      </text>
    </comment>
    <comment ref="A685" authorId="0" shapeId="0" xr:uid="{4A72DFCA-7178-46F6-953B-D0D1F5B4B728}">
      <text>
        <r>
          <rPr>
            <sz val="9"/>
            <color indexed="81"/>
            <rFont val="MS P ゴシック"/>
            <family val="3"/>
            <charset val="128"/>
          </rPr>
          <t>Insight iXlW00001C0000685R0585476093S00001368P00964LAocjBAQBF1NjaVRlZ2ljLmRhdGEuTW9sZWN1bGUBbwF/ARJTY2lUZWdpYy5Nb2xlY3VsZQAAAQFkAv5qAQAAAAIAAjAYAAAA/PwA/AACAAAAAAAA8L8CggTFjzF39z8C1zTvOEVH2r8AAAAAGAAAAPz8APwAAgAAAAAAAPC/ArFQa5p3nANAAqhXyjLEseK/AAAAABgAAAD8/AD8AAIAAAAAAADwvwKOdXEbDeAAQAKOl24Sg8DWPwAAAAAYAAAA/PwA/AACAAAAAAAA8L8C7Z48LNSazr8CCM4ZUdobvL8AAAAAIAAAAPz8APwAAgAAAAAAAPC/Au/Jw0Kt6QHAAgjOGVHaG7y/AAAAABgAAAD8/AD8AAIAAAAAAADwvwKVZYhjXdzgPwL3Bl+YTBXovwAAAAAcAAAA/PwA/AACAAAAAAAA8L8CsVBrmnec1j8Cm+Ydp+hI+D8AAAAAGAAAAPz8APwAAgAAAAAAAPC/ApVliGNd3OA/AnWTGARWDuE/AAAAABgAAAD8/AD8AAIAAAAAAADwvwLek4eFWtP7vwJE+u3rwDnvvwAAAAAYAAAA/PwA/AACAAAAAAAA8L8C3pOHhVrT+78CwoanV8oy6D8AAAAAGAAAAPz8APwAAgAAAAAAAPC/ArwnDwu1pue/AkT67evAOe+/AAAAABgAAAD8/AD8AAIAAAAAAADwvwK8Jw8LtabnvwLChqdXyjLoPwAAAAA0BAABZQQAAAAAAAAAAAgAAWUEAAAAAAAAAAAMFAFlBAAAAAAAAAAAECQBZQQAAAAAAAAAABQAAWUEAAAAAAAAAAAYHAFlBAAAAAAAAAAAHAwBZQQAAAAAAAAAACAoAWUEAAAAAAAAAAAkLAFlBAAAAAAAAAAAKAwBZQQAAAAAAAAAACwMAWUEAAAAAAAAAAAIBAFlBAAAAAAAAAAAIBABZQQAAAAAAAAAAAAAAAA=</t>
        </r>
      </text>
    </comment>
    <comment ref="A686" authorId="0" shapeId="0" xr:uid="{4E552E70-7F6C-41FD-9F7C-D1637215096E}">
      <text>
        <r>
          <rPr>
            <sz val="9"/>
            <color indexed="81"/>
            <rFont val="MS P ゴシック"/>
            <family val="3"/>
            <charset val="128"/>
          </rPr>
          <t>Insight iXlW00001C0000686R0585476093S00001370P01304LAocjBAQBF1NjaVRlZ2ljLmRhdGEuTW9sZWN1bGUBbwF/ARJTY2lUZWdpYy5Nb2xlY3VsZQAAAQFkAv5qAQAAAAIAAgERHAAAAPz8APwAAgAAAAAAAPC/AqLWNO84RdO/Ag6+MJkqGPo/AAAAABgAAAD8/AD8AAIAAAAAAADwvwLKVMGopE7AvwJbQj7o2azkPwAAAAAYAAAA/PwA/AACAAAAAAAA8L8Cg+LHmLuW7L8CRiV1ApoIaz8AAAAAGAAAAPz8APwAAgAAAAAAAPC/AspUwaikTsC/AhFYObTIduS/AAAAABgAAAD8/AD8AAIAAAAAAADwvwI8TtGRXP7pPwJGJXUCmgjTvwAAAAAYAAAA/PwA/AACAAAAAAAA8L8CeAskKH6M7z8CPE7RkVz+5T8AAAAAGAAAAPz8APwAAgAAAAAAAPC/AnTXEvJBz/4/AtUJaCJsePA/AAAAABgAAAD8/AD8AAIAAAAAAADwvwJGJXUCmogFQALnjCjtDb7YPwAAAAAYAAAA/PwA/AACAAAAAAAA8L8Cv58aL90kBEACTvOOU3Qk478AAAAAGAAAAPz8APwAAgAAAAAAAPC/AsZtNIC3QPk/Atlfdk8eFu6/AAAAACQAAAD8/AD8AAIAAAAAAADwvwIoDwu1pnn2PwLNzMzMzMz+vwAAAAAYAAAA/PwA/AACAAAAAAAA8L8CQfFjzF1L9r8CXkvIBz2b678AAAAAGAAAAPz8APwAAgAAAAAAAPC/AqH4MeauJQPAAl5LyAc9m+u/AAAAACAAAAD8/AD8AAIAAAAAAADwvwKh+DHmriUHwAJGJXUCmghrPwAAAAAYAAAA/PwA/AACAAAAAAAA8L8Cofgx5q4lA8ACqTXNO07R6z8AAAAAGAAAAPz8APwAAgAAAAAAAPC/AkHxY8xdS/a/Aqk1zTtO0es/AAAAAAERAAAA/PwA/AACAAAAAAAA8L8CrYvbaADvC0ACwOyePCzUwr8AAAAAAREABAFlBAAAAAAAAAAABAgBZQQAAAAAAAAAAAgMAWUEAAAAAAAAAAAMEAFlBAAAAAAAAAAAEBQBZQgMAAAAAAAAABQYAWUEAAAAAAAAAAAYHAFlCAgAAAAAAAAAHCABZQQAAAAAAAAAACAkAWUICAAAAAAAAAAkEAFlBAAAAAAAAAAAJCgBZQQAAAAAAAAAAAgsAWUEAAAAAAAAAAAsMAFlBAAAAAAAAAAAMDQBZQQAAAAAAAAAADQ4AWUEAAAAAAAAAAA4PAFlBAAAAAAAAAAAPAgBZQQAAAAAAAAAAAAAAAA=</t>
        </r>
      </text>
    </comment>
    <comment ref="A687" authorId="0" shapeId="0" xr:uid="{4B7EC891-6B7C-449D-89F4-7195B99968F1}">
      <text>
        <r>
          <rPr>
            <sz val="9"/>
            <color indexed="81"/>
            <rFont val="MS P ゴシック"/>
            <family val="3"/>
            <charset val="128"/>
          </rPr>
          <t>Insight iXlW00001C0000687R0585476093S00001372P01248LAocjBAQBF1NjaVRlZ2ljLmRhdGEuTW9sZWN1bGUBbwF/ARJTY2lUZWdpYy5Nb2xlY3VsZQAAAQFkAv5qAQAAAAIAAgEQHAAAAPz8APwAAgAAAAAAAPC/AkzIBz2bVY8/AmAHzhlR2ts/AAAAABgAAAD8/AD8AAIAAAAAAADwvwJd/kP67evuPwLdRgN4CyTAPwAAAAAYAAAA/PwA/AACAAAAAAAA8L8CUrgehetR4r8CzqrP1Vbs178AAAAAHAAAAPz8APwAAgAAAAAAAPC/AkzIBz2bVY8/ArAD54wo7fK/AAAAACAAAAD8/AD8AAIAAAAAAADwvwJd/kP67evuPwJn1edqK/brvwAAAAAYAAAA/PwA/AACAAAAAAAA8L8CKxiV1Alo/D8CKqkT0ETY5j8AAAAAGAAAAPz8APwAAgAAAAAAAPC/Ailcj8L1KPm/As6qz9VW7Ne/AAAAACAAAAD8/AD8AAIAAAAAAADwvwKyLm6jAbz6PwJMyAc9m1X7PwAAAAAgAAAA/PwA/AACAAAAAAAA8L8CGLfRAN6CBUACnoAmwoan0z8AAAAAGAAAAPz8APwAAgAAAAAAAPC/AhWuR+F6lADAAjnWxW00gN8/AAAAABgAAAD8/AD8AAIAAAAAAADwvwIVrkfhepQAwAL1SlmGONbzvwAAAAAYAAAA/PwA/AACAAAAAAAA8L8ClkOLbOf7C0AC4L4OnDOi7D8AAAAAGAAAAPz8APwAAgAAAAAAAPC/Akw3iUFgpRFAAgmsHFpkO98/AAAAABgAAAD8/AD8AAIAAAAAAADwvwIVrkfhepQIwAL1SlmGONbzvwAAAAAYAAAA/PwA/AACAAAAAAAA8L8CFa5H4XqUCMACOdbFbTSA3z8AAAAAGAAAAPz8APwAAgAAAAAAAPC/AhWuR+F6lAzAAs6qz9VW7Ne/AAAAAAERBAABZQgIAAAAAAAAAAgAAWUEAAAAAAAAAAAMCAFlCAgAAAAAAAAAEAQBZQQAAAAAAAAAABQEAWUEAAAAAAAAAAAYCAFlBAAAAAAAAAAAHBQBZQgAAAAAAAAAACAUAWUEAAAAAAAAAAAkGAFlBAAAAAAAAAAAKBgBZQgMAAAAAAAAACwgAWUEAAAAAAAAAAAwLAFlBAAAAAAAAAAANCgBZQQAAAAAAAAAADgkAWUICAAAAAAAAAA8NAFlCAgAAAAAAAAAEAwBZQQAAAAAAAAAADg8AWUEAAAAAAAAAAAAAAAA</t>
        </r>
      </text>
    </comment>
    <comment ref="A688" authorId="0" shapeId="0" xr:uid="{BFC40B27-D20F-4C8B-9DEE-554BF2FDFA3D}">
      <text>
        <r>
          <rPr>
            <sz val="9"/>
            <color indexed="81"/>
            <rFont val="MS P ゴシック"/>
            <family val="3"/>
            <charset val="128"/>
          </rPr>
          <t>Insight iXlW00001C0000688R0585476093S00001374P01396LAocjBAQBF1NjaVRlZ2ljLmRhdGEuTW9sZWN1bGUBbwF/ARJTY2lUZWdpYy5Nb2xlY3VsZQAAAQFkAv5qAQAAAAIAAgESGAAAAPz8APwAAgAAAAAAAPC/Ardif9k9eeK/AvOwUGuad6y/AAAAABwAAAD8/AD8AAIAAAAAAADwvwKZu5aQD3rSPwIPC7WmecfhvwAAAAAYAAAA/PwA/AACAAAAAAAA8L8CKA8LtaZ58j8C87BQa5p3rL8AAAAAIAAAAPz8APwAAgAAAAAAAPC/Ag6+MJkqGPe/Ag8LtaZ5x+G/AAAAACAAAAD8/AD8AAIAAAAAAADwvwK3Yn/ZPXnivwLx9EpZhjjuPwAAAAAcAAAA/PwA/AACAAAAAAAA8L8CKA8LtaZ58j8CeXqlLEMc/z8AAAAAGAAAAPz8APwAAgAAAAAAAPC/AigPC7WmeQLAAvOwUGuad6y/AAAAABgAAAD8/AD8AAIAAAAAAADwvwK1N/jCZCoAQALi6ZWyDHHcPwAAAAAYAAAA/PwA/AACAAAAAAAA8L8CmbuWkA960j8C4umVsgxx3D8AAAAAGAAAAPz8APwAAgAAAAAAAPC/Apm7lpAPetI/AoiFWtO84/i/AAAAABgAAAD8/AD8AAIAAAAAAADwvwKZu5aQD3rSPwJ5eqUsQxz3PwAAAAAYAAAA/PwA/AACAAAAAAAA8L8CtTf4wmQqAEACeXqlLEMc9z8AAAAAGAAAAPz8APwAAgAAAAAAAPC/ArU3+MJkKgBAAg8LtaZ5x+G/AAAAABgAAAD8/AD8AAIAAAAAAADwvwIoDwu1pnkGwAKTy39Iv33tvwAAAAAYAAAA/PwA/AACAAAAAAAA8L8CSb99HThnCcAC4umVsgxx3D8AAAAAGAAAAPz8APwAAgAAAAAAAPC/AlAeFmpN8/y/AlYOLbKd7+k/AAAAABgAAAD8/AD8AAIAAAAAAADwvwIoDwu1pnnyPwLEQq1p3nEAwAAAAAAYAAAA/PwA/AACAAAAAAAA8L8CtTf4wmQqAEACiIVa07zj+L8AAAAAARMEAAFlBAAAAAAAAAAACAQBZQQAAAAAAAAAAAwAAWUEAAAAAAAAAAAQAAFlCAAAAAAAAAAAFCgBZQQAAAAAAAAAABgMAWUEAAAAAAAAAAAcCAFlBAAAAAAAAAAAIAgBZQQAAAAAAAAAACQEAWUEAAAAAAAAAAAoIAFlBAAAAAAAAAAALBwBZQQAAAAAAAAAADAIAWUEAAAAAAAAAAA0GAFlBAAAAAAAAAAAOBgBZQQAAAAAAAAAADwYAWUEAAAAAAAAAAABECQBZQQAAAAAAAAAAAERARABZQQAAAAAAAAAADABEQFlBAAAAAAAAAAALBQBZQQAAAAAAAAAAAAAAAA=</t>
        </r>
      </text>
    </comment>
    <comment ref="A689" authorId="0" shapeId="0" xr:uid="{F09408E2-9052-43FD-9EC0-60FFAF67503D}">
      <text>
        <r>
          <rPr>
            <sz val="9"/>
            <color indexed="81"/>
            <rFont val="MS P ゴシック"/>
            <family val="3"/>
            <charset val="128"/>
          </rPr>
          <t>Insight iXlW00001C0000689R0585476093S00001376P01196LAocjBAQBF1NjaVRlZ2ljLmRhdGEuTW9sZWN1bGUBbwF/ARJTY2lUZWdpYy5Nb2xlY3VsZQAAAQFkAv5qAQAAAAIAAjwcAAAA/PwA/AACAAAAAAAA8L8CX7pJDAIrzz8CcF8HzhlRuj8AAAAAGAAAAPz8APwAAgAAAAAAAPC/AhaMSuoENO0/AuBPjZduEus/AAAAABgAAAD8/AD8AAIAAAAAAADwvwJTliGOdXHlvwLo+6nx0k3gPwAAAAAYAAAA/PwA/AACAAAAAAAA8L8CiIVa07zj3D8CpwpGJXUC7L8AAAAAGAAAAPz8APwAAgAAAAAAAPC/AnE9CtejcPY/At9xio7k8vK/AAAAABgAAAD8/AD8AAIAAAAAAADwvwIYJlMFo5IAQAJm9+Rhodb+vwAAAAAYAAAA/PwA/AACAAAAAAAA8L8CXtxGA3gLA0ACkQ96Nqs+778AAAAAGAAAAPz8APwAAgAAAAAAAPC/AisYldQJaNo/AsBbIEHxY/s/AAAAABwAAAD8/AD8AAIAAAAAAADwvwLWxW00gDcDwAIyCKwcWmTfvwAAAAAgAAAA/PwA/AACAAAAAAAA8L8CwTkjSnuD/j8C7nw/NV665z8AAAAAGAAAAPz8APwAAgAAAAAAAPC/An9qvHSTGOK/AhueXinLEPg/AAAAABgAAAD8/AD8AAIAAAAAAADwvwJTliGOdXHlvwIyCKwcWmTfvwAAAAAYAAAA/PwA/AACAAAAAAAA8L8Cayv2l92T+L8C9P3UeOkm8D8AAAAAGAAAAPz8APwAAgAAAAAAAPC/Amsr9pfdk/i/AhkEVg4tsu+/AAAAABgAAAD8/AD8AAIAAAAAAADwvwLWxW00gDcDwALo+6nx0k3gPwAAAAABEQQAAWUEAAAAAAAAAAAIAAFlBAAAAAAAAAAADAABZQQAAAAAAAAAABAMAWUEAAAAAAAAAAAUEAFlBAAAAAAAAAAAGBABZQQAAAAAAAAAABwEAWUEAAAAAAAAAAAgOAFlBAAAAAAAAAAAJAQBZQgAAAAAAAAAACgIAWUEAAAAAAAAAAAsCAFlBAAAAAAAAAAAMAgBZQQAAAAAAAAAADQsAWUEAAAAAAAAAAA4MAFlBAAAAAAAAAAAKBwBZQQAAAAAAAAAABQYAWUEAAAAAAAAAAA0IAFlBAAAAAAAAAAAAAAAAA==</t>
        </r>
      </text>
    </comment>
    <comment ref="A690" authorId="0" shapeId="0" xr:uid="{4689231B-71AA-4FC9-8FDC-B36D708ECAE5}">
      <text>
        <r>
          <rPr>
            <sz val="9"/>
            <color indexed="81"/>
            <rFont val="MS P ゴシック"/>
            <family val="3"/>
            <charset val="128"/>
          </rPr>
          <t>Insight iXlW00001C0000690R0585476093S00001378P01088LAocjBAQBF1NjaVRlZ2ljLmRhdGEuTW9sZWN1bGUBbwF/ARJTY2lUZWdpYy5Nb2xlY3VsZQAAAQFkAv5qAQAAAAIAAjgYAAAA/PwA/AACAAAAAAAA8L8CY+5aQj5oC0ACj+TyH9Jv4T8AAAAAGAAAAPz8APwAAgAAAAAAAPC/AintDb4wGQRAAoj029eBc+4/AAAAABgAAAD8/AD8AAIAAAAAAADwvwLGbTSAt0D7PwLu68A5I0rXPwAAAAAgAAAA/PwA/AACAAAAAAAA8L8CVcGopE5A+z8CJzEIrBxa5L8AAAAAHAAAAPz8APwAAgAAAAAAAPC/Am+jAbwFEug/AiBj7lpCPu6/AAAAABgAAAD8/AD8AAIAAAAAAADwvwLtL7snDwvFPwKcxCCwcmjBvwAAAAAcAAAA/PwA/AACAAAAAAAA8L8Cb6MBvAUS6D8C8KfGSzeJ5T8AAAAAGAAAAPz8APwAAgAAAAAAAPC/AgU0ETY8veq/ApzEILByaMG/AAAAABgAAAD8/AD8AAIAAAAAAADwvwIDmggbnl71vwLVeOkmMQjwvwAAAAAYAAAA/PwA/AACAAAAAAAA8L8CAU2EDU+vAsAC1XjpJjEI8L8AAAAAHAAAAPz8APwAAgAAAAAAAPC/AgJNhA1PrwbAApzEILByaMG/AAAAABgAAAD8/AD8AAIAAAAAAADwvwIBTYQNT68CwAJcj8L1KFznPwAAAAAYAAAA/PwA/AACAAAAAAAA8L8CA5oIG55e9b8CXI/C9Shc5z8AAAAAAREAAAD8/AD8AAIAAAAAAADwvwJlqmBUUucQQAIg0m9fB86ZvwAAAAA4AAQBZQQAAAAAAAAAAAQIAWUEAAAAAAAAAAAIDAFlBAAAAAAAAAAADBABZQQAAAAAAAAAABAUAWUICAAAAAAAAAAUGAFlBAAAAAAAAAAAGAgBZQgMAAAAAAAAABQcAWUEAAAAAAAAAAAcIAFlBAAAAAAAAAAAICQBZQQAAAAAAAAAACQoAWUEAAAAAAAAAAAoLAFlBAAAAAAAAAAALDABZQQAAAAAAAAAADAcAWUEAAAAAAAAAAAAAAAA</t>
        </r>
      </text>
    </comment>
    <comment ref="A691" authorId="0" shapeId="0" xr:uid="{05E0CBCC-F31D-4F11-A1E6-FD90FDC7DFE4}">
      <text>
        <r>
          <rPr>
            <sz val="9"/>
            <color indexed="81"/>
            <rFont val="MS P ゴシック"/>
            <family val="3"/>
            <charset val="128"/>
          </rPr>
          <t>Insight iXlW00001C0000691R0585476093S00001380P01232LAocjBAQBF1NjaVRlZ2ljLmRhdGEuTW9sZWN1bGUBbwF/ARJTY2lUZWdpYy5Nb2xlY3VsZQAAAQFkAv5qAQAAAAIAAgEQGAAAAPz8APwAAgAAAAAAAPC/ApSHhVrTvA1AAqK0N/jCZPE/AAAAABgAAAD8/AD8AAIAAAAAAADwvwJP0ZFc/kMHQAKjI7n8h/TfPwAAAAAYAAAA/PwA/AACAAAAAAAA8L8C0m9fB84ZCEACN6s+V1ux378AAAAAGAAAAPz8APwAAgAAAAAAAPC/AplMFYxK6v8/Aq36XG3F/uw/AAAAABgAAAD8/AD8AAIAAAAAAADwvwKcM6K0N/jyPwI4+MJkqmDUPwAAAAAgAAAA/PwA/AACAAAAAAAA8L8CK4cW2c738j8C5IOezarP5b8AAAAAHAAAAPz8APwAAgAAAAAAAPC/Amu8dJMYBM4/AvtcbcX+su+/AAAAABgAAAD8/AD8AAIAAAAAAADwvwKxUGuad5zWvwKRD3o2qz7HvwAAAAAcAAAA/PwA/AACAAAAAAAA8L8Ca7x0kxgEzj8CM1UwKqkT5D8AAAAAGAAAAPz8APwAAgAAAAAAAPC/Ai3UmuYdp/W/ApEPejarPse/AAAAABgAAAD8/AD8AAIAAAAAAADwvwIt1JrmHaf9vwI0orQ3+MLwvwAAAAAYAAAA/PwA/AACAAAAAAAA8L8CFmpN847TBsACNKK0N/jC8L8AAAAAHAAAAPz8APwAAgAAAAAAAPC/AhZqTfOO0wrAApEPejarPse/AAAAABgAAAD8/AD8AAIAAAAAAADwvwIWak3zjtMGwAKfPCzUmublPwAAAAAYAAAA/PwA/AACAAAAAAAA8L8CLdSa5h2n/b8Cnzws1Jrm5T8AAAAAAREAAAD8/AD8AAIAAAAAAADwvwL99nXgnBESQAL129eBc0aUPwAAAAABEAAEAWUEAAAAAAAAAAAECAFlBAAAAAAAAAAABAwBZQQAAAAAAAAAAAwQAWUEAAAAAAAAAAAQFAFlBAAAAAAAAAAAFBgBZQQAAAAAAAAAABgcAWUICAAAAAAAAAAcIAFlBAAAAAAAAAAAIBABZQgMAAAAAAAAABwkAWUEAAAAAAAAAAAkKAFlBAAAAAAAAAAAKCwBZQQAAAAAAAAAACwwAWUEAAAAAAAAAAAwNAFlBAAAAAAAAAAANDgBZQQAAAAAAAAAADgkAWUEAAAAAAAAAAAAAAAA</t>
        </r>
      </text>
    </comment>
    <comment ref="A692" authorId="0" shapeId="0" xr:uid="{13B2F04C-F904-4C81-A621-1BB7E3D9504D}">
      <text>
        <r>
          <rPr>
            <sz val="9"/>
            <color indexed="81"/>
            <rFont val="MS P ゴシック"/>
            <family val="3"/>
            <charset val="128"/>
          </rPr>
          <t>Insight iXlW00001C0000692R0585476093S00001382P01160LAocjBAQBF1NjaVRlZ2ljLmRhdGEuTW9sZWN1bGUBbwF/ARJTY2lUZWdpYy5Nb2xlY3VsZQAAAQFkAv5qAQAAAAIAAjwYAAAA/PwA/AACAAAAAAAA8L8C3gIJih/jAUACmUwVjErq/D8AAAAAGAAAAPz8APwAAgAAAAAAAPC/AmKh1jTvuAJAAuJYF7fRAOo/AAAAABgAAAD8/AD8AAIAAAAAAADwvwKdoiO5/AcKQAIN4C2QoPjZPwAAAAAYAAAA/PwA/AACAAAAAAAA8L8COdbFbTSA+D8CRWlv8IXJzD8AAAAAIAAAAPz8APwAAgAAAAAAAPC/AsgpOpLLf/g/As3MzMzMzOi/AAAAABwAAAD8/AD8AAIAAAAAAADwvwJUdCSX/5DiPwJjf9k9eVjxvwAAAAAYAAAA/PwA/AACAAAAAAAA8L8CxY8xdy0hf78CmpmZmZmZ0b8AAAAAHAAAAPz8APwAAgAAAAAAAPC/AlR0JJf/kOI/AkoMAiuHFuE/AAAAABgAAAD8/AD8AAIAAAAAAADwvwKQMXctIR/wvwKamZmZmZnRvwAAAAAYAAAA/PwA/AACAAAAAAAA8L8CkDF3LSEf+L8CqMZLN4lB8r8AAAAAGAAAAPz8APwAAgAAAAAAAPC/AsiYu5aQDwTAAqjGSzeJQfK/AAAAABwAAAD8/AD8AAIAAAAAAADwvwLImLuWkA8IwAJeS8gHPZvRvwAAAAAYAAAA/PwA/AACAAAAAAAA8L8CyJi7lpAPBMACt/P91Hjp4j8AAAAAGAAAAPz8APwAAgAAAAAAAPC/ApAxdy0hH/i/Arfz/dR46eI/AAAAAAERAAAA/PwA/AACAAAAAAAA8L8CggTFjzE3EEAC4QuTqYJR1T8AAAAAPAAEAWUEAAAAAAAAAAAECAFlBAAAAAAAAAAABAwBZQQAAAAAAAAAAAwQAWUEAAAAAAAAAAAQFAFlBAAAAAAAAAAAFBgBZQgIAAAAAAAAABgcAWUEAAAAAAAAAAAcDAFlCAwAAAAAAAAAGCABZQQAAAAAAAAAACAkAWUEAAAAAAAAAAAkKAFlBAAAAAAAAAAAKCwBZQQAAAAAAAAAACwwAWUEAAAAAAAAAAAwNAFlBAAAAAAAAAAANCABZQQAAAAAAAAAAAAAAAA=</t>
        </r>
      </text>
    </comment>
    <comment ref="A693" authorId="0" shapeId="0" xr:uid="{41B6CF24-4CEE-4280-83E7-50AC562BE9FE}">
      <text>
        <r>
          <rPr>
            <sz val="9"/>
            <color indexed="81"/>
            <rFont val="MS P ゴシック"/>
            <family val="3"/>
            <charset val="128"/>
          </rPr>
          <t>Insight iXlW00001C0000693R0585476093S00001384P01232LAocjBAQBF1NjaVRlZ2ljLmRhdGEuTW9sZWN1bGUBbwF/ARJTY2lUZWdpYy5Nb2xlY3VsZQAAAQFkAv5qAQAAAAIAAgEQGAAAAPz8APwAAgAAAAAAAPC/ApayDHGsi/k/AhWuR+F6FPk/AAAAABgAAAD8/AD8AAIAAAAAAADwvwLvOEVHcnkBQAITg8DKoUXoPwAAAAAYAAAA/PwA/AACAAAAAAAA8L8CbsX+snvyB0AC0gDeAgmK9T8AAAAAGAAAAPz8APwAAgAAAAAAAPC/AszuycNCLQZAAmPuWkI+6Km/AAAAABgAAAD8/AD8AAIAAAAAAADwvwJTBaOSOgH2PwJ+rrZif9nFPwAAAAAgAAAA/PwA/AACAAAAAAAA8L8C4lgXt9EA9j8Cf/s6cM6I6r8AAAAAHAAAAPz8APwAAgAAAAAAAPC/AhKlvcEXJts/AryWkA96NvK/AAAAABgAAAD8/AD8AAIAAAAAAADwvwKpE9BE2PDEvwL99nXgnBHVvwAAAAAcAAAA/PwA/AACAAAAAAAA8L8CEqW9wRcm2z8CMLsnDwu13j8AAAAAGAAAAPz8APwAAgAAAAAAAPC/AnUCmggbnvK/Av32deCcEdW/AAAAABgAAAD8/AD8AAIAAAAAAADwvwJ2ApoIG576vwIB3gIJih/zvwAAAAAYAAAA/PwA/AACAAAAAAAA8L8COwFNhA1PBcACAd4CCYof878AAAAAHAAAAPz8APwAAgAAAAAAAPC/AjsBTYQNTwnAAv32deCcEdW/AAAAABgAAAD8/AD8AAIAAAAAAADwvwI7AU2EDU8FwAIFxY8xdy3hPwAAAAAYAAAA/PwA/AACAAAAAAAA8L8CdgKaCBue+r8CBcWPMXct4T8AAAAAAREAAAD8/AD8AAIAAAAAAADwvwLUK2UZ4lgOQAKLjuTyH9LHPwAAAAABEAAEAWUEAAAAAAAAAAAECAFlBAAAAAAAAAAABAwBZQQAAAAAAAAAAAQQAWUEAAAAAAAAAAAQFAFlBAAAAAAAAAAAFBgBZQQAAAAAAAAAABgcAWUICAAAAAAAAAAcIAFlBAAAAAAAAAAAIBABZQgMAAAAAAAAABwkAWUEAAAAAAAAAAAkKAFlBAAAAAAAAAAAKCwBZQQAAAAAAAAAACwwAWUEAAAAAAAAAAAwNAFlBAAAAAAAAAAANDgBZQQAAAAAAAAAADgkAWUEAAAAAAAAAAAAAAAA</t>
        </r>
      </text>
    </comment>
    <comment ref="A694" authorId="0" shapeId="0" xr:uid="{5EABA379-DF9B-4D49-B734-0A6269408CC3}">
      <text>
        <r>
          <rPr>
            <sz val="9"/>
            <color indexed="81"/>
            <rFont val="MS P ゴシック"/>
            <family val="3"/>
            <charset val="128"/>
          </rPr>
          <t>Insight iXlW00001C0000694R0585476093S00001386P01232LAocjBAQBF1NjaVRlZ2ljLmRhdGEuTW9sZWN1bGUBbwF/ARJTY2lUZWdpYy5Nb2xlY3VsZQAAAQFkAv5qAQAAAAIAAgEQGAAAAPz8APwAAgAAAAAAAPC/ApSHhVrTvA3AAjEIrBxaZPG/AAAAABgAAAD8/AD8AAIAAAAAAADwvwJP0ZFc/kMHwAKjI7n8h/TfvwAAAAAYAAAA/PwA/AACAAAAAAAA8L8C0m9fB84ZCMACN6s+V1ux3z8AAAAAGAAAAPz8APwAAgAAAAAAAPC/AiigibDh6f+/Aq36XG3F/uy/AAAAABgAAAD8/AD8AAIAAAAAAADwvwKcM6K0N/jyvwI4+MJkqmDUvwAAAAAgAAAA/PwA/AACAAAAAAAA8L8CK4cW2c738r8C5IOezarP5T8AAAAAHAAAAPz8APwAAgAAAAAAAPC/Amu8dJMYBM6/AvtcbcX+su8/AAAAABgAAAD8/AD8AAIAAAAAAADwvwKxUGuad5zWPwKRD3o2qz7HPwAAAAAcAAAA/PwA/AACAAAAAAAA8L8Ca7x0kxgEzr8CFa5H4XoU5L8AAAAAGAAAAPz8APwAAgAAAAAAAPC/Ai3UmuYdp/U/AgmsHFpkO8c/AAAAABgAAAD8/AD8AAIAAAAAAADwvwIt1JrmHaf9PwI0orQ3+MLwPwAAAAAYAAAA/PwA/AACAAAAAAAA8L8CFmpN847TBkACNKK0N/jC8D8AAAAAGAAAAPz8APwAAgAAAAAAAPC/At6Th4Va0wpAApEPejarPsc/AAAAABgAAAD8/AD8AAIAAAAAAADwvwLek4eFWtMGQAKfPCzUmublvwAAAAAcAAAA/PwA/AACAAAAAAAA8L8CLdSa5h2n/T8CgZVDi2zn5b8AAAAAAREAAAD8/AD8AAIAAAAAAADwvwIi/fZ14JwQQAKyv+yePCyUvwAAAAABEAAEAWUEAAAAAAAAAAAECAFlBAAAAAAAAAAABAwBZQQAAAAAAAAAAAwQAWUEAAAAAAAAAAAQFAFlBAAAAAAAAAAAFBgBZQQAAAAAAAAAABgcAWUICAAAAAAAAAAcIAFlBAAAAAAAAAAAIBABZQgMAAAAAAAAACQcAWUEAAAAAAAAAAAkKAFlBAAAAAAAAAAAKCwBZQQAAAAAAAAAACwwAWUEAAAAAAAAAAAwNAFlBAAAAAAAAAAANDgBZQQAAAAAAAAAADgkAWUEAAAAAAAAAAAAAAAA</t>
        </r>
      </text>
    </comment>
    <comment ref="A695" authorId="0" shapeId="0" xr:uid="{D8975D58-E447-4A41-9689-781A152F9153}">
      <text>
        <r>
          <rPr>
            <sz val="9"/>
            <color indexed="81"/>
            <rFont val="MS P ゴシック"/>
            <family val="3"/>
            <charset val="128"/>
          </rPr>
          <t>Insight iXlW00001C0000695R0585476093S00001388P01232LAocjBAQBF1NjaVRlZ2ljLmRhdGEuTW9sZWN1bGUBbwF/ARJTY2lUZWdpYy5Nb2xlY3VsZQAAAQFkAv5qAQAAAAIAAgEQGAAAAPz8APwAAgAAAAAAAPC/ApayDHGsi/m/AhWuR+F6FPm/AAAAABgAAAD8/AD8AAIAAAAAAADwvwLvOEVHcnkBwAIxKqkT0ETovwAAAAAYAAAA/PwA/AACAAAAAAAA8L8CbsX+snvyB8AC0gDeAgmK9b8AAAAAGAAAAPz8APwAAgAAAAAAAPC/AszuycNCLQbAAmPuWkI+6Kk/AAAAABgAAAD8/AD8AAIAAAAAAADwvwJTBaOSOgH2vwJ+rrZif9nFvwAAAAAgAAAA/PwA/AACAAAAAAAA8L8C4lgXt9EA9r8Cf/s6cM6I6j8AAAAAHAAAAPz8APwAAgAAAAAAAPC/AhKlvcEXJtu/AryWkA96NvI/AAAAABgAAAD8/AD8AAIAAAAAAADwvwKpE9BE2PDEPwL99nXgnBHVPwAAAAAcAAAA/PwA/AACAAAAAAAA8L8CEqW9wRcm278CMLsnDwu13r8AAAAAGAAAAPz8APwAAgAAAAAAAPC/AnUCmggbnvI/Av32deCcEdU/AAAAABgAAAD8/AD8AAIAAAAAAADwvwJ2ApoIG576PwIB3gIJih/zPwAAAAAYAAAA/PwA/AACAAAAAAAA8L8COwFNhA1PBUACAd4CCYof8z8AAAAAGAAAAPz8APwAAgAAAAAAAPC/AjsBTYQNTwlAAv32deCcEdU/AAAAABgAAAD8/AD8AAIAAAAAAADwvwI7AU2EDU8FQAIFxY8xdy3hvwAAAAAcAAAA/PwA/AACAAAAAAAA8L8CdgKaCBue+j8CBcWPMXct4b8AAAAAAREAAAD8/AD8AAIAAAAAAADwvwKhZ7Pqc7UPQAKLjuTyH9LHvwAAAAABEAAEAWUEAAAAAAAAAAAECAFlBAAAAAAAAAAABAwBZQQAAAAAAAAAAAQQAWUEAAAAAAAAAAAQFAFlBAAAAAAAAAAAFBgBZQQAAAAAAAAAABgcAWUICAAAAAAAAAAcIAFlBAAAAAAAAAAAIBABZQgMAAAAAAAAACQcAWUEAAAAAAAAAAAkKAFlBAAAAAAAAAAAKCwBZQQAAAAAAAAAACwwAWUEAAAAAAAAAAAwNAFlBAAAAAAAAAAANDgBZQQAAAAAAAAAADgkAWUEAAAAAAAAAAAAAAAA</t>
        </r>
      </text>
    </comment>
    <comment ref="A696" authorId="0" shapeId="0" xr:uid="{07AF2CAA-CCA6-4C00-8EC0-7E0AFB278900}">
      <text>
        <r>
          <rPr>
            <sz val="9"/>
            <color indexed="81"/>
            <rFont val="MS P ゴシック"/>
            <family val="3"/>
            <charset val="128"/>
          </rPr>
          <t>Insight iXlW00001C0000696R0585476093S00001390P01180LAocjBAQBF1NjaVRlZ2ljLmRhdGEuTW9sZWN1bGUBbwF/ARJTY2lUZWdpYy5Nb2xlY3VsZQAAAQFkAv5qAQAAAAIAAjwYAAAA/PwA/AACAAAAAAAA8L8CLpCg+DFmCEACp3nHKTqS0z8AAAAAGAAAAPz8APwAAgAAAAAAAPC/Ai6QoPgxZgRAAqs+V1uxv/I/AAAAABgAAAD8/AD8AAIAAAAAAADwvwJcIEHxY8z4PwKrPldbsb/yPwAAAAAYAAAA/PwA/AACAAAAAAAA8L8CXCBB8WPM8D8Cp3nHKTqS0z8AAAAAHAAAAPz8APwAAgAAAAAAAPC/AlwgQfFjzPg/ArAD54wo7eG/AAAAABgAAAD8/AD8AAIAAAAAAADwvwIukKD4MWYEQAKwA+eMKO3hvwAAAAAYAAAA/PwA/AACAAAAAAAA8L8CeAskKH6MqT8Cp3nHKTqS0z8AAAAAHAAAAPz8APwAAgAAAAAAAPC/AryWkA96NuG/AvVKWYY41vE/AAAAACAAAAD8/AD8AAIAAAAAAADwvwL8OnDOiNL3vwLUvOMUHcnpPwAAAAAYAAAA/PwA/AACAAAAAAAA8L8Cbef7qfHS978CswxxrIvbyL8AAAAAHAAAAPz8APwAAgAAAAAAAPC/AryWkA96NuG/AkMc6+I2GuC/AAAAABgAAAD8/AD8AAIAAAAAAADwvwL8qfHSTWICwAK+wRcmUwXpvwAAAAAYAAAA/PwA/AACAAAAAAAA8L8C16NwPQpXCsACsJRliGNd7L8AAAAAGAAAAPz8APwAAgAAAAAAAPC/AjPEsS5uowXAAuM2GsBbIPu/AAAAAAERAAAA/PwA/AACAAAAAAAA8L8ClfYGX5jMDkACcPCFyVTB0L8AAAAAARAABAFlBAAAAAAAAAAABAgBZQQAAAAAAAAAAAgMAWUEAAAAAAAAAAAMEAFlBAAAAAAAAAAAEBQBZQQAAAAAAAAAABQAAWUEAAAAAAAAAAAMGAFlBAAAAAAAAAAAGBwBZQgMAAAAAAAAABwgAWUEAAAAAAAAAAAgJAFlBAAAAAAAAAAAJCgBZQgIAAAAAAAAACgYAWUEAAAAAAAAAAAkLAFlBAAAAAAAAAAALDABZQQAAAAAAAAAADA0AWUEAAAAAAAAAAA0LAFlBAAAAAAAAAAAAAAAAA==</t>
        </r>
      </text>
    </comment>
    <comment ref="A697" authorId="0" shapeId="0" xr:uid="{D5F4311E-F597-4508-AA4A-DFDCA6253FB5}">
      <text>
        <r>
          <rPr>
            <sz val="9"/>
            <color indexed="81"/>
            <rFont val="MS P ゴシック"/>
            <family val="3"/>
            <charset val="128"/>
          </rPr>
          <t>Insight iXlW00001C0000697R0585476093S00001392P01304LAocjBAQBF1NjaVRlZ2ljLmRhdGEuTW9sZWN1bGUBbwF/ARJTY2lUZWdpYy5Nb2xlY3VsZQAAAQFkAv5qAQAAAAIAAgERJAAAAPz8APwAAgAAAAAAAPC/AiZTBaOSOvK/AsgpOpLLf+6/AAAAABgAAAD8/AD8AAIAAAAAAADwvwLOqs/VVmwAwALswDkjSnvhvwAAAAAkAAAA/PwA/AACAAAAAAAA8L8CzO7Jw0KtA8AC6+I2GsBb978AAAAAJAAAAPz8APwAAgAAAAAAAPC/AtDVVuwvuwfAAsrDQq1p3sG/AAAAABgAAAD8/AD8AAIAAAAAAADwvwIuIR/0bFb6vwI51sVtNIDXPwAAAAAcAAAA/PwA/AACAAAAAAAA8L8C71pCPujZ5L8C4C2QoPgx3j8AAAAAGAAAAPz8APwAAgAAAAAAAPC/Aqk1zTtO0ZE/AgOaCBueXtG/AAAAABgAAAD8/AD8AAIAAAAAAADwvwKYbhKDwMrtPwJqb/CFyVTBPwAAAAAYAAAA/PwA/AACAAAAAAAA8L8CjpduEoPA/D8C2xt8YTJV5D8AAAAAGAAAAPz8APwAAgAAAAAAAPC/AiDSb18HTgVAAmpv8IXJVME/AAAAABwAAAD8/AD8AAIAAAAAAADwvwLo+6nx0k0FQAIm5IOezarrvwAAAAAYAAAA/PwA/AACAAAAAAAA8L8CjpduEoPA/D8CE/JBz2bV9b8AAAAAGAAAAPz8APwAAgAAAAAAAPC/AphuEoPAyu0/Aibkg57Nquu/AAAAABgAAAD8/AD8AAIAAAAAAADwvwKmm8QgsHLqPwKkAbwFEhTyPwAAAAAYAAAA/PwA/AACAAAAAAAA8L8CQs9m1edqw78CumsJ+aBn9T8AAAAAIAAAAPz8APwAAgAAAAAAAPC/AqwcWmQ73+G/At/gC5OpAgJAAAAAAAERAAAA/PwA/AACAAAAAAAA8L8ChzjWxW20C0ACpb3BFyZT2T8AAAAAAREABAFlBAAAAAAAAAAABAgBZQQAAAAAAAAAAAQMAWUEAAAAAAAAAAAEEAFlBAAAAAAAAAAAEBQBZQQAAAAAAAAAABQYAWUEAAAAAAAAAAAYHAFlBAAAAAAAAAAAHCABZQQAAAAAAAAAACAkAWUEAAAAAAAAAAAkKAFlBAAAAAAAAAAAKCwBZQQAAAAAAAAAACwwAWUEAAAAAAAAAAAwHAFlBAAAAAAAAAAAHDQBZQQAAAAAAAAAADQ4AWUEAAAAAAAAAAA4FAFlBAAAAAAAAAAAODwBZQgAAAAAAAAAAAAAAAA=</t>
        </r>
      </text>
    </comment>
    <comment ref="A698" authorId="0" shapeId="0" xr:uid="{D9710D2C-67D0-4098-8F67-4ED343A89299}">
      <text>
        <r>
          <rPr>
            <sz val="9"/>
            <color indexed="81"/>
            <rFont val="MS P ゴシック"/>
            <family val="3"/>
            <charset val="128"/>
          </rPr>
          <t>Insight iXlW00001C0000698R0585476093S00001394P01104LAocjBAQBF1NjaVRlZ2ljLmRhdGEuTW9sZWN1bGUBbwF/ARJTY2lUZWdpYy5Nb2xlY3VsZQAAAQFkAv5qAQAAAAIAAjgYAAAA/PwA/AACAAAAAAAA8L8CL90kBoGV978CV32utmJ/wb8AAAAAGAAAAPz8APwAAgAAAAAAAPC/ArkehetRuALAAlafq63YX+S/AAAAABwAAAD8/AD8AAIAAAAAAADwvwLb+X5qvHTjvwJVMCqpE9D1PwAAAAAYAAAA/PwA/AACAAAAAAAA8L8C2/l+arx0478CVp+rrdhf5L8AAAAAIAAAAPz8APwAAgAAAAAAAPC/Akhy+Q/ptwlAAsZtNIC3QOI/AAAAACAAAAD8/AD8AAIAAAAAAADwvwK5HoXrUbgCwAKrz9VW7C/6vwAAAAAYAAAA/PwA/AACAAAAAAAA8L8CUI2XbhKD0D8CV32utmJ/wb8AAAAAIAAAAPz8APwAAgAAAAAAAPC/AgfwFkhQ/PE/Alafq63YX+S/AAAAABgAAAD8/AD8AAIAAAAAAADwvwJJUPwYc9f/PwJXfa62Yn/BvwAAAAAYAAAA/PwA/AACAAAAAAAA8L8CL90kBoGV978Cq2BUUieg6z8AAAAAIAAAAPz8APwAAgAAAAAAAPC/AtnO91PjpQnAAld9rrZif8G/AAAAABgAAAD8/AD8AAIAAAAAAADwvwJQjZduEoPQPwKrYFRSJ6DrPwAAAAAYAAAA/PwA/AACAAAAAAAA8L8C2c73U+OlB0ACHVpkO99P2b8AAAAAGAAAAPz8APwAAgAAAAAAAPC/ApLLf0i//QFAAn/7OnDOiOo/AAAAADwEAAFlBAAAAAAAAAAACCQBZQQAAAAAAAAAAAwAAWUEAAAAAAAAAAAQNAFlBAAAAAAAAAAAFAQBZQgAAAAAAAAAABgMAWUIDAAAAAAAAAAcGAFlBAAAAAAAAAAAIBwBZQQAAAAAAAAAACQAAWUIDAAAAAAAAAAoBAFlBAAAAAAAAAAALAgBZQgIAAAAAAAAADAgAWUEAAAAAAAAAAA0IAFlBAAAAAAAAAAAGCwBZQQAAAAAAAAAADAQAWUEAAAAAAAAAAAAAAAA</t>
        </r>
      </text>
    </comment>
    <comment ref="A699" authorId="0" shapeId="0" xr:uid="{532D19C7-42EC-4DE8-B165-03A14F63A51B}">
      <text>
        <r>
          <rPr>
            <sz val="9"/>
            <color indexed="81"/>
            <rFont val="MS P ゴシック"/>
            <family val="3"/>
            <charset val="128"/>
          </rPr>
          <t>Insight iXlW00001C0000699R0585476093S00001396P01236LAocjBAQBF1NjaVRlZ2ljLmRhdGEuTW9sZWN1bGUBbwF/ARJTY2lUZWdpYy5Nb2xlY3VsZQAAAQFkAv5qAQAAAAIAAgEQHAAAAPz8APwAAgAAAAAAAPC/AuJ6FK5H4cK/AkcDeAskKOg/AAAAABgAAAD8/AD8AAIAAAAAAADwvwIJrBxaZDvtvwKKsOHplbK8PwAAAAAYAAAA/PwA/AACAAAAAAAA8L8C4noUrkfhwr8CJZf/kH774L8AAAAAGAAAAPz8APwAAgAAAAAAAPC/AraEfNCzWek/AmWqYFRSJ8i/AAAAABgAAAD8/AD8AAIAAAAAAADwvwLVmuYdp+juPwIoDwu1pnnpPwAAAAAYAAAA/PwA/AACAAAAAAAA8L8CIh/0bFZ9/j8C2j15WKg18j8AAAAAGAAAAPz8APwAAgAAAAAAAPC/AuXyH9JvXwVAAvtcbcX+st8/AAAAABgAAAD8/AD8AAIAAAAAAADwvwJdbcX+svsDQAKIFtnO91PfvwAAAAAYAAAA/PwA/AACAAAAAAAA8L8CdLUV+8vu+D8Cz/dT46Wb6r8AAAAAASMAAAD8/AD8AAIAAAAAAADwvwJlqmBUUif2PwLImLuWkA/9vwAAAAAYAAAA/PwA/AACAAAAAAAA8L8CBFYOLbKd9r8CcoqO5PIf6L8AAAAAGAAAAPz8APwAAgAAAAAAAPC/AgIrhxbZTgPAAnKKjuTyH+i/AAAAACAAAAD8/AD8AAIAAAAAAADwvwICK4cW2U4HwAKKsOHplbK8PwAAAAAYAAAA/PwA/AACAAAAAAAA8L8CAiuHFtlOA8AClfYGX5hM7z8AAAAAGAAAAPz8APwAAgAAAAAAAPC/AgRWDi2ynfa/ApX2Bl+YTO8/AAAAAAERAAAA/PwA/AACAAAAAAAA8L8CS1mGONbFC0AC3bWEfNCz1b8AAAAAARAABAFlBAAAAAAAAAAABAgBZQQAAAAAAAAAAAgMAWUEAAAAAAAAAAAMEAFlCAwAAAAAAAAAEBQBZQQAAAAAAAAAABQYAWUICAAAAAAAAAAYHAFlBAAAAAAAAAAAHCABZQgIAAAAAAAAACAMAWUEAAAAAAAAAAAgJAFlBAAAAAAAAAAABCgBZQQAAAAAAAAAACgsAWUEAAAAAAAAAAAsMAFlBAAAAAAAAAAAMDQBZQQAAAAAAAAAADQ4AWUEAAAAAAAAAAA4BAFlBAAAAAAAAAAAAAAAAA==</t>
        </r>
      </text>
    </comment>
    <comment ref="A700" authorId="0" shapeId="0" xr:uid="{6A32CED9-170C-4F15-8E85-BD7ABA4B3813}">
      <text>
        <r>
          <rPr>
            <sz val="9"/>
            <color indexed="81"/>
            <rFont val="MS P ゴシック"/>
            <family val="3"/>
            <charset val="128"/>
          </rPr>
          <t>Insight iXlW00001C0000700R0585476093S00001398P01248LAocjBAQBF1NjaVRlZ2ljLmRhdGEuTW9sZWN1bGUBbwF/ARJTY2lUZWdpYy5Nb2xlY3VsZQAAAQFkAv5qAQAAAAIAAgEQGAAAAPz8APwAAgAAAAAAAPC/ApPLf0i/feu/AiigibDh6ZU/AAAAABgAAAD8/AD8AAIAAAAAAADwvwJkzF1LyAf4vwJPQBNhw9PnvwAAAAAYAAAA/PwA/AACAAAAAAAA8L8Cc/kP6bevy78CT0ATYcPT578AAAAAIAAAAPz8APwAAgAAAAAAAPC/Ah8Wak3zjvK/At9xio7k8vq/AAAAACAAAAD8/AD8AAIAAAAAAADwvwKTy39Iv33rvwJBE2HD0ysAQAAAAAAgAAAA/PwA/AACAAAAAAAA8L8CorQ3+MLkA8ACE4PAyqFF4r8AAAAAGAAAAPz8APwAAgAAAAAAAPC/AmU730+Nl+g/AhODwMqhReK/AAAAABgAAAD8/AD8AAIAAAAAAADwvwJteHqlLEN8PwIBTYQNT6/gPwAAAAAYAAAA/PwA/AACAAAAAAAA8L8CC0YldQKa+78CAU2EDU+v4D8AAAAAGAAAAPz8APwAAgAAAAAAAPC/AgtGJXUCmvu/AoEmwoanV/g/AAAAABgAAAD8/AD8AAIAAAAAAADwvwJteHqlLEN8PwKBJsKGp1f4PwAAAAAYAAAA/PwA/AACAAAAAAAA8L8CTYQNT6+U9j8CMQisHFpk9b8AAAAAGAAAAPz8APwAAgAAAAAAAPC/AvhT46WbxPE/ArhAguLHmNc/AAAAABgAAAD8/AD8AAIAAAAAAADwvwJseHqlLMMAQAKY3ZOHhVrhPwAAAAAYAAAA/PwA/AACAAAAAAAA8L8Cl5APejYrA0ACIv32deCc8r8AAAAAGAAAAPz8APwAAgAAAAAAAPC/ArprCfmg5wVAAuC+Dpwzosy/AAAAAAERBAABZQQAAAAAAAAAAAgAAWUEAAAAAAAAAAAMBAFlCAAAAAAAAAAAECQBZQQAAAAAAAAAABQEAWUEAAAAAAAAAAAYCAFlBAAAAAAAAAAAHAABZQQAAAAAAAAAACAAAWUEAAAAAAAAAAAkIAFlBAAAAAAAAAAAKBwBZQQAAAAAAAAAACwYAWUEAAAAAAAAAAAwGAFlCAwAAAAAAAAANDABZQQAAAAAAAAAADgsAWUICAAAAAAAAAA8NAFlCAgAAAAAAAAAKBABZQQAAAAAAAAAADg8AWUEAAAAAAAAAAAAAAAA</t>
        </r>
      </text>
    </comment>
    <comment ref="A701" authorId="0" shapeId="0" xr:uid="{E12D55A0-91E2-42F5-A65D-1C4E1E733DE0}">
      <text>
        <r>
          <rPr>
            <sz val="9"/>
            <color indexed="81"/>
            <rFont val="MS P ゴシック"/>
            <family val="3"/>
            <charset val="128"/>
          </rPr>
          <t>Insight iXlW00001C0000701R0585476093S00001400P01324LAocjBAQBF1NjaVRlZ2ljLmRhdGEuTW9sZWN1bGUBbwF/ARJTY2lUZWdpYy5Nb2xlY3VsZQAAAQFkAv5qAQAAAAIAAgERGAAAAPz8APwAAgAAAAAAAPC/Ahsv3SQGge2/AnDOiNLe4MM/AAAAABgAAAD8/AD8AAIAAAAAAADwvwIofoy5awn5vwK0WfW52orjvwAAAAAYAAAA/PwA/AACAAAAAAAA8L8CysNCrWne0b8CtFn1udqK478AAAAAGAAAAPz8APwAAgAAAAAAAPC/AtzXgXNGlOY/AvA4RUdy+du/AAAAACAAAAD8/AD8AAIAAAAAAADwvwLjx5i7lpDzvwKRfvs6cM74vwAAAAAYAAAA/PwA/AACAAAAAAAA8L8CidLe4AuT9T8C5BQdyeU/878AAAAAIAAAAPz8APwAAgAAAAAAAPC/Ahsv3SQGge2/AueMKO0NPgFAAAAAACAAAAD8/AD8AAIAAAAAAADwvwKFDU+vlGUEwALwOEVHcvnbvwAAAAABIwAAAPz8APwAAgAAAAAAAPC/AtJvXwfOGfA/Ak7zjlN0JAHAAAAAABgAAAD8/AD8AAIAAAAAAADwvwLP91PjpZv8vwKcM6K0N/jkPwAAAAAYAAAA/PwA/AACAAAAAAAA8L8CeekmMQisrL8CnDOitDf45D8AAAAAGAAAAPz8APwAAgAAAAAAAPC/AjSitDf4wvA/AvcGX5hMFeA/AAAAABgAAAD8/AD8AAIAAAAAAADwvwLP91PjpZv8vwLOGVHaG3z6PwAAAAAYAAAA/PwA/AACAAAAAAAA8L8CeekmMQisrL8CzhlR2ht8+j8AAAAAGAAAAPz8APwAAgAAAAAAAPC/ArU3+MJkqgJAAtUJaCJsePC/AAAAABgAAAD8/AD8AAIAAAAAAADwvwKKH2PuWkIAQAIVHcnlP6TlPwAAAAAYAAAA/PwA/AACAAAAAAAA8L8C2BLyQc9mBUAC2IFzRpT2tr8AAAAAARIEAAFlBAAAAAAAAAAACAABZQQAAAAAAAAAAAwIAWUEAAAAAAAAAAAQBAFlCAAAAAAAAAAAFAwBZQQAAAAAAAAAABg0AWUEAAAAAAAAAAAcBAFlBAAAAAAAAAAAIBQBZQQAAAAAAAAAACQAAWUEAAAAAAAAAAAoAAFlBAAAAAAAAAAALAwBZQgMAAAAAAAAADAkAWUEAAAAAAAAAAA0KAFlBAAAAAAAAAAAOBQBZQgIAAAAAAAAADwsAWUEAAAAAAAAAAABEDwBZQgIAAAAAAAAADAYAWUEAAAAAAAAAAA4ARABZQQAAAAAAAAAAAAAAAA=</t>
        </r>
      </text>
    </comment>
    <comment ref="A702" authorId="0" shapeId="0" xr:uid="{2438E6EE-5A62-4BF3-ABEF-76B785E39A84}">
      <text>
        <r>
          <rPr>
            <sz val="9"/>
            <color indexed="81"/>
            <rFont val="MS P ゴシック"/>
            <family val="3"/>
            <charset val="128"/>
          </rPr>
          <t>Insight iXlW00001C0000702R0585476093S00001402P00948LAocjBAQBF1NjaVRlZ2ljLmRhdGEuTW9sZWN1bGUBbwF/ARJTY2lUZWdpYy5Nb2xlY3VsZQAAAQFkAv5qAQAAAAIAAjAYAAAA/PwA/AACAAAAAAAA8L8CUwWjkjoBxb8CwhcmUwWjkr8AAAAAGAAAAPz8APwAAgAAAAAAAPC/AouO5PIf0um/AvAWSFD8GOm/AAAAACAAAAD8/AD8AAIAAAAAAADwvwL/Q/rt68DdvwIv3SQGgZX7vwAAAAAgAAAA/PwA/AACAAAAAAAA8L8CUwWjkjoBxb8CoWez6nO1/z8AAAAAIAAAAPz8APwAAgAAAAAAAPC/Aibkg57Nqvy/AtIA3gIJiuO/AAAAABgAAAD8/AD8AAIAAAAAAADwvwLCFyZTBaPePwLwFkhQ/BjpvwAAAAAYAAAA/PwA/AACAAAAAAAA8L8CL/8h/fZ15j8ChJ7Nqs/V3j8AAAAAGAAAAPz8APwAAgAAAAAAAPC/AuzAOSNKe/C/AoSezarP1d4/AAAAACAAAAD8/AD8AAIAAAAAAADwvwLRItv5fmr3PwLSAN4CCYrjvwAAAAAYAAAA/PwA/AACAAAAAAAA8L8C7MA5I0p78L8CoWez6nO19z8AAAAAGAAAAPz8APwAAgAAAAAAAPC/Ai//If32deY/AqFns+pztfc/AAAAABgAAAD8/AD8AAIAAAAAAADwvwK2hHzQs9kAQAKCc0aU9gb2vwAAAAAwBAABZQQAAAAAAAAAAAgEAWUIAAAAAAAAAAAMJAFlBAAAAAAAAAAAEAQBZQQAAAAAAAAAABQAAWUEAAAAAAAAAAAYAAFlBAAAAAAAAAAAHAABZQQAAAAAAAAAACAUAWUEAAAAAAAAAAAkHAFlBAAAAAAAAAAAKBgBZQQAAAAAAAAAACwgAWUEAAAAAAAAAAAMKAFlBAAAAAAAAAAAAAAAAA==</t>
        </r>
      </text>
    </comment>
    <comment ref="A703" authorId="0" shapeId="0" xr:uid="{1A830994-1626-48F5-9702-2EA5FEE6EC12}">
      <text>
        <r>
          <rPr>
            <sz val="9"/>
            <color indexed="81"/>
            <rFont val="MS P ゴシック"/>
            <family val="3"/>
            <charset val="128"/>
          </rPr>
          <t>Insight iXlW00001C0000703R0585476093S00001404P01104LAocjBAQBF1NjaVRlZ2ljLmRhdGEuTW9sZWN1bGUBbwF/ARJTY2lUZWdpYy5Nb2xlY3VsZQAAAQFkAv5qAQAAAAIAAjgYAAAA/PwA/AACAAAAAAAA8L8CZvfkYaHW4L8ClfYGX5hMlb8AAAAAGAAAAPz8APwAAgAAAAAAAPC/Ak5iEFg5tPK/Aucdp+hILum/AAAAABgAAAD8/AD8AAIAAAAAAADwvwJt5/up8dK9PwLnHafoSC7pvwAAAAAgAAAA/PwA/AACAAAAAAAA8L8CEVg5tMh26r8COrTIdr6f+78AAAAAIAAAAPz8APwAAgAAAAAAAPC/Amb35GGh1uC/Aibkg57Nqv8/AAAAACAAAAD8/AD8AAIAAAAAAADwvwKX/5B++zoBwALJBz2bVZ/jvwAAAAAYAAAA/PwA/AACAAAAAAAA8L8CV1uxv+ye8T8CyQc9m1Wf478AAAAAGAAAAPz8APwAAgAAAAAAAPC/AjqSy39Iv9U/ApeQD3o2q94/AAAAABgAAAD8/AD8AAIAAAAAAADwvwL129eBc0b2vwKXkA96NqvePwAAAAAYAAAA/PwA/AACAAAAAAAA8L8C+aBns+rzA0ACSp2AJsKG178AAAAAGAAAAPz8APwAAgAAAAAAAPC/AvXb14FzRva/Aibkg57Nqvc/AAAAABgAAAD8/AD8AAIAAAAAAADwvwI6kst/SL/VPwIm5IOezar3PwAAAAAYAAAA/PwA/AACAAAAAAAA8L8CXCBB8WPM+j8Cku18PzVeyj8AAAAAGAAAAPz8APwAAgAAAAAAAPC/Au58PzVeuv4/AulILv8h/fK/AAAAADwEAAFlBAAAAAAAAAAACAABZQQAAAAAAAAAAAwEAWUIAAAAAAAAAAAQKAFlBAAAAAAAAAAAFAQBZQQAAAAAAAAAABgIAWUEAAAAAAAAAAAcAAFlBAAAAAAAAAAAIAABZQQAAAAAAAAAACQ0AWUEAAAAAAAAAAAoIAFlBAAAAAAAAAAALBwBZQQAAAAAAAAAADAYAWUEAAAAAAAAAAA0GAFlBAAAAAAAAAAALBABZQQAAAAAAAAAADAkAWUEAAAAAAAAAAAAAAAA</t>
        </r>
      </text>
    </comment>
    <comment ref="A704" authorId="0" shapeId="0" xr:uid="{D1750D1D-1040-440C-A276-BA66407D410E}">
      <text>
        <r>
          <rPr>
            <sz val="9"/>
            <color indexed="81"/>
            <rFont val="MS P ゴシック"/>
            <family val="3"/>
            <charset val="128"/>
          </rPr>
          <t>Insight iXlW00001C0000704R0585476093S00001406P00860LAocjBAQBF1NjaVRlZ2ljLmRhdGEuTW9sZWN1bGUBbwF/ARJTY2lUZWdpYy5Nb2xlY3VsZQAAAQFkAv5qAQAAAAIAAiwYAAAA/PwA/AACAAAAAAAA8L8CxLEubqMBBEACS+oENBE26r8AAAAAIAAAAPz8APwAAgAAAAAAAPC/AuGcEaW9wfs/AlR0JJf/kMa/AAAAABgAAAD8/AD8AAIAAAAAAADwvwJTliGOdXHpPwKC4seYu5bgvwAAAAAYAAAA/PwA/AACAAAAAAAA8L8CGQRWDi2ynT8CnFWfq63Yvz8AAAAAHAAAAPz8APwAAgAAAAAAAPC/AlOWIY51cek/Aum3rwPnjOg/AAAAABgAAAD8/AD8AAIAAAAAAADwvwK/nxov3STevwLQ1VbsL7vnvwAAAAAYAAAA/PwA/AACAAAAAAAA8L8C8KfGSzeJ978C0NVW7C+7578AAAAAIAAAAPz8APwAAgAAAAAAAPC/AvCnxks3if+/ApxVn6ut2L8/AAAAABgAAAD8/AD8AAIAAAAAAADwvwLwp8ZLN4n3vwI3qz5XW7HvPwAAAAAYAAAA/PwA/AACAAAAAAAA8L8Cv58aL90k3r8CN6s+V1ux7z8AAAAAAREAAAD8/AD8AAIAAAAAAADwvwIrGJXUCWgKQAI4Z0Rpb/C1PwAAAAAoAAQBZQQAAAAAAAAAAAQIAWUEAAAAAAAAAAAIDAFlBAAAAAAAAAAADBABZQQAAAAAAAAAAAwUAWUEAAAAAAAAAAAUGAFlBAAAAAAAAAAAGBwBZQQAAAAAAAAAABwgAWUEAAAAAAAAAAAgJAFlBAAAAAAAAAAAJAwBZQQAAAAAAAAAAAAAAAA=</t>
        </r>
      </text>
    </comment>
    <comment ref="A705" authorId="0" shapeId="0" xr:uid="{FB402AAD-783C-4985-A920-7051AA48FFD6}">
      <text>
        <r>
          <rPr>
            <sz val="9"/>
            <color indexed="81"/>
            <rFont val="MS P ゴシック"/>
            <family val="3"/>
            <charset val="128"/>
          </rPr>
          <t>Insight iXlW00001C0000705R0585476093S00001408P00892LAocjBAQBF1NjaVRlZ2ljLmRhdGEuTW9sZWN1bGUBbwF/ARJTY2lUZWdpYy5Nb2xlY3VsZQAAAQFkAv5qAQAAAAIAAiwYAAAA/PwA/AACAAAAAAAA8L8CQz7o2az69z8CNe84RUdy0b8AAAAAGAAAAPz8APwAAgAAAAAAAPC/AubQItv5fsq/AgAi/fZ14Jw/AAAAABgAAAD8/AD8AAIAAAAAAADwvwKS7Xw/Nd4DQAKuad5xio7cvwAAAAAYAAAA/PwA/AACAAAAAAAA8L8CbxKDwMohAUACayv2l92T3z8AAAAAGAAAAPz8APwAAgAAAAAAAPC/Avkx5q4l5OE/Aibkg57NquO/AAAAACAAAAD8/AD8AAIAAAAAAADwvwIPLbKd76cBwAIAIv32deCcPwAAAAAcAAAA/PwA/AACAAAAAAAA8L8C+THmriXk4T8CRrbz/dR45T8AAAAAGAAAAPz8APwAAgAAAAAAAPC/Ajq0yHa+n+a/AnPXEvJBz+q/AAAAABgAAAD8/AD8AAIAAAAAAADwvwI6tMh2vp/mvwKTqYJRSZ3sPwAAAAAYAAAA/PwA/AACAAAAAAAA8L8CHVpkO99P+78Cc9cS8kHP6r8AAAAAGAAAAPz8APwAAgAAAAAAAPC/Ah1aZDvfT/u/ApOpglFJnew/AAAAADAEEAFlBAAAAAAAAAAACAABZQQAAAAAAAAAAAwAAWUEAAAAAAAAAAAQAAFlBAAAAAAAAAAAFCgBZQQAAAAAAAAAABgEAWUEAAAAAAAAAAAcBAFlBAAAAAAAAAAAIAQBZQQAAAAAAAAAACQcAWUEAAAAAAAAAAAoIAFlBAAAAAAAAAAADAgBZQQAAAAAAAAAACQUAWUEAAAAAAAAAAAAAAAA</t>
        </r>
      </text>
    </comment>
    <comment ref="A706" authorId="0" shapeId="0" xr:uid="{2C8833B4-62BC-43D6-9CEC-FE259D22A2A0}">
      <text>
        <r>
          <rPr>
            <sz val="9"/>
            <color indexed="81"/>
            <rFont val="MS P ゴシック"/>
            <family val="3"/>
            <charset val="128"/>
          </rPr>
          <t>Insight iXlW00001C0000706R0585476093S00001410P00932LAocjBAQBF1NjaVRlZ2ljLmRhdGEuTW9sZWN1bGUBbwF/ARJTY2lUZWdpYy5Nb2xlY3VsZQAAAQFkAv5qAQAAAAIAAjAYAAAA/PwA/AACAAAAAAAA8L8CBOeMKO2NA0ACOwFNhA1P778AAAAAIAAAAPz8APwAAgAAAAAAAPC/AmAHzhlR2vo/AgpoImx4etW/AAAAABgAAAD8/AD8AAIAAAAAAADwvwJRa5p3nKLnPwKQoPgx5q7lvwAAAAAYAAAA/PwA/AACAAAAAAAA8L8CKVyPwvUonL8CqTXNO07Rob8AAAAAGAAAAPz8APwAAgAAAAAAAPC/AlFrmnecouc/AvmgZ7Pqc+M/AAAAABwAAAD8/AD8AAIAAAAAAADwvwIzVTAqqRPiPwLOGVHaG3z5PwAAAAAYAAAA/PwA/AACAAAAAAAA8L8C4noUrkfh4L8C3pOHhVrT7L8AAAAAGAAAAPz8APwAAgAAAAAAAPC/AnE9CtejcPi/At6Th4Va0+y/AAAAACAAAAD8/AD8AAIAAAAAAADwvwK5HoXrUTgAwAKpNc07TtGhvwAAAAAYAAAA/PwA/AACAAAAAAAA8L8CcT0K16Nw+L8CKe0NvjCZ6j8AAAAAGAAAAPz8APwAAgAAAAAAAPC/AuJ6FK5H4eC/AintDb4wmeo/AAAAAAERAAAA/PwA/AACAAAAAAAA8L8Cak3zjlP0CUACYjJVMCqp0z8AAAAALAAEAWUEAAAAAAAAAAAECAFlBAAAAAAAAAAACAwBZQQAAAAAAAAAAAwQAWUEAAAAAAAAAAAQFAFlBAAAAAAAAAAADBgBZQQAAAAAAAAAABgcAWUEAAAAAAAAAAAcIAFlBAAAAAAAAAAAICQBZQQAAAAAAAAAACQoAWUEAAAAAAAAAAAoDAFlBAAAAAAAAAAAAAAAAA==</t>
        </r>
      </text>
    </comment>
    <comment ref="A707" authorId="0" shapeId="0" xr:uid="{D4E0F064-3BA3-41CE-8985-7185FFADBDAC}">
      <text>
        <r>
          <rPr>
            <sz val="9"/>
            <color indexed="81"/>
            <rFont val="MS P ゴシック"/>
            <family val="3"/>
            <charset val="128"/>
          </rPr>
          <t>Insight iXlW00001C0000707R0585476093S00001412P01304LAocjBAQBF1NjaVRlZ2ljLmRhdGEuTW9sZWN1bGUBbwF/ARJTY2lUZWdpYy5Nb2xlY3VsZQAAAQFkAv5qAQAAAAIAAgERHAAAAPz8APwAAgAAAAAAAPC/AqLWNO84RdO/Ag6+MJkqGPo/AAAAABgAAAD8/AD8AAIAAAAAAADwvwLKVMGopE7AvwJbQj7o2azkPwAAAAAYAAAA/PwA/AACAAAAAAAA8L8Cg+LHmLuW7L8CRiV1ApoIaz8AAAAAGAAAAPz8APwAAgAAAAAAAPC/AspUwaikTsC/AhFYObTIduS/AAAAABgAAAD8/AD8AAIAAAAAAADwvwI8TtGRXP7pPwJGJXUCmgjTvwAAAAAYAAAA/PwA/AACAAAAAAAA8L8CeAskKH6M7z8CPE7RkVz+5T8AAAAAGAAAAPz8APwAAgAAAAAAAPC/AnTXEvJBz/4/AtUJaCJsePA/AAAAABgAAAD8/AD8AAIAAAAAAADwvwJGJXUCmogFQALnjCjtDb7YPwAAAAAYAAAA/PwA/AACAAAAAAAA8L8Cv58aL90kBEACTvOOU3Qk478AAAAAGAAAAPz8APwAAgAAAAAAAPC/AsZtNIC3QPk/Atlfdk8eFu6/AAAAAAEjAAAA/PwA/AACAAAAAAAA8L8CKA8LtaZ59j8CzczMzMzM/r8AAAAAGAAAAPz8APwAAgAAAAAAAPC/AkHxY8xdS/a/Al5LyAc9m+u/AAAAABgAAAD8/AD8AAIAAAAAAADwvwKh+DHmriUDwAJeS8gHPZvrvwAAAAAgAAAA/PwA/AACAAAAAAAA8L8Cofgx5q4lB8ACRiV1ApoIaz8AAAAAGAAAAPz8APwAAgAAAAAAAPC/AqH4MeauJQPAAqk1zTtO0es/AAAAABgAAAD8/AD8AAIAAAAAAADwvwJB8WPMXUv2vwKpNc07TtHrPwAAAAABEQAAAPz8APwAAgAAAAAAAPC/Aq2L22gA7wtAAsDsnjws1MK/AAAAAAERAAQBZQQAAAAAAAAAAAQIAWUEAAAAAAAAAAAIDAFlBAAAAAAAAAAADBABZQQAAAAAAAAAABAUAWUIDAAAAAAAAAAUGAFlBAAAAAAAAAAAGBwBZQgIAAAAAAAAABwgAWUEAAAAAAAAAAAgJAFlCAgAAAAAAAAAJBABZQQAAAAAAAAAACQoAWUEAAAAAAAAAAAILAFlBAAAAAAAAAAALDABZQQAAAAAAAAAADA0AWUEAAAAAAAAAAA0OAFlBAAAAAAAAAAAODwBZQQAAAAAAAAAADwIAWUEAAAAAAAAAAAAAAAA</t>
        </r>
      </text>
    </comment>
    <comment ref="A708" authorId="0" shapeId="0" xr:uid="{7D5B24C3-17F9-4AAA-8496-1A61E65DC672}">
      <text>
        <r>
          <rPr>
            <sz val="9"/>
            <color indexed="81"/>
            <rFont val="MS P ゴシック"/>
            <family val="3"/>
            <charset val="128"/>
          </rPr>
          <t>Insight iXlW00001C0000708R0585476093S00001414P00716LAocjBAQBF1NjaVRlZ2ljLmRhdGEuTW9sZWN1bGUBbwF/ARJTY2lUZWdpYy5Nb2xlY3VsZQAAAQFkAv5qAQAAAAIAAiQYAAAA/PwA/AACAAAAAAAA8L8C8fRKWYY47r8CmbuWkA960j8AAAAAGAAAAPz8APwAAgAAAAAAAPC/AuLplbIMcdy/Apm7lpAPeuK/AAAAABgAAAD8/AD8AAIAAAAAAADwvwIPC7WmecfhPwKZu5aQD3rivwAAAAAcAAAA/PwA/AACAAAAAAAA8L8CiIVa07zj8D8CmbuWkA960j8AAAAAJAAAAPz8APwAAgAAAAAAAPC/AiuHFtnO9/y/As+I0t7gC8u/AAAAACQAAAD8/AD8AAIAAAAAAADwvwJ5eqUsQxz3vwIoDwu1pnnyPwAAAAAkAAAA/PwA/AACAAAAAAAA8L8CbqMBvAUStL8CzV1LyAc96T8AAAAAHAAAAPz8APwAAgAAAAAAAPC/AoiFWtO84/A/Ag6+MJkqGPe/AAAAACAAAAD8/AD8AAIAAAAAAADwvwLEQq1p3nEAQAKZu5aQD3rSPwAAAAAgBAABZQQAAAAAAAAAAAgEAWUEAAAAAAAAAAAMCAFlCAwAAAAAAAAAEAABZQQAAAAAAAAAABQAAWUEAAAAAAAAAAAYAAFlBAAAAAAAAAAAHAgBZQQAAAAAAAAAACAMAWUEAAAAAAAAAAAAAAAA</t>
        </r>
      </text>
    </comment>
    <comment ref="A709" authorId="0" shapeId="0" xr:uid="{A7B80C70-8E71-424C-8DCF-26554AD58225}">
      <text>
        <r>
          <rPr>
            <sz val="9"/>
            <color indexed="81"/>
            <rFont val="MS P ゴシック"/>
            <family val="3"/>
            <charset val="128"/>
          </rPr>
          <t>Insight iXlW00001C0000709R0585476093S00001416P01248LAocjBAQBF1NjaVRlZ2ljLmRhdGEuTW9sZWN1bGUBbwF/ARJTY2lUZWdpYy5Nb2xlY3VsZQAAAQFkAv5qAQAAAAIAAgEQHAAAAPz8APwAAgAAAAAAAPC/AkzIBz2bVY8/AmAHzhlR2ts/AAAAABgAAAD8/AD8AAIAAAAAAADwvwJd/kP67evuPwLdRgN4CyTAPwAAAAAYAAAA/PwA/AACAAAAAAAA8L8CUrgehetR4r8CzqrP1Vbs178AAAAAHAAAAPz8APwAAgAAAAAAAPC/AkzIBz2bVY8/ArAD54wo7fK/AAAAACAAAAD8/AD8AAIAAAAAAADwvwJd/kP67evuPwJn1edqK/brvwAAAAAYAAAA/PwA/AACAAAAAAAA8L8CKxiV1Alo/D8CKqkT0ETY5j8AAAAAGAAAAPz8APwAAgAAAAAAAPC/Ailcj8L1KPm/As6qz9VW7Ne/AAAAACAAAAD8/AD8AAIAAAAAAADwvwKyLm6jAbz6PwJMyAc9m1X7PwAAAAAcAAAA/PwA/AACAAAAAAAA8L8CFa5H4XqUDMACzqrP1Vbs178AAAAAIAAAAPz8APwAAgAAAAAAAPC/Ahi30QDeggVAAp6AJsKGp9M/AAAAABgAAAD8/AD8AAIAAAAAAADwvwIVrkfhepQIwAL1SlmGONbzvwAAAAAYAAAA/PwA/AACAAAAAAAA8L8CFa5H4XqUCMACOdbFbTSA3z8AAAAAGAAAAPz8APwAAgAAAAAAAPC/AhWuR+F6lADAAvVKWYY41vO/AAAAABgAAAD8/AD8AAIAAAAAAADwvwIVrkfhepQAwAI51sVtNIDfPwAAAAAYAAAA/PwA/AACAAAAAAAA8L8ClkOLbOf7C0AC4L4OnDOi7D8AAAAAGAAAAPz8APwAAgAAAAAAAPC/Akw3iUFgpRFAAgmsHFpkO98/AAAAAAERBAABZQgIAAAAAAAAAAgAAWUEAAAAAAAAAAAMCAFlCAgAAAAAAAAAEAQBZQQAAAAAAAAAABQEAWUEAAAAAAAAAAAYCAFlBAAAAAAAAAAAHBQBZQgAAAAAAAAAACAsAWUEAAAAAAAAAAAkFAFlBAAAAAAAAAAAKDABZQQAAAAAAAAAACw0AWUICAAAAAAAAAAwGAFlCAwAAAAAAAAANBgBZQQAAAAAAAAAADgkAWUEAAAAAAAAAAA8OAFlBAAAAAAAAAAAEAwBZQQAAAAAAAAAACggAWUICAAAAAAAAAAAAAAA</t>
        </r>
      </text>
    </comment>
    <comment ref="A710" authorId="0" shapeId="0" xr:uid="{713CE75E-8C0F-4868-9E26-20C893CB00FC}">
      <text>
        <r>
          <rPr>
            <sz val="9"/>
            <color indexed="81"/>
            <rFont val="MS P ゴシック"/>
            <family val="3"/>
            <charset val="128"/>
          </rPr>
          <t>Insight iXlW00001C0000710R0585476093S00001418P01232LAocjBAQBF1NjaVRlZ2ljLmRhdGEuTW9sZWN1bGUBbwF/ARJTY2lUZWdpYy5Nb2xlY3VsZQAAAQFkAv5qAQAAAAIAAgEQGAAAAPz8APwAAgAAAAAAAPC/AszuycNCLQZAAmPuWkI+6Kk/AAAAABgAAAD8/AD8AAIAAAAAAADwvwLvOEVHcnkBQAITg8DKoUXovwAAAAAYAAAA/PwA/AACAAAAAAAA8L8CbsX+snvyB0AC0gDeAgmK9b8AAAAAGAAAAPz8APwAAgAAAAAAAPC/ApayDHGsi/k/AhWuR+F6FPm/AAAAABgAAAD8/AD8AAIAAAAAAADwvwJTBaOSOgH2PwJ+rrZif9nFvwAAAAAcAAAA/PwA/AACAAAAAAAA8L8C4lgXt9EA9j8CYVRSJ6CJ6j8AAAAAIAAAAPz8APwAAgAAAAAAAPC/AhKlvcEXJts/AkvqBDQRNvI/AAAAABgAAAD8/AD8AAIAAAAAAADwvwKpE9BE2PDEvwL99nXgnBHVPwAAAAAcAAAA/PwA/AACAAAAAAAA8L8CEqW9wRcm2z8CMLsnDwu13r8AAAAAGAAAAPz8APwAAgAAAAAAAPC/AnUCmggbnvK/Av32deCcEdU/AAAAABgAAAD8/AD8AAIAAAAAAADwvwJ2ApoIG576vwIFxY8xdy3hvwAAAAAYAAAA/PwA/AACAAAAAAAA8L8COwFNhA1PBcACBcWPMXct4b8AAAAAHAAAAPz8APwAAgAAAAAAAPC/AjsBTYQNTwnAAv32deCcEdU/AAAAABgAAAD8/AD8AAIAAAAAAADwvwI7AU2EDU8FwAIB3gIJih/zPwAAAAAYAAAA/PwA/AACAAAAAAAA8L8CdgKaCBue+r8CAd4CCYof8z8AAAAAAREAAAD8/AD8AAIAAAAAAADwvwLUK2UZ4lgOQAKLjuTyH9LHvwAAAAABEAAEAWUEAAAAAAAAAAAECAFlBAAAAAAAAAAABAwBZQQAAAAAAAAAAAQQAWUEAAAAAAAAAAAQFAFlCAwAAAAAAAAAFBgBZQQAAAAAAAAAABgcAWUEAAAAAAAAAAAcIAFlCAgAAAAAAAAAIBABZQQAAAAAAAAAABwkAWUEAAAAAAAAAAAkKAFlBAAAAAAAAAAAKCwBZQQAAAAAAAAAACwwAWUEAAAAAAAAAAAwNAFlBAAAAAAAAAAANDgBZQQAAAAAAAAAADgkAWUEAAAAAAAAAAAAAAAA</t>
        </r>
      </text>
    </comment>
    <comment ref="A711" authorId="0" shapeId="0" xr:uid="{0B122DD6-0D9B-4283-9768-DD13E7388102}">
      <text>
        <r>
          <rPr>
            <sz val="9"/>
            <color indexed="81"/>
            <rFont val="MS P ゴシック"/>
            <family val="3"/>
            <charset val="128"/>
          </rPr>
          <t>Insight iXlW00001C0000711R0585476093S00001420P01324LAocjBAQBF1NjaVRlZ2ljLmRhdGEuTW9sZWN1bGUBbwF/ARJTY2lUZWdpYy5Nb2xlY3VsZQAAAQFkAv5qAQAAAAIAAgERGAAAAPz8APwAAgAAAAAAAPC/AjlFR3L5D/M/Atlfdk8eFsq/AAAAABwAAAD8/AD8AAIAAAAAAADwvwLIKTqSy3/IPwLZX3ZPHhbKvwAAAAAgAAAA/PwA/AACAAAAAAAA8L8COUVHcvkP+z8Cb4EExY8x5T8AAAAAGAAAAPz8APwAAgAAAAAAAPC/Ase6uI0G8Py/Atlfdk8eFsq/AAAAABwAAAD8/AD8AAIAAAAAAADwvwJBE2HD0ysDwAKHONbFbTTwvwAAAAAgAAAA/PwA/AACAAAAAAAA8L8CyJi7lpAP+z8CPSzUmuYd8b8AAAAAGAAAAPz8APwAAgAAAAAAAPC/Ah3r4jYawNO/Am+BBMWPMeU/AAAAABgAAAD8/AD8AAIAAAAAAADwvwId6+I2GsDTvwI9LNSa5h3xvwAAAAAYAAAA/PwA/AACAAAAAAAA8L8Cx7q4jQbw9L8CjSjtDb4w5T8AAAAAGAAAAPz8APwAAgAAAAAAAPC/Ase6uI0G8PS/Aj0s1JrmHfG/AAAAABgAAAD8/AD8AAIAAAAAAADwvwKdoiO5/IcFQAJvgQTFjzHlPwAAAAAYAAAA/PwA/AACAAAAAAAA8L8CEAu1pnnHCsAC9pfdk4eF5r8AAAAAGAAAAPz8APwAAgAAAAAAAPC/AkETYcPTKwPAAiFB8WPMXeM/AAAAABgAAAD8/AD8AAIAAAAAAADwvwKdoiO5/IcFQAK4QILix5j6PwAAAAAYAAAA/PwA/AACAAAAAAAA8L8CnaIjufyHDUACb4EExY8x5T8AAAAAGAAAAPz8APwAAgAAAAAAAPC/Ap2iI7n8hwVAAiL99nXgnNW/AAAAABgAAAD8/AD8AAIAAAAAAADwvwJI4XoUrscKwAIU0ETY8PTSPwAAAAABEgQAAWUEAAAAAAAAAAAIAAFlBAAAAAAAAAAADCQBZQQAAAAAAAAAABAMAWUEAAAAAAAAAAAUAAFlCAAAAAAAAAAAGAQBZQQAAAAAAAAAABwEAWUEAAAAAAAAAAAgGAFlBAAAAAAAAAAAJBwBZQQAAAAAAAAAACgIAWUEAAAAAAAAAAAsEAFlBAAAAAAAAAAAMAwBZQQAAAAAAAAAADQoAWUEAAAAAAAAAAA4KAFlBAAAAAAAAAAAPCgBZQQAAAAAAAAAAAEQMAFlBAAAAAAAAAAAIAwBZQQAAAAAAAAAAAEQLAFlBAAAAAAAAAAAAAAAAA==</t>
        </r>
      </text>
    </comment>
    <comment ref="A712" authorId="0" shapeId="0" xr:uid="{66FF6C78-9B84-431D-8553-580EB523CE2C}">
      <text>
        <r>
          <rPr>
            <sz val="9"/>
            <color indexed="81"/>
            <rFont val="MS P ゴシック"/>
            <family val="3"/>
            <charset val="128"/>
          </rPr>
          <t>Insight iXlW00001C0000712R0585476093S00001422P01232LAocjBAQBF1NjaVRlZ2ljLmRhdGEuTW9sZWN1bGUBbwF/ARJTY2lUZWdpYy5Nb2xlY3VsZQAAAQFkAv5qAQAAAAIAAgEQJAAAAPz8APwAAgAAAAAAAPC/ApayDHGsi/k/AhWuR+F6FPk/AAAAABgAAAD8/AD8AAIAAAAAAADwvwLvOEVHcnkBQAIxKqkT0EToPwAAAAAkAAAA/PwA/AACAAAAAAAA8L8CbsX+snvyB0AC0gDeAgmK9T8AAAAAJAAAAPz8APwAAgAAAAAAAPC/AszuycNCLQZAAmPuWkI+6Km/AAAAABgAAAD8/AD8AAIAAAAAAADwvwJTBaOSOgH2PwJ+rrZif9nFPwAAAAAgAAAA/PwA/AACAAAAAAAA8L8C4lgXt9EA9j8Cf/s6cM6I6r8AAAAAHAAAAPz8APwAAgAAAAAAAPC/AhKlvcEXJts/AryWkA96NvK/AAAAABgAAAD8/AD8AAIAAAAAAADwvwKpE9BE2PDEvwL99nXgnBHVvwAAAAAcAAAA/PwA/AACAAAAAAAA8L8CEqW9wRcm2z8CMLsnDwu13j8AAAAAGAAAAPz8APwAAgAAAAAAAPC/AnUCmggbnvK/Av32deCcEdW/AAAAABgAAAD8/AD8AAIAAAAAAADwvwJ2ApoIG576vwIFxY8xdy3hPwAAAAAYAAAA/PwA/AACAAAAAAAA8L8COwFNhA1PBcACBcWPMXct4T8AAAAAGAAAAPz8APwAAgAAAAAAAPC/AjsBTYQNTwnAAv32deCcEdW/AAAAABwAAAD8/AD8AAIAAAAAAADwvwI7AU2EDU8FwAIB3gIJih/zvwAAAAAYAAAA/PwA/AACAAAAAAAA8L8CdgKaCBue+r8CAd4CCYof878AAAAAAREAAAD8/AD8AAIAAAAAAADwvwLUK2UZ4lgOQAKLjuTyH9LHPwAAAAABEAAEAWUEAAAAAAAAAAAECAFlBAAAAAAAAAAABAwBZQQAAAAAAAAAAAQQAWUEAAAAAAAAAAAQFAFlBAAAAAAAAAAAFBgBZQQAAAAAAAAAABgcAWUICAAAAAAAAAAcIAFlBAAAAAAAAAAAIBABZQgMAAAAAAAAACQcAWUEAAAAAAAAAAAkKAFlBAAAAAAAAAAAKCwBZQQAAAAAAAAAACwwAWUEAAAAAAAAAAAwNAFlBAAAAAAAAAAANDgBZQQAAAAAAAAAADgkAWUEAAAAAAAAAAAAAAAA</t>
        </r>
      </text>
    </comment>
    <comment ref="A713" authorId="0" shapeId="0" xr:uid="{936D06FD-90F9-4136-BD4B-94363C8ACE20}">
      <text>
        <r>
          <rPr>
            <sz val="9"/>
            <color indexed="81"/>
            <rFont val="MS P ゴシック"/>
            <family val="3"/>
            <charset val="128"/>
          </rPr>
          <t>Insight iXlW00001C0000713R0585476093S00001424P01392LAocjBAQBF1NjaVRlZ2ljLmRhdGEuTW9sZWN1bGUBbwF/ARJTY2lUZWdpYy5Nb2xlY3VsZQAAAQFkAv5qAQAAAAIAAgESGAAAAPz8APwAAgAAAAAAAPC/Agr5oGez6vQ/AhgmUwWjktK/AAAAABwAAAD8/AD8AAIAAAAAAADwvwIm5IOezarTPwIYJlMFo5LSvwAAAAAYAAAA/PwA/AACAAAAAAAA8L8CIGPuWkI+AsACC0YldQKa4D8AAAAAGAAAAPz8APwAAgAAAAAAAPC/AoZa07zjFPu/AhgmUwWjktK/AAAAACAAAAD8/AD8AAIAAAAAAADwvwIK+aBns+r8PwJ3LSEf9GziPwAAAAAcAAAA/PwA/AACAAAAAAAA8L8CJzEIrBzaCcACSFD8GHPXyj8AAAAAIAAAAPz8APwAAgAAAAAAAPC/Agr5oGez6vw/AsgpOpLLf/K/AAAAABgAAAD8/AD8AAIAAAAAAADwvwK1N/jCZKrIvwJ3LSEf9GziPwAAAAAYAAAA/PwA/AACAAAAAAAA8L8CtTf4wmSqyL8CyCk6kst/8r8AAAAAIAAAAPz8APwAAgAAAAAAAPC/ArRZ9bnaiv+/AqOSOgFNhPc/AAAAABgAAAD8/AD8AAIAAAAAAADwvwL3Bl+YTBXzvwI51sVtNIDyvwAAAAAYAAAA/PwA/AACAAAAAAAA8L8ChlrTvOMU878Cdy0hH/Rs4j8AAAAAGAAAAPz8APwAAgAAAAAAAPC/AoV80LNZdQZAAnctIR/0bOI/AAAAABgAAAD8/AD8AAIAAAAAAADwvwLvWkI+6NkJwAIMk6mCUUnpvwAAAAAYAAAA/PwA/AACAAAAAAAA8L8CWDm0yHY+AsACguLHmLuW8b8AAAAAGAAAAPz8APwAAgAAAAAAAPC/AoV80LNZdQZAAryWkA96Nvk/AAAAABgAAAD8/AD8AAIAAAAAAADwvwKFfNCzWXUOQAJ3LSEf9GziPwAAAAAYAAAA/PwA/AACAAAAAAAA8L8ChXzQs1l1BkACEqW9wRcm278AAAAAARMEAAFlBAAAAAAAAAAACAwBZQQAAAAAAAAAAAwoAWUEAAAAAAAAAAAQAAFlBAAAAAAAAAAAFAgBZQQAAAAAAAAAABgAAWUIAAAAAAAAAAAcBAFlBAAAAAAAAAAAIAQBZQQAAAAAAAAAACQIAWUIAAAAAAAAAAAoIAFlBAAAAAAAAAAALBwBZQQAAAAAAAAAADAQAWUEAAAAAAAAAAA0OAFlBAAAAAAAAAAAOAwBZQQAAAAAAAAAADwwAWUEAAAAAAAAAAABEDABZQQAAAAAAAAAAAERMAFlBAAAAAAAAAAADCwBZQQAAAAAAAAAABQ0AWUEAAAAAAAAAAAAAAAA</t>
        </r>
      </text>
    </comment>
    <comment ref="A714" authorId="0" shapeId="0" xr:uid="{08F50A88-A271-4F59-895C-CDF8CCC8FD3A}">
      <text>
        <r>
          <rPr>
            <sz val="9"/>
            <color indexed="81"/>
            <rFont val="MS P ゴシック"/>
            <family val="3"/>
            <charset val="128"/>
          </rPr>
          <t>Insight iXlW00001C0000714R0585476093S00001426P01320LAocjBAQBF1NjaVRlZ2ljLmRhdGEuTW9sZWN1bGUBbwF/ARJTY2lUZWdpYy5Nb2xlY3VsZQAAAQFkAv5qAQAAAAIAAgERGAAAAPz8APwAAgAAAAAAAPC/AsuhRbbz/fM/Atlfdk8eFsq/AAAAABwAAAD8/AD8AAIAAAAAAADwvwJWDi2yne/PPwLZX3ZPHhbKvwAAAAAYAAAA/PwA/AACAAAAAAAA8L8CcF8HzhlRCcAC2V92Tx4Wyr8AAAAAGAAAAPz8APwAAgAAAAAAAPC/AsWxLm6jAfy/Atlfdk8eFsq/AAAAABwAAAD8/AD8AAIAAAAAAADwvwIpXI/C9agDwAISpb3BFybtvwAAAAAYAAAA/PwA/AACAAAAAAAA8L8CKVyPwvWoA8ACJXUCmggb4D8AAAAAIAAAAPz8APwAAgAAAAAAAPC/AjxO0ZFc/vs/Am+BBMWPMeU/AAAAACAAAAD8/AD8AAIAAAAAAADwvwLLoUW28/37PwI9LNSa5h3xvwAAAAAYAAAA/PwA/AACAAAAAAAA8L8CEce6uI0G0L8Cb4EExY8x5T8AAAAAGAAAAPz8APwAAgAAAAAAAPC/AtV46SYxCNC/Aj0s1JrmHfG/AAAAABgAAAD8/AD8AAIAAAAAAADwvwLEsS5uowH0vwKNKO0NvjDlPwAAAAAYAAAA/PwA/AACAAAAAAAA8L8CxLEubqMB9L8CPSzUmuYd8b8AAAAAIAAAAPz8APwAAgAAAAAAAPC/ArivA+eMqBDAAtlfdk8eFsq/AAAAABgAAAD8/AD8AAIAAAAAAADwvwIep+hILv8FQAJvgQTFjzHlPwAAAAAYAAAA/PwA/AACAAAAAAAA8L8CHqfoSC7/BUACuECC4seY+j8AAAAAGAAAAPz8APwAAgAAAAAAAPC/Ah6n6Egu/w1AAm+BBMWPMeU/AAAAABgAAAD8/AD8AAIAAAAAAADwvwLm0CLb+f4FQAIi/fZ14JzVvwAAAAABEgQAAWUEAAAAAAAAAAAIFAFlBAAAAAAAAAAADCwBZQQAAAAAAAAAABAMAWUEAAAAAAAAAAAUDAFlBAAAAAAAAAAAGAABZQQAAAAAAAAAABwAAWUIAAAAAAAAAAAgBAFlBAAAAAAAAAAAJAQBZQQAAAAAAAAAACggAWUEAAAAAAAAAAAsJAFlBAAAAAAAAAAAMAgBZQgAAAAAAAAAADQYAWUEAAAAAAAAAAA4NAFlBAAAAAAAAAAAPDQBZQQAAAAAAAAAAAEQNAFlBAAAAAAAAAAAKAwBZQQAAAAAAAAAABAIAWUEAAAAAAAAAAAAAAAA</t>
        </r>
      </text>
    </comment>
    <comment ref="A715" authorId="0" shapeId="0" xr:uid="{D524E04C-8EB4-4B44-A361-547CBE96546D}">
      <text>
        <r>
          <rPr>
            <sz val="9"/>
            <color indexed="81"/>
            <rFont val="MS P ゴシック"/>
            <family val="3"/>
            <charset val="128"/>
          </rPr>
          <t>Insight iXlW00001C0000715R0585476093S00001428P01016LAocjBAQBF1NjaVRlZ2ljLmRhdGEuTW9sZWN1bGUBbwF/ARJTY2lUZWdpYy5Nb2xlY3VsZQAAAQFkAv5qAQAAAAIAAjQYAAAA/PwA/AACAAAAAAAA8L8Cc/kP6bevw78COUVHcvkPwT8AAAAAGAAAAPz8APwAAgAAAAAAAPC/AqQBvAUSFOs/AjlFR3L5D8E/AAAAABgAAAD8/AD8AAIAAAAAAADwvwJhVFInoIn1PwIXSFD8GHPnvwAAAAAcAAAA/PwA/AACAAAAAAAA8L8CXf5D+u3r5L8C8DhFR3L57z8AAAAAIAAAAPz8APwAAgAAAAAAAPC/Al3+Q/rt6+S/AhdIUPwYc+e/AAAAACAAAAD8/AD8AAIAAAAAAADwvwIxKqkT0MQCQAIXSFD8GHPnvwAAAAAgAAAA/PwA/AACAAAAAAAA8L8CwqikTkAT6z8CTYQNT6+U+b8AAAAAGAAAAPz8APwAAgAAAAAAAPC/AtIA3gIJivU/AtKRXP5D+u8/AAAAABgAAAD8/AD8AAIAAAAAAADwvwIv/yH99nX6vwIXSFD8GHPnvwAAAAAYAAAA/PwA/AACAAAAAAAA8L8Cc/kP6bevw78CK6kT0ETY/T8AAAAAGAAAAPz8APwAAgAAAAAAAPC/AqQBvAUSFOs/AiupE9BE2P0/AAAAABgAAAD8/AD8AAIAAAAAAADwvwKX/5B++zoBwAJNhA1Pr5T5vwAAAAAYAAAA/PwA/AACAAAAAAAA8L8Cl/+Qfvs6AcACseHplbIMwT8AAAAANAQAAWUIDAAAAAAAAAAIBAFlBAAAAAAAAAAADAABZQQAAAAAAAAAABAAAWUEAAAAAAAAAAAUCAFlCAAAAAAAAAAAGAgBZQQAAAAAAAAAABwEAWUEAAAAAAAAAAAgEAFlBAAAAAAAAAAAJAwBZQgIAAAAAAAAACgkAWUEAAAAAAAAAAAsIAFlBAAAAAAAAAAAMCABZQQAAAAAAAAAACgcAWUICAAAAAAAAAAAAAAA</t>
        </r>
      </text>
    </comment>
    <comment ref="A716" authorId="0" shapeId="0" xr:uid="{1B49CB2C-39D5-4231-A26F-5FDB7064AE9F}">
      <text>
        <r>
          <rPr>
            <sz val="9"/>
            <color indexed="81"/>
            <rFont val="MS P ゴシック"/>
            <family val="3"/>
            <charset val="128"/>
          </rPr>
          <t>Insight iXlW00001C0000716R0585476093S00001430P01324LAocjBAQBF1NjaVRlZ2ljLmRhdGEuTW9sZWN1bGUBbwF/ARJTY2lUZWdpYy5Nb2xlY3VsZQAAAQFkAv5qAQAAAAIAAgERGAAAAPz8APwAAgAAAAAAAPC/AszuycNCLQFAAh8Wak3zjsO/AAAAABgAAAD8/AD8AAIAAAAAAADwvwLM7snDQi0FQAIGo5I6AU3wvwAAAAAYAAAA/PwA/AACAAAAAAAA8L8CmN2Th4Va8j8CHxZqTfOOw78AAAAAHAAAAPz8APwAAgAAAAAAAPC/AszuycNCLQVAAvw6cM6I0uY/AAAAACAAAAD8/AD8AAIAAAAAAADwvwLM7snDQi0NQAIGo5I6AU3wvwAAAAAYAAAA/PwA/AACAAAAAAAA8L8CMLsnDwu15D8C/DpwzojS5j8AAAAAIAAAAPz8APwAAgAAAAAAAPC/AjQRNjy90g7AAh8Wak3zjsO/AAAAACAAAAD8/AD8AAIAAAAAAADwvwKgibDh6ZXWvwL8OnDOiNLmPwAAAAAgAAAA/PwA/AACAAAAAAAA8L8CzO7Jw0ItAUACuK8D54wo/r8AAAAAGAAAAPz8APwAAgAAAAAAAPC/AszuycNCLQFAAsB9HThnRPk/AAAAABgAAAD8/AD8AAIAAAAAAADwvwKY3ZOHhVryPwLAfR04Z0T5PwAAAAAYAAAA/PwA/AACAAAAAAAA8L8C0ETY8PRK678CHxZqTfOOw78AAAAAGAAAAPz8APwAAgAAAAAAAPC/AmgibHh6pf2/Ah8Wak3zjsO/AAAAABgAAAD8/AD8AAIAAAAAAADwvwI0ETY8vdIKwAIGo5I6AU3wvwAAAAAYAAAA/PwA/AACAAAAAAAA8L8CNBE2PL3SCsAC/DpwzojS5j8AAAAAGAAAAPz8APwAAgAAAAAAAPC/AjQRNjy90gLAAgajkjoBTfC/AAAAABgAAAD8/AD8AAIAAAAAAADwvwI0ETY8vdICwAL8OnDOiNLmPwAAAAABEgQAAWUEAAAAAAAAAAAIAAFlBAAAAAAAAAAADAABZQgMAAAAAAAAABAEAWUIAAAAAAAAAAAUCAFlCAwAAAAAAAAAGDgBZQQAAAAAAAAAABwUAWUEAAAAAAAAAAAgBAFlBAAAAAAAAAAAJAwBZQQAAAAAAAAAACgkAWUICAAAAAAAAAAsHAFlBAAAAAAAAAAAMCwBZQQAAAAAAAAAADQ8AWUEAAAAAAAAAAA4ARABZQQAAAAAAAAAADwwAWUEAAAAAAAAAAABEDABZQQAAAAAAAAAABQoAWUEAAAAAAAAAAA0GAFlBAAAAAAAAAAAAAAAAA==</t>
        </r>
      </text>
    </comment>
    <comment ref="A717" authorId="0" shapeId="0" xr:uid="{B33BA85E-2813-46B4-A3A1-94859F957DFD}">
      <text>
        <r>
          <rPr>
            <sz val="9"/>
            <color indexed="81"/>
            <rFont val="MS P ゴシック"/>
            <family val="3"/>
            <charset val="128"/>
          </rPr>
          <t>Insight iXlW00001C0000717R0585476093S00001432P01324LAocjBAQBF1NjaVRlZ2ljLmRhdGEuTW9sZWN1bGUBbwF/ARJTY2lUZWdpYy5Nb2xlY3VsZQAAAQFkAv5qAQAAAAIAAgERGAAAAPz8APwAAgAAAAAAAPC/AvMf0m9fhwNAAvw6cM6I0tY/AAAAABgAAAD8/AD8AAIAAAAAAADwvwLzH9JvX4cLQAL8OnDOiNLWPwAAAAAcAAAA/PwA/AACAAAAAAAA8L8Crthfdk8e7j8CBqOSOgFN4L8AAAAAGAAAAPz8APwAAgAAAAAAAPC/Alyxv+yePNw/Avw6cM6I0tY/AAAAABgAAAD8/AD8AAIAAAAAAADwvwJX7C+7Jw//PwIGo5I6AU3gvwAAAAAgAAAA/PwA/AACAAAAAAAA8L8C8x/Sb1+HD0ACchsN4C2Q8z8AAAAAGAAAAPz8APwAAgAAAAAAAPC/AlfsL7snD/8/AgFvgQTFj/M/AAAAACAAAAD8/AD8AAIAAAAAAADwvwJTJ6CJsOHhvwL8OnDOiNLWPwAAAAAgAAAA/PwA/AACAAAAAAAA8L8C6wQ0ETY8EMACBqOSOgFN4L8AAAAAGAAAAPz8APwAAgAAAAAAAPC/Aq7YX3ZPHu4/AgFvgQTFj/M/AAAAACAAAAD8/AD8AAIAAAAAAADwvwLzH9JvX4cPQAIGo5I6AU3gvwAAAAAYAAAA/PwA/AACAAAAAAAA8L8CqRPQRNjw8L8CBqOSOgFN4L8AAAAAGAAAAPz8APwAAgAAAAAAAPC/AtUJaCJseADAAgajkjoBTeC/AAAAABgAAAD8/AD8AAIAAAAAAADwvwLVCWgibHgMwALEsS5uowH2vwAAAAAYAAAA/PwA/AACAAAAAAAA8L8C1QloImx4DMAC/DpwzojS1j8AAAAAGAAAAPz8APwAAgAAAAAAAPC/AtUJaCJseATAAsSxLm6jAfa/AAAAABgAAAD8/AD8AAIAAAAAAADwvwLVCWgibHgEwAL8OnDOiNLWPwAAAAABEgQAAWUEAAAAAAAAAAAIEAFlCAgAAAAAAAAADCQBZQgMAAAAAAAAABAAAWUEAAAAAAAAAAAUBAFlCAAAAAAAAAAAGAABZQgMAAAAAAAAABwMAWUEAAAAAAAAAAAgOAFlBAAAAAAAAAAAJBgBZQQAAAAAAAAAACgEAWUEAAAAAAAAAAAsHAFlBAAAAAAAAAAAMCwBZQQAAAAAAAAAADQ8AWUEAAAAAAAAAAA4ARABZQQAAAAAAAAAADwwAWUEAAAAAAAAAAABEDABZQQAAAAAAAAAAAgMAWUEAAAAAAAAAAA0IAFlBAAAAAAAAAAAAAAAAA==</t>
        </r>
      </text>
    </comment>
    <comment ref="A718" authorId="0" shapeId="0" xr:uid="{CE2A95FF-4A35-49C0-9AE8-0EFDB523E372}">
      <text>
        <r>
          <rPr>
            <sz val="9"/>
            <color indexed="81"/>
            <rFont val="MS P ゴシック"/>
            <family val="3"/>
            <charset val="128"/>
          </rPr>
          <t>Insight iXlW00001C0000718R0585476093S00001434P01160LAocjBAQBF1NjaVRlZ2ljLmRhdGEuTW9sZWN1bGUBbwF/ARJTY2lUZWdpYy5Nb2xlY3VsZQAAAQFkAv5qAQAAAAIAAjwYAAAA/PwA/AACAAAAAAAA8L8C6Gor9pfd6T8CTMgHPZtV5b8AAAAAGAAAAPz8APwAAgAAAAAAAPC/AuhqK/aX3ek/Ampv8IXJVNU/AAAAABgAAAD8/AD8AAIAAAAAAADwvwLCFyZTBaP8vwK1N/jCZKrqPwAAAAAYAAAA/PwA/AACAAAAAAAA8L8CtFn1udqKrb8CJuSDns2q8r8AAAAAHAAAAPz8APwAAgAAAAAAAPC/ArYV+8vuyfo/ArU3+MJkquo/AAAAACAAAAD8/AD8AAIAAAAAAADwvwK0WfW52oqtvwK1N/jCZKrqPwAAAAAgAAAA/PwA/AACAAAAAAAA8L8CtFn1udqKrb8CE/JBz2ZVAcAAAAAAGAAAAPz8APwAAgAAAAAAAPC/Ah8Wak3zju2/Ampv8IXJVNU/AAAAACQAAAD8/AD8AAIAAAAAAADwvwLhC5OpglECwALnjCjtDb6gvwAAAAAkAAAA/PwA/AACAAAAAAAA8L8CArwFEhQ/BcAC2xt8YTJV9T8AAAAAJAAAAPz8APwAAgAAAAAAAPC/AsIXJlMFo/S/Ahx8YTJVMPs/AAAAACAAAAD8/AD8AAIAAAAAAADwvwIfFmpN847tvwJMyAc9m1XlvwAAAAAYAAAA/PwA/AACAAAAAAAA8L8CthX7y+7J+j8CJuSDns2q8r8AAAAAGAAAAPz8APwAAgAAAAAAAPC/Avw6cM6IUgRAAmpv8IXJVNU/AAAAABgAAAD8/AD8AAIAAAAAAADwvwL8OnDOiFIEQAJMyAc9m1XlvwAAAAA8BAABZQQAAAAAAAAAAAgcAWUEAAAAAAAAAAAMAAFlBAAAAAAAAAAAEAQBZQgIAAAAAAAAABQEAWUEAAAAAAAAAAAYDAFlCAAAAAAAAAAAHBQBZQQAAAAAAAAAACAIAWUEAAAAAAAAAAAkCAFlBAAAAAAAAAAAKAgBZQQAAAAAAAAAACwMAWUEAAAAAAAAAAAwAAFlCAgAAAAAAAAANDgBZQgIAAAAAAAAADgwAWUEAAAAAAAAAAAQNAFlBAAAAAAAAAAAAAAAAA==</t>
        </r>
      </text>
    </comment>
    <comment ref="A719" authorId="0" shapeId="0" xr:uid="{D1B4DA60-3EE5-414E-9E96-42AFC42D8220}">
      <text>
        <r>
          <rPr>
            <sz val="9"/>
            <color indexed="81"/>
            <rFont val="MS P ゴシック"/>
            <family val="3"/>
            <charset val="128"/>
          </rPr>
          <t>Insight iXlW00001C0000719R0585476093S00001436P01160LAocjBAQBF1NjaVRlZ2ljLmRhdGEuTW9sZWN1bGUBbwF/ARJTY2lUZWdpYy5Nb2xlY3VsZQAAAQFkAv5qAQAAAAIAAjwYAAAA/PwA/AACAAAAAAAA8L8CE/JBz2ZVBUACmbuWkA964j8AAAAAHAAAAPz8APwAAgAAAAAAAPC/AtsbfGEyVfW/AigPC7WmefK/AAAAABgAAAD8/AD8AAIAAAAAAADwvwLtDb4wmaoGwAKZu5aQD3rSvwAAAAAYAAAA/PwA/AACAAAAAAAA8L8C2xt8YTJV/b8CmbuWkA960r8AAAAAIAAAAPz8APwAAgAAAAAAAPC/Au4NvjCZqgrAAigPC7WmefK/AAAAABgAAAD8/AD8AAIAAAAAAADwvwIm5IOezar6PwKZu5aQD3riPwAAAAAYAAAA/PwA/AACAAAAAAAA8L8C2xt8YTJV9b8Ct2J/2T154j8AAAAAJAAAAPz8APwAAgAAAAAAAPC/AhPyQc9mVQVAAs1dS8gHPfk/AAAAACQAAAD8/AD8AAIAAAAAAADwvwIT8kHPZlUNQAK3Yn/ZPXniPwAAAAAkAAAA/PwA/AACAAAAAAAA8L8C2xt8YTJVBUACz4jS3uAL278AAAAAGAAAAPz8APwAAgAAAAAAAPC/Ai4hH/RsVtW/AigPC7WmefK/AAAAACAAAAD8/AD8AAIAAAAAAADwvwK1N/jCZKryPwKZu5aQD3rSvwAAAAAYAAAA/PwA/AACAAAAAAAA8L8Cpb3BFyZTxT8CmbuWkA960r8AAAAAIAAAAPz8APwAAgAAAAAAAPC/Au4NvjCZqgrAArdif9k9eeI/AAAAABgAAAD8/AD8AAIAAAAAAADwvwJqb/CFyVTVvwKZu5aQD3riPwAAAAA8BCgBZQQAAAAAAAAAAAgMAWUEAAAAAAAAAAAMGAFlBAAAAAAAAAAAEAgBZQgAAAAAAAAAABQAAWUEAAAAAAAAAAAYOAFlCAgAAAAAAAAAHAABZQQAAAAAAAAAACAAAWUEAAAAAAAAAAAkAAFlBAAAAAAAAAAAKDABZQgMAAAAAAAAACwUAWUEAAAAAAAAAAAwLAFlBAAAAAAAAAAANAgBZQQAAAAAAAAAADgwAWUEAAAAAAAAAAAEDAFlCAwAAAAAAAAAAAAAAA==</t>
        </r>
      </text>
    </comment>
    <comment ref="A720" authorId="0" shapeId="0" xr:uid="{2B110253-808B-49BE-A892-43DAE85E8F69}">
      <text>
        <r>
          <rPr>
            <sz val="9"/>
            <color indexed="81"/>
            <rFont val="MS P ゴシック"/>
            <family val="3"/>
            <charset val="128"/>
          </rPr>
          <t>Insight iXlW00001C0000720R0585476093S00001438P01104LAocjBAQBF1NjaVRlZ2ljLmRhdGEuTW9sZWN1bGUBbwF/ARJTY2lUZWdpYy5Nb2xlY3VsZQAAAQFkAv5qAQAAAAIAAjgcAAAA/PwA/AACAAAAAAAA8L8CL90kBoGV978CVp+rrdhf5L8AAAAAGAAAAPz8APwAAgAAAAAAAPC/ArkehetRuALAAqtgVFInoOs/AAAAABgAAAD8/AD8AAIAAAAAAADwvwIv3SQGgZX3vwKRD3o2qz7XPwAAAAAgAAAA/PwA/AACAAAAAAAA8L8C2c73U+OlCcACVcGopE5A1z8AAAAAGAAAAPz8APwAAgAAAAAAAPC/Atv5fmq8dOO/AskHPZtVn+s/AAAAACAAAAD8/AD8AAIAAAAAAADwvwIH8BZIUPzxPwKrz9VW7C/yvwAAAAAYAAAA/PwA/AACAAAAAAAA8L8C2/l+arx0478Cq8/VVuwv8r8AAAAAGAAAAPz8APwAAgAAAAAAAPC/AlCNl24Sg9A/Alafq63YX+S/AAAAACAAAAD8/AD8AAIAAAAAAADwvwK5HoXrUbgCwAJWMCqpE9D9PwAAAAAYAAAA/PwA/AACAAAAAAAA8L8CUI2XbhKD0D8CVcGopE5A1z8AAAAAGAAAAPz8APwAAgAAAAAAAPC/AklQ/Bhz1/8/Alafq63YX+S/AAAAABgAAAD8/AD8AAIAAAAAAADwvwJIcvkP6bcJQAIvbqMBvAWyPwAAAAAYAAAA/PwA/AACAAAAAAAA8L8Ckst/SL/9AUAC/fZ14JwR1T8AAAAAGAAAAPz8APwAAgAAAAAAAPC/AtnO91PjpQdAAg8tsp3vp+y/AAAAADwECAFlBAAAAAAAAAAACAABZQgMAAAAAAAAAAwEAWUIAAAAAAAAAAAQCAFlBAAAAAAAAAAAFBwBZQQAAAAAAAAAABgAAWUEAAAAAAAAAAAcGAFlCAwAAAAAAAAAIAQBZQQAAAAAAAAAACQcAWUEAAAAAAAAAAAoFAFlBAAAAAAAAAAALDQBZQQAAAAAAAAAADAoAWUEAAAAAAAAAAA0KAFlBAAAAAAAAAAAECQBZQgIAAAAAAAAADAsAWUEAAAAAAAAAAAAAAAA</t>
        </r>
      </text>
    </comment>
    <comment ref="A721" authorId="0" shapeId="0" xr:uid="{A9556549-892E-4B90-B75C-A9B5B691F26B}">
      <text>
        <r>
          <rPr>
            <sz val="9"/>
            <color indexed="81"/>
            <rFont val="MS P ゴシック"/>
            <family val="3"/>
            <charset val="128"/>
          </rPr>
          <t>Insight iXlW00001C0000721R0585476093S00001440P01248LAocjBAQBF1NjaVRlZ2ljLmRhdGEuTW9sZWN1bGUBbwF/ARJTY2lUZWdpYy5Nb2xlY3VsZQAAAQFkAv5qAQAAAAIAAgEQGAAAAPz8APwAAgAAAAAAAPC/AiNseHqlLPO/AiUGgZVDi9w/AAAAABgAAAD8/AD8AAIAAAAAAADwvwJ5WKg1zTvgPwIp7Q2+MJnCPwAAAAAYAAAA/PwA/AACAAAAAAAA8L8CrWnecYqO0L8CgEi/fR046T8AAAAAGAAAAPz8APwAAgAAAAAAAPC/AvT91HjpJvc/AqvP1VbsL98/AAAAACAAAAD8/AD8AAIAAAAAAADwvwIRNjy9UpYBwAL6fmq8dJP0vwAAAAAcAAAA/PwA/AACAAAAAAAA8L8CMnctIR/09b8Cat5xio7k9j8AAAAAGAAAAPz8APwAAgAAAAAAAPC/AkXY8PRKWea/AuJ6FK5H4dq/AAAAABgAAAD8/AD8AAIAAAAAAADwvwIRNjy9UpYBwAIlBoGVQ4vcPwAAAAAgAAAA/PwA/AACAAAAAAAA8L8CAwmKH2Pu+T8CyxDHuriN9z8AAAAAGAAAAPz8APwAAgAAAAAAAPC/AiNseHqlLPO/Avp+arx0k/S/AAAAABgAAAD8/AD8AAIAAAAAAADwvwIRNjy9UpYFwALiehSuR+HavwAAAAAYAAAA/PwA/AACAAAAAAAA8L8CejarPldb1T8Cd76fGi/d6r8AAAAAGAAAAPz8APwAAgAAAAAAAPC/Ak5iEFg5tAFAAoGVQ4ts58O/AAAAABgAAAD8/AD8AAIAAAAAAADwvwJdbcX+snsEQAIRx7q4jQb9PwAAAAAYAAAA/PwA/AACAAAAAAAA8L8CR5T2Bl+Y8T8C18VtNIC3978AAAAAGAAAAPz8APwAAgAAAAAAAPC/Av+ye/KwUABAApEPejarPvK/AAAAAAERBAgBZQQAAAAAAAAAAAgAAWUEAAAAAAAAAAAMBAFlBAAAAAAAAAAAECgBZQQAAAAAAAAAABQAAWUEAAAAAAAAAAAYAAFlBAAAAAAAAAAAHAABZQQAAAAAAAAAACAMAWUEAAAAAAAAAAAkGAFlBAAAAAAAAAAAKBwBZQQAAAAAAAAAACwEAWUIDAAAAAAAAAAwDAFlCAgAAAAAAAAANCABZQQAAAAAAAAAADgsAWUEAAAAAAAAAAA8OAFlCAgAAAAAAAAAJBABZQQAAAAAAAAAADA8AWUEAAAAAAAAAAAAAAAA</t>
        </r>
      </text>
    </comment>
    <comment ref="A722" authorId="0" shapeId="0" xr:uid="{2483CBEA-1EA7-44AA-9F23-2CD17441941A}">
      <text>
        <r>
          <rPr>
            <sz val="9"/>
            <color indexed="81"/>
            <rFont val="MS P ゴシック"/>
            <family val="3"/>
            <charset val="128"/>
          </rPr>
          <t>Insight iXlW00001C0000722R0585476093S00001442P01448LAocjBAQBF1NjaVRlZ2ljLmRhdGEuTW9sZWN1bGUBbwF/ARJTY2lUZWdpYy5Nb2xlY3VsZQAAAQFkAv5qAQAAAAIAAgETHAAAAPz8APwAAgAAAAAAAPC/AqhXyjLEcRBAAifChqdXyt6/AAAAABgAAAD8/AD8AAIAAAAAAADwvwJPr5RliOMMQALgvg6cM6LYPwAAAAAYAAAA/PwA/AACAAAAAAAA8L8CT6+UZYjjBEAC4L4OnDOi2D8AAAAAGAAAAPz8APwAAgAAAAAAAPC/Ak+vlGWI4wBAAvoP6bevA/Q/AAAAABgAAAD8/AD8AAIAAAAAAADwvwKeXinLEMfxPwL6D+m3rwP0PwAAAAAkAAAA/PwA/AACAAAAAAAA8L8CPL1SliGO4z8CHjhnRGnvAEAAAAAAGAAAAPz8APwAAgAAAAAAAPC/Ajy9UpYhjuM/AuC+Dpwzotg/AAAAACAAAAD8/AD8AAIAAAAAAADwvwKIhVrTvOPYvwLgvg6cM6LYPwAAAAAYAAAA/PwA/AACAAAAAAAA8L8CxEKtad5x7L8CJ8KGp1fK3r8AAAAAGAAAAPz8APwAAgAAAAAAAPC/AmKh1jTvOP6/AifChqdXyt6/AAAAABgAAAD8/AD8AAIAAAAAAADwvwKxUGuadxwDwALLEMe6uI31vwAAAAAYAAAA/PwA/AACAAAAAAAA8L8CsVBrmnccC8ACyxDHuriN9b8AAAAAIAAAAPz8APwAAgAAAAAAAPC/ArFQa5p3HA/AAifChqdXyt6/AAAAABgAAAD8/AD8AAIAAAAAAADwvwKxUGuadxwLwALgvg6cM6LYPwAAAAAYAAAA/PwA/AACAAAAAAAA8L8CsVBrmnccA8AC4L4OnDOi2D8AAAAAGAAAAPz8APwAAgAAAAAAAPC/Ap5eKcsQx/E/AifChqdXyt6/AAAAACQAAAD8/AD8AAIAAAAAAADwvwI8vVKWIY7jPwLLEMe6uI31vwAAAAAYAAAA/PwA/AACAAAAAAAA8L8CT6+UZYjjAEACJ8KGp1fK3r8AAAAAAREAAAD8/AD8AAIAAAAAAADwvwLbiv1l96QTQALgvg6cM6LYPwAAAAABEwAEAWUEAAAAAAAAAAAECAFlBAAAAAAAAAAACAwBZQgMAAAAAAAAAAwQAWUEAAAAAAAAAAAQFAFlBAAAAAAAAAAAEBgBZQgMAAAAAAAAABgcAWUEAAAAAAAAAAAcIAFlBAAAAAAAAAAAICQBZQQAAAAAAAAAACQoAWUEAAAAAAAAAAAoLAFlBAAAAAAAAAAALDABZQQAAAAAAAAAADA0AWUEAAAAAAAAAAA0OAFlBAAAAAAAAAAAOCQBZQQAAAAAAAAAABg8AWUEAAAAAAAAAAA8ARABZQQAAAAAAAAAADwBEQFlCAgAAAAAAAAAAREIAWUEAAAAAAAAAAAAAAAA</t>
        </r>
      </text>
    </comment>
    <comment ref="A723" authorId="0" shapeId="0" xr:uid="{B1A94742-5A4F-483E-8BD4-DC51CCDAC4CC}">
      <text>
        <r>
          <rPr>
            <sz val="9"/>
            <color indexed="81"/>
            <rFont val="MS P ゴシック"/>
            <family val="3"/>
            <charset val="128"/>
          </rPr>
          <t>Insight iXlW00001C0000723R0585476093S00001444P01396LAocjBAQBF1NjaVRlZ2ljLmRhdGEuTW9sZWN1bGUBbwF/ARJTY2lUZWdpYy5Nb2xlY3VsZQAAAQFkAv5qAQAAAAIAAgESGAAAAPz8APwAAgAAAAAAAPC/ArRZ9bnaiu2/ApQYBFYOLdI/AAAAABgAAAD8/AD8AAIAAAAAAADwvwJ1kxgEVg75vwINAiuHFtnevwAAAAAYAAAA/PwA/AACAAAAAAAA8L8C/Rhz1xLy0b8CDQIrhxbZ3r8AAAAAGAAAAPz8APwAAgAAAAAAAPC/AkOtad5xiuY/ApSHhVrTvNO/AAAAACAAAAD8/AD8AAIAAAAAAADwvwIv3SQGgZXzvwI6kst/SL/2vwAAAAAYAAAA/PwA/AACAAAAAAAA8L8CPb1SliGO9T8CjSjtDb4w8b8AAAAAIAAAAPz8APwAAgAAAAAAAPC/ArRZ9bnaiu2/AhODwMqhRQJAAAAAACAAAAD8/AD8AAIAAAAAAADwvwIrGJXUCWgEwAKUh4Va07zTvwAAAAAgAAAA/PwA/AACAAAAAAAA8L8ChlrTvOMU8D8CIv32deAcAMAAAAAAGAAAAPz8APwAAgAAAAAAAPC/AhwN4C2QoPy/AkoMAiuHFuk/AAAAABgAAAD8/AD8AAIAAAAAAADwvwIMk6mCUUmtvwJKDAIrhxbpPwAAAAAYAAAA/PwA/AACAAAAAAAA8L8C54wo7Q2+8D8Cpd++Dpwz5D8AAAAAGAAAAPz8APwAAgAAAAAAAPC/AhwN4C2QoPy/AiUGgZVDi/w/AAAAABgAAAD8/AD8AAIAAAAAAADwvwIMk6mCUUmtvwIlBoGVQ4v8PwAAAAAYAAAA/PwA/AACAAAAAAAA8L8C1lbsL7unAkAC/DpwzojS7L8AAAAAGAAAAPz8APwAAgAAAAAAAPC/AkVpb/CFyZQ/AnGsi9togAHAAAAAABgAAAD8/AD8AAIAAAAAAADwvwLkFB3J5T8AQALD9Shcj8LpPwAAAAAYAAAA/PwA/AACAAAAAAAA8L8C+THmriVkBUACK4cW2c73oz8AAAAAARMEAAFlBAAAAAAAAAAACAABZQQAAAAAAAAAAAwIAWUEAAAAAAAAAAAQBAFlCAAAAAAAAAAAFAwBZQQAAAAAAAAAABg0AWUEAAAAAAAAAAAcBAFlBAAAAAAAAAAAIBQBZQQAAAAAAAAAACQAAWUEAAAAAAAAAAAoAAFlBAAAAAAAAAAALAwBZQgMAAAAAAAAADAkAWUEAAAAAAAAAAA0KAFlBAAAAAAAAAAAOBQBZQgIAAAAAAAAADwgAWUEAAAAAAAAAAABECwBZQQAAAAAAAAAAAERARABZQgIAAAAAAAAADAYAWUEAAAAAAAAAAA4AREBZQQAAAAAAAAAAAAAAAA=</t>
        </r>
      </text>
    </comment>
    <comment ref="A724" authorId="0" shapeId="0" xr:uid="{93277574-2834-4A79-B8F1-03B7D78FCB11}">
      <text>
        <r>
          <rPr>
            <sz val="9"/>
            <color indexed="81"/>
            <rFont val="MS P ゴシック"/>
            <family val="3"/>
            <charset val="128"/>
          </rPr>
          <t>Insight iXlW00001C0000724R0585476093S00001446P01248LAocjBAQBF1NjaVRlZ2ljLmRhdGEuTW9sZWN1bGUBbwF/ARJTY2lUZWdpYy5Nb2xlY3VsZQAAAQFkAv5qAQAAAAIAAgEQGAAAAPz8APwAAgAAAAAAAPC/ApPLf0i/feu/AiigibDh6ZU/AAAAABgAAAD8/AD8AAIAAAAAAADwvwJkzF1LyAf4vwJPQBNhw9PnvwAAAAAYAAAA/PwA/AACAAAAAAAA8L8Cc/kP6bevy78CT0ATYcPT578AAAAAIAAAAPz8APwAAgAAAAAAAPC/Ah8Wak3zjvK/At9xio7k8vq/AAAAABwAAAD8/AD8AAIAAAAAAADwvwJseHqlLMMAQAJ6Nqs+V1vhPwAAAAAgAAAA/PwA/AACAAAAAAAA8L8Ck8t/SL99678CQRNhw9MrAEAAAAAAIAAAAPz8APwAAgAAAAAAAPC/AqK0N/jC5APAAhODwMqhReK/AAAAABgAAAD8/AD8AAIAAAAAAADwvwJlO99PjZfoPwITg8DKoUXivwAAAAAYAAAA/PwA/AACAAAAAAAA8L8CbXh6pSxDfD8CAU2EDU+v4D8AAAAAGAAAAPz8APwAAgAAAAAAAPC/AgtGJXUCmvu/AgFNhA1Pr+A/AAAAABgAAAD8/AD8AAIAAAAAAADwvwL4U+Olm8TxPwK4QILix5jXPwAAAAAYAAAA/PwA/AACAAAAAAAA8L8CgZVDi2znBUACWFuxv+yezL8AAAAAGAAAAPz8APwAAgAAAAAAAPC/AgtGJXUCmvu/AoEmwoanV/g/AAAAABgAAAD8/AD8AAIAAAAAAADwvwJteHqlLEN8PwKBJsKGp1f4PwAAAAAYAAAA/PwA/AACAAAAAAAA8L8CTYQNT6+U9j8CMQisHFpk9b8AAAAAGAAAAPz8APwAAgAAAAAAAPC/Al66SQwCKwNAAiL99nXgnPK/AAAAAAERBAABZQQAAAAAAAAAAAgAAWUEAAAAAAAAAAAMBAFlCAAAAAAAAAAAECgBZQgIAAAAAAAAABQwAWUEAAAAAAAAAAAYBAFlBAAAAAAAAAAAHAgBZQQAAAAAAAAAACAAAWUEAAAAAAAAAAAkAAFlBAAAAAAAAAAAKBwBZQQAAAAAAAAAACw8AWUICAAAAAAAAAAwJAFlBAAAAAAAAAAANCABZQQAAAAAAAAAADgcAWUIDAAAAAAAAAA8OAFlBAAAAAAAAAAANBQBZQQAAAAAAAAAABAsAWUEAAAAAAAAAAAAAAAA</t>
        </r>
      </text>
    </comment>
    <comment ref="A725" authorId="0" shapeId="0" xr:uid="{3FAC3CFA-C30B-4460-8CC7-7E87135FE331}">
      <text>
        <r>
          <rPr>
            <sz val="9"/>
            <color indexed="81"/>
            <rFont val="MS P ゴシック"/>
            <family val="3"/>
            <charset val="128"/>
          </rPr>
          <t>Insight iXlW00001C0000725R0585476093S00001448P01248LAocjBAQBF1NjaVRlZ2ljLmRhdGEuTW9sZWN1bGUBbwF/ARJTY2lUZWdpYy5Nb2xlY3VsZQAAAQFkAv5qAQAAAAIAAgEQGAAAAPz8APwAAgAAAAAAAPC/ApPLf0i/feu/AiigibDh6ZU/AAAAABgAAAD8/AD8AAIAAAAAAADwvwJkzF1LyAf4vwJPQBNhw9PnvwAAAAAYAAAA/PwA/AACAAAAAAAA8L8Cc/kP6bevy78CT0ATYcPT578AAAAAIAAAAPz8APwAAgAAAAAAAPC/Ah8Wak3zjvK/At9xio7k8vq/AAAAABwAAAD8/AD8AAIAAAAAAADwvwK6awn5oOcFQALgvg6cM6LMvwAAAAAgAAAA/PwA/AACAAAAAAAA8L8Ck8t/SL99678CQRNhw9MrAEAAAAAAIAAAAPz8APwAAgAAAAAAAPC/AqK0N/jC5APAAhODwMqhReK/AAAAABgAAAD8/AD8AAIAAAAAAADwvwJlO99PjZfoPwITg8DKoUXivwAAAAAYAAAA/PwA/AACAAAAAAAA8L8CbXh6pSxDfD8CAU2EDU+v4D8AAAAAGAAAAPz8APwAAgAAAAAAAPC/AgtGJXUCmvu/AgFNhA1Pr+A/AAAAABgAAAD8/AD8AAIAAAAAAADwvwJseHqlLMMAQAKY3ZOHhVrhPwAAAAAYAAAA/PwA/AACAAAAAAAA8L8Cl5APejYrA0ACIv32deCc8r8AAAAAGAAAAPz8APwAAgAAAAAAAPC/AgtGJXUCmvu/AoEmwoanV/g/AAAAABgAAAD8/AD8AAIAAAAAAADwvwJteHqlLEN8PwKBJsKGp1f4PwAAAAAYAAAA/PwA/AACAAAAAAAA8L8C+FPjpZvE8T8CuECC4seY1z8AAAAAGAAAAPz8APwAAgAAAAAAAPC/Ak2EDU+vlPY/AjEIrBxaZPW/AAAAAAERBAABZQQAAAAAAAAAAAgAAWUEAAAAAAAAAAAMBAFlCAAAAAAAAAAAECwBZQQAAAAAAAAAABQwAWUEAAAAAAAAAAAYBAFlBAAAAAAAAAAAHAgBZQQAAAAAAAAAACAAAWUEAAAAAAAAAAAkAAFlBAAAAAAAAAAAKDgBZQQAAAAAAAAAACw8AWUICAAAAAAAAAAwJAFlBAAAAAAAAAAANCABZQQAAAAAAAAAADgcAWUIDAAAAAAAAAA8HAFlBAAAAAAAAAAANBQBZQQAAAAAAAAAACgQAWUICAAAAAAAAAAAAAAA</t>
        </r>
      </text>
    </comment>
    <comment ref="A726" authorId="0" shapeId="0" xr:uid="{8A233186-F97A-4A2C-BDC3-CC43BB85F888}">
      <text>
        <r>
          <rPr>
            <sz val="9"/>
            <color indexed="81"/>
            <rFont val="MS P ゴシック"/>
            <family val="3"/>
            <charset val="128"/>
          </rPr>
          <t>Insight iXlW00001C0000726R0585476093S00001450P00688LAocjBAQBF1NjaVRlZ2ljLmRhdGEuTW9sZWN1bGUBbwF/ARJTY2lUZWdpYy5Nb2xlY3VsZQAAAQFkAv5qAQAAAAIAAiQYAAAA/PwA/AACAAAAAAAA8L8C/tR46SYx9T8CNs07TtGR5D8AAAAAGAAAAPz8APwAAgAAAAAAAPC/AqwcWmQ73+E/AAAAAAAcAAAA/PwA/AACAAAAAAAA8L8C/tR46SYx9T8CNs07TtGR5L8AAAAAGAAAAPz8APwAAgAAAAAAAPC/AsHKoUW2860/AoPAyqFFtuu/AAAAABgAAAD8/AD8AAIAAAAAAADwvwJU46WbxCDuvwKDwMqhRbbrvwAAAAAgAAAA/PwA/AACAAAAAAAA8L8CqvHSTWIQ978AAAAAABgAAAD8/AD8AAIAAAAAAADwvwJU46WbxCDuvwKDwMqhRbbrPwAAAAAYAAAA/PwA/AACAAAAAAAA8L8CwcqhRbbzrT8Cg8DKoUW26z8AAAAAAREAAAD8/AD8AAIAAAAAAADwvwLm0CLb+f4AQAAAAAAAIAAEAWUEAAAAAAAAAAAECAFlBAAAAAAAAAAABAwBZQQAAAAAAAAAAAwQAWUEAAAAAAAAAAAQFAFlBAAAAAAAAAAAFBgBZQQAAAAAAAAAABgcAWUEAAAAAAAAAAAcBAFlBAAAAAAAAAAAAAAAAA==</t>
        </r>
      </text>
    </comment>
    <comment ref="A727" authorId="0" shapeId="0" xr:uid="{CF6FB87C-F197-4A61-9C01-7301C2B9DE5F}">
      <text>
        <r>
          <rPr>
            <sz val="9"/>
            <color indexed="81"/>
            <rFont val="MS P ゴシック"/>
            <family val="3"/>
            <charset val="128"/>
          </rPr>
          <t>Insight iXlW00001C0000727R0585476093S00001452P00788LAocjBAQBF1NjaVRlZ2ljLmRhdGEuTW9sZWN1bGUBbwF/ARJTY2lUZWdpYy5Nb2xlY3VsZQAAAQFkAv5qAQAAAAIAAigYAAAA/PwA/AACAAAAAAAA8L8CXrpJDAIr8T8CM8SxLm6j5T8AAAAAGAAAAPz8APwAAgAAAAAAAPC/AhUdyeU/pNM/AtJvXwfOGaE/AAAAABgAAAD8/AD8AAIAAAAAAADwvwJeukkMAivxPwI51sVtNIDjvwAAAAAcAAAA/PwA/AACAAAAAAAA8L8C0m9fB84ZAEACW9O84xQd0b8AAAAAGAAAAPz8APwAAgAAAAAAAPC/AtfFbTSAt8i/AobJVMGopOq/AAAAABgAAAD8/AD8AAIAAAAAAADwvwK7uI0G8BbzvwKGyVTBqKTqvwAAAAAgAAAA/PwA/AACAAAAAAAA8L8Cu7iNBvAW+78C0m9fB84ZoT8AAAAAGAAAAPz8APwAAgAAAAAAAPC/Aru4jQbwFvO/AoG3QILix+w/AAAAABgAAAD8/AD8AAIAAAAAAADwvwLXxW00gLfIvwKBt0CC4sfsPwAAAAABEQAAAPz8APwAAgAAAAAAAPC/AjnWxW00gAZAAtJvXwfOGaE/AAAAACQABAFlBAAAAAAAAAAABAgBZQQAAAAAAAAAAAgMAWUEAAAAAAAAAAAEEAFlBAAAAAAAAAAAEBQBZQQAAAAAAAAAABQYAWUEAAAAAAAAAAAYHAFlBAAAAAAAAAAAHCABZQQAAAAAAAAAACAEAWUEAAAAAAAAAAAAAAAA</t>
        </r>
      </text>
    </comment>
    <comment ref="A728" authorId="0" shapeId="0" xr:uid="{2F085AAE-C5EB-45F2-9E00-63015D0BFC9A}">
      <text>
        <r>
          <rPr>
            <sz val="9"/>
            <color indexed="81"/>
            <rFont val="MS P ゴシック"/>
            <family val="3"/>
            <charset val="128"/>
          </rPr>
          <t>Insight iXlW00001C0000728R0585476093S00001454P01324LAocjBAQBF1NjaVRlZ2ljLmRhdGEuTW9sZWN1bGUBbwF/ARJTY2lUZWdpYy5Nb2xlY3VsZQAAAQFkAv5qAQAAAAIAAgERGAAAAPz8APwAAgAAAAAAAPC/AqCJsOHpleQ/AsuhRbbz/aQ/AAAAABgAAAD8/AD8AAIAAAAAAADwvwJ+HThnRGm/vwJTJ6CJsOHlPwAAAAAYAAAA/PwA/AACAAAAAAAA8L8Cj1N0JJf/8L8CjnVxGw3g1T8AAAAAGAAAAPz8APwAAgAAAAAAAPC/AogW2c73U/k/AlCNl24Sg9g/AAAAACAAAAD8/AD8AAIAAAAAAADwvwLIKTqSy38AwAKRD3o2qz72vwAAAAAcAAAA/PwA/AACAAAAAAAA8L8CKxiV1AloAcACirDh6ZWy+j8AAAAAIAAAAPz8APwAAgAAAAAAAPC/ApchjnVxG/w/AjWAt0CC4vU/AAAAABgAAAD8/AD8AAIAAAAAAADwvwKeXinLEMfzvwJE+u3rwDn1PwAAAAAYAAAA/PwA/AACAAAAAAAA8L8CyJi7lpAP3j8Cpd++Dpwz7r8AAAAAGAAAAPz8APwAAgAAAAAAAPC/AsgpOpLLfwDAAsrDQq1p3tU/AAAAABgAAAD8/AD8AAIAAAAAAADwvwIep+hILv/hvwKeXinLEMfgvwAAAAAYAAAA/PwA/AACAAAAAAAA8L8Cj1N0JJf/8L8CkQ96Nqs+9r8AAAAAGAAAAPz8APwAAgAAAAAAAPC/AsgpOpLLfwTAAp5eKcsQx+C/AAAAABgAAAD8/AD8AAIAAAAAAADwvwKYbhKDwMoCQAIcDeAtkKDQvwAAAAAYAAAA/PwA/AACAAAAAAAA8L8CbqMBvAWSBUACejarPldb+z8AAAAAGAAAAPz8APwAAgAAAAAAAPC/Atqs+lxtxfM/Am1Wfa62Yvm/AAAAABgAAAD8/AD8AAIAAAAAAADwvwJJv30dOGcBQAIooImw4enzvwAAAAABEgQAAWUEAAAAAAAAAAAIBAFlBAAAAAAAAAAADAABZQQAAAAAAAAAABAsAWUEAAAAAAAAAAAUHAFlBAAAAAAAAAAAGAwBZQQAAAAAAAAAABwIAWUEAAAAAAAAAAAgAAFlCAwAAAAAAAAAJAgBZQQAAAAAAAAAACgIAWUEAAAAAAAAAAAsKAFlBAAAAAAAAAAAMCQBZQQAAAAAAAAAADQMAWUICAAAAAAAAAA4GAFlBAAAAAAAAAAAPCABZQQAAAAAAAAAAAEQPAFlCAgAAAAAAAAANAEQAWUEAAAAAAAAAAAwEAFlBAAAAAAAAAAAAAAAAA==</t>
        </r>
      </text>
    </comment>
    <comment ref="A729" authorId="0" shapeId="0" xr:uid="{28F4D876-7CA3-4CE3-80C9-F659DE6B3225}">
      <text>
        <r>
          <rPr>
            <sz val="9"/>
            <color indexed="81"/>
            <rFont val="MS P ゴシック"/>
            <family val="3"/>
            <charset val="128"/>
          </rPr>
          <t>Insight iXlW00001C0000729R0585476093S00001456P01288LAocjBAQBF1NjaVRlZ2ljLmRhdGEuTW9sZWN1bGUBbwF/ARJTY2lUZWdpYy5Nb2xlY3VsZQAAAQFkAv5qAQAAAAIAAgERHAAAAPz8APwAAgAAAAAAAPC/AgdfmEwVjMq/AnyDL0ymCvg/AAAAABgAAAD8/AD8AAIAAAAAAADwvwJZqDXNO06hvwI2zTtO0ZHgPwAAAAAYAAAA/PwA/AACAAAAAAAA8L8C1udqK/aX6b8CAAAAAAAAwL8AAAAAGAAAAPz8APwAAgAAAAAAAPC/AlmoNc07TqG/AjbNO07Rkei/AAAAABgAAAD8/AD8AAIAAAAAAADwvwLpSC7/If3sPwJVwaikTkDbvwAAAAAYAAAA/PwA/AACAAAAAAAA8L8CjpduEoPA+j8C8BZIUPwY8b8AAAAAGAAAAPz8APwAAgAAAAAAAPC/AmrecYqO5ARAAnNoke18P+e/AAAAABgAAAD8/AD8AAIAAAAAAADwvwLyY8xdS0gGQAKdoiO5/IfQPwAAAAAcAAAA/PwA/AACAAAAAAAA8L8CnoAmwoYnAEAChJ7Nqs/V7D8AAAAAGAAAAPz8APwAAgAAAAAAAPC/AoQvTKYKRvE/AhfZzvdT4+E/AAAAABgAAAD8/AD8AAIAAAAAAADwvwLrc7UV+8v0vwKDwMqhRbbvvwAAAAAYAAAA/PwA/AACAAAAAAAA8L8C9rnaiv1lAsACg8DKoUW2778AAAAAIAAAAPz8APwAAgAAAAAAAPC/Ava52or9ZQbAAgAAAAAAAMC/AAAAABgAAAD8/AD8AAIAAAAAAADwvwL2udqK/WUCwAKDwMqhRbbnPwAAAAAYAAAA/PwA/AACAAAAAAAA8L8C63O1FfvL9L8Cg8DKoUW25z8AAAAAAREAAAD8/AD8AAIAAAAAAADwvwJYyjLEsa4MQAIQC7WmecfJPwAAAAABEQAAAPz8APwAAgAAAAAAAPC/Arraiv1ldxJAAktZhjjWxc0/AAAAAAEQAAQBZQQAAAAAAAAAAAQIAWUEAAAAAAAAAAAIDAFlBAAAAAAAAAAADBABZQQAAAAAAAAAABAUAWUIDAAAAAAAAAAUGAFlBAAAAAAAAAAAGBwBZQgIAAAAAAAAABwgAWUEAAAAAAAAAAAgJAFlCAgAAAAAAAAAJBABZQQAAAAAAAAAAAgoAWUEAAAAAAAAAAAoLAFlBAAAAAAAAAAALDABZQQAAAAAAAAAADA0AWUEAAAAAAAAAAA0OAFlBAAAAAAAAAAAOAgBZQQAAAAAAAAAAAAAAAA=</t>
        </r>
      </text>
    </comment>
    <comment ref="A730" authorId="0" shapeId="0" xr:uid="{BEDCD225-2847-4836-970C-D79BCBC36A7E}">
      <text>
        <r>
          <rPr>
            <sz val="9"/>
            <color indexed="81"/>
            <rFont val="MS P ゴシック"/>
            <family val="3"/>
            <charset val="128"/>
          </rPr>
          <t>Insight iXlW00001C0000730R0585476093S00001458P01016LAocjBAQBF1NjaVRlZ2ljLmRhdGEuTW9sZWN1bGUBbwF/ARJTY2lUZWdpYy5Nb2xlY3VsZQAAAQFkAv5qAQAAAAIAAjQYAAAA/PwA/AACAAAAAAAA8L8CS+oENBE2zL8C78nDQq1pnr8AAAAAHAAAAPz8APwAAgAAAAAAAPC/AoSezarP1eI/AiS5/If02+E/AAAAABwAAAD8/AD8AAIAAAAAAADwvwIf9GxWfa62PwJtVn2utmLvvwAAAAAYAAAA/PwA/AACAAAAAAAA8L8CzjtO0ZFc9j8C78nDQq1pnr8AAAAAIAAAAPz8APwAAgAAAAAAAPC/AkLPZtXnavE/Aov9ZffkYe+/AAAAABgAAAD8/AD8AAIAAAAAAADwvwJYObTIdr7yvwKOdXEbDeDRPwAAAAAgAAAA/PwA/AACAAAAAAAA8L8CbqMBvAUS9r8CH4XrUbge9D8AAAAAGAAAAPz8APwAAgAAAAAAAPC/Au7rwDkjygJAAsrDQq1p3tE/AAAAACAAAAD8/AD8AAIAAAAAAADwvwLgvg6cM6L+vwJuxf6ye/LYvwAAAAAYAAAA/PwA/AACAAAAAAAA8L8C+aBns+pzBEACrthfdk8e9D8AAAAAGAAAAPz8APwAAgAAAAAAAPC/ArIubqMBvAhAAjJ3LSEf9Ni/AAAAABgAAAD8/AD8AAIAAAAAAADwvwJ4LSEf9OwGwAICTYQNT6+0vwAAAAAYAAAA/PwA/AACAAAAAAAA8L8CO3DOiNLeDMACAAAAAAAA6L8AAAAANAQAAWUEAAAAAAAAAAAIAAFlCAgAAAAAAAAADAQBZQgMAAAAAAAAABAIAWUEAAAAAAAAAAAUAAFlBAAAAAAAAAAAGBQBZQgAAAAAAAAAABwMAWUEAAAAAAAAAAAgFAFlBAAAAAAAAAAAJBwBZQQAAAAAAAAAACgcAWUEAAAAAAAAAAAsIAFlBAAAAAAAAAAAMCwBZQQAAAAAAAAAAAwQAWUEAAAAAAAAAAAAAAAA</t>
        </r>
      </text>
    </comment>
    <comment ref="A731" authorId="0" shapeId="0" xr:uid="{3F11F7AE-42B8-4A6D-911A-FA4AFCC31154}">
      <text>
        <r>
          <rPr>
            <sz val="9"/>
            <color indexed="81"/>
            <rFont val="MS P ゴシック"/>
            <family val="3"/>
            <charset val="128"/>
          </rPr>
          <t>Insight iXlW00001C0000731R0585476093S00001460P01304LAocjBAQBF1NjaVRlZ2ljLmRhdGEuTW9sZWN1bGUBbwF/ARJTY2lUZWdpYy5Nb2xlY3VsZQAAAQFkAv5qAQAAAAIAAgERJAAAAPz8APwAAgAAAAAAAPC/AonS3uALEwvAAqQBvAUSFMe/AAAAABgAAAD8/AD8AAIAAAAAAADwvwKHp1fKMsQDwALLoUW28/3MPwAAAAAkAAAA/PwA/AACAAAAAAAA8L8CvsEXJlMFB8ACPgrXo3A98j8AAAAAJAAAAPz8APwAAgAAAAAAAPC/Agr5oGez6vi/Ak/RkVz+Q+Q/AAAAABgAAAD8/AD8AAIAAAAAAADwvwJQjZduEoMAwAKWQ4ts5/vlvwAAAAAYAAAA/PwA/AACAAAAAAAA8L8C6iYxCKwc8b8CiBbZzvdT6b8AAAAAHAAAAPz8APwAAgAAAAAAAPC/AvH0SlmGOOK/AoXrUbgehfq/AAAAACAAAAD8/AD8AAIAAAAAAADwvwJHA3gLJCjaPwL+1HjpJjH3vwAAAAAYAAAA/PwA/AACAAAAAAAA8L8CldQJaCJs4D8C4zYawFsg3b8AAAAAHAAAAPz8APwAAgAAAAAAAPC/AqtgVFInoNm/Al8pyxDHuqi/AAAAABgAAAD8/AD8AAIAAAAAAADwvwKMSuoENBH2PwLpSC7/If2mPwAAAAAYAAAA/PwA/AACAAAAAAAA8L8CZ9Xnaiv2AUAC4zYawFsg3b8AAAAAGAAAAPz8APwAAgAAAAAAAPC/AoiFWtO84whAAulILv8h/aY/AAAAABgAAAD8/AD8AAIAAAAAAADwvwKIhVrTvOMIQAJHcvkP6bfwPwAAAAAcAAAA/PwA/AACAAAAAAAA8L8CZ9Xnaiv2AUACSHL5D+m3+D8AAAAAGAAAAPz8APwAAgAAAAAAAPC/AoxK6gQ0EfY/Akdy+Q/pt/A/AAAAAAERAAAA/PwA/AACAAAAAAAA8L8C7uvAOSNKD0AC3pOHhVrTrL8AAAAAAREABAFlBAAAAAAAAAAABAgBZQQAAAAAAAAAAAQMAWUEAAAAAAAAAAAEEAFlBAAAAAAAAAAAEBQBZQQAAAAAAAAAABQYAWUIDAAAAAAAAAAYHAFlBAAAAAAAAAAAHCABZQQAAAAAAAAAACAkAWUICAAAAAAAAAAkFAFlBAAAAAAAAAAAKCABZQQAAAAAAAAAACgsAWUEAAAAAAAAAAAsMAFlBAAAAAAAAAAAMDQBZQQAAAAAAAAAADQ4AWUEAAAAAAAAAAA4PAFlBAAAAAAAAAAAPCgBZQQAAAAAAAAAAAAAAAA=</t>
        </r>
      </text>
    </comment>
    <comment ref="A732" authorId="0" shapeId="0" xr:uid="{9E62B501-53DC-4BF3-AA1F-AD0BAC09CA69}">
      <text>
        <r>
          <rPr>
            <sz val="9"/>
            <color indexed="81"/>
            <rFont val="MS P ゴシック"/>
            <family val="3"/>
            <charset val="128"/>
          </rPr>
          <t>Insight iXlW00001C0000732R0585476093S00001462P01304LAocjBAQBF1NjaVRlZ2ljLmRhdGEuTW9sZWN1bGUBbwF/ARJTY2lUZWdpYy5Nb2xlY3VsZQAAAQFkAv5qAQAAAAIAAgERJAAAAPz8APwAAgAAAAAAAPC/AonS3uALEwtAAqQBvAUSFMc/AAAAABgAAAD8/AD8AAIAAAAAAADwvwKHp1fKMsQDQALLoUW28/3MvwAAAAAkAAAA/PwA/AACAAAAAAAA8L8CvsEXJlMFB0ACPgrXo3A98r8AAAAAJAAAAPz8APwAAgAAAAAAAPC/Agr5oGez6vg/Ak/RkVz+Q+S/AAAAABgAAAD8/AD8AAIAAAAAAADwvwJQjZduEoMAQAKWQ4ts5/vlPwAAAAAYAAAA/PwA/AACAAAAAAAA8L8C6iYxCKwc8T8CiBbZzvdT6T8AAAAAHAAAAPz8APwAAgAAAAAAAPC/AvH0SlmGOOI/AoXrUbgehfo/AAAAACAAAAD8/AD8AAIAAAAAAADwvwJHA3gLJCjavwL+1HjpJjH3PwAAAAAYAAAA/PwA/AACAAAAAAAA8L8CldQJaCJs4L8C4zYawFsg3T8AAAAAHAAAAPz8APwAAgAAAAAAAPC/AqtgVFInoNk/Al8pyxDHuqg/AAAAABgAAAD8/AD8AAIAAAAAAADwvwKMSuoENBH2vwLpSC7/If2mvwAAAAAYAAAA/PwA/AACAAAAAAAA8L8CjErqBDQR9r8CR3L5D+m38L8AAAAAGAAAAPz8APwAAgAAAAAAAPC/AmfV52or9gHAAkhy+Q/pt/i/AAAAABgAAAD8/AD8AAIAAAAAAADwvwKIhVrTvOMIwAJHcvkP6bfwvwAAAAAYAAAA/PwA/AACAAAAAAAA8L8CiIVa07zjCMAC6Ugu/yH9pr8AAAAAHAAAAPz8APwAAgAAAAAAAPC/AmfV52or9gHAAuM2GsBbIN0/AAAAAAERAAAA/PwA/AACAAAAAAAA8L8CeJyiI7m8EEAC3pOHhVrTrD8AAAAAAREABAFlBAAAAAAAAAAABAgBZQQAAAAAAAAAAAQMAWUEAAAAAAAAAAAEEAFlBAAAAAAAAAAAEBQBZQQAAAAAAAAAABQYAWUIDAAAAAAAAAAYHAFlBAAAAAAAAAAAHCABZQQAAAAAAAAAACAkAWUICAAAAAAAAAAkFAFlBAAAAAAAAAAAKCABZQQAAAAAAAAAACgsAWUEAAAAAAAAAAAsMAFlBAAAAAAAAAAAMDQBZQQAAAAAAAAAADQ4AWUEAAAAAAAAAAA4PAFlBAAAAAAAAAAAPCgBZQQAAAAAAAAAAAAAAAA=</t>
        </r>
      </text>
    </comment>
    <comment ref="A733" authorId="0" shapeId="0" xr:uid="{A8CDC4AD-F990-451D-BDB2-511DD8DDE9B5}">
      <text>
        <r>
          <rPr>
            <sz val="9"/>
            <color indexed="81"/>
            <rFont val="MS P ゴシック"/>
            <family val="3"/>
            <charset val="128"/>
          </rPr>
          <t>Insight iXlW00001C0000733R0585476093S00001464P01232LAocjBAQBF1NjaVRlZ2ljLmRhdGEuTW9sZWN1bGUBbwF/ARJTY2lUZWdpYy5Nb2xlY3VsZQAAAQFkAv5qAQAAAAIAAgEQGAAAAPz8APwAAgAAAAAAAPC/AuJYF7fRAANAAv8h/fZ14PY/AAAAABgAAAD8/AD8AAIAAAAAAADwvwIm5IOezSoCQAIkufyH9NvbPwAAAAAYAAAA/PwA/AACAAAAAAAA8L8CAd4CCYofCkACQRNhw9Mr1T8AAAAAGAAAAPz8APwAAgAAAAAAAPC/Ampv8IXJVAFAAtuK/WX35OG/AAAAABgAAAD8/AD8AAIAAAAAAADwvwKV1AloImz0PwKEL0ymCkbhPwAAAAAcAAAA/PwA/AACAAAAAAAA8L8CSFD8GHPX6D8CBHgLJCh+9j8AAAAAIAAAAPz8APwAAgAAAAAAAPC/AjGZKhiV1Mm/AnxhMlUwKvM/AAAAABgAAAD8/AD8AAIAAAAAAADwvwJ88rBQa5rTvwIvbqMBvAXKPwAAAAAcAAAA/PwA/AACAAAAAAAA8L8CrYvbaABv4z8Ct9EA3gIJyr8AAAAAGAAAAPz8APwAAgAAAAAAAPC/AuGcEaW9wfK/AulILv8h/dK/AAAAABgAAAD8/AD8AAIAAAAAAADwvwLhnBGlvcHyvwI6kst/SL/0vwAAAAAYAAAA/PwA/AACAAAAAAAA8L8CkX77OnBOAMACO5LLf0i//L8AAAAAGAAAAPz8APwAAgAAAAAAAPC/ArIubqMBPAfAAjqSy39Iv/S/AAAAABgAAAD8/AD8AAIAAAAAAADwvwKyLm6jATwHwALpSC7/If3SvwAAAAAcAAAA/PwA/AACAAAAAAAA8L8CkX77OnBOAMACL26jAbwFyj8AAAAAAREAAAD8/AD8AAIAAAAAAADwvwI0orQ3+EIQQAIoDwu1pnnHvwAAAAABEAAEAWUEAAAAAAAAAAAECAFlBAAAAAAAAAAABAwBZQQAAAAAAAAAAAQQAWUEAAAAAAAAAAAQFAFlCAwAAAAAAAAAFBgBZQQAAAAAAAAAABgcAWUEAAAAAAAAAAAcIAFlCAgAAAAAAAAAIBABZQQAAAAAAAAAACQcAWUEAAAAAAAAAAAkKAFlBAAAAAAAAAAAKCwBZQQAAAAAAAAAACwwAWUEAAAAAAAAAAAwNAFlBAAAAAAAAAAANDgBZQQAAAAAAAAAADgkAWUEAAAAAAAAAAAAAAAA</t>
        </r>
      </text>
    </comment>
    <comment ref="A734" authorId="0" shapeId="0" xr:uid="{011E5F8A-EFA8-49B4-BDE4-90983728F416}">
      <text>
        <r>
          <rPr>
            <sz val="9"/>
            <color indexed="81"/>
            <rFont val="MS P ゴシック"/>
            <family val="3"/>
            <charset val="128"/>
          </rPr>
          <t>Insight iXlW00001C0000734R0585476093S00001466P00892LAocjBAQBF1NjaVRlZ2ljLmRhdGEuTW9sZWN1bGUBbwF/ARJTY2lUZWdpYy5Nb2xlY3VsZQAAAQFkAv5qAQAAAAIAAiwcAAAA/PwA/AACAAAAAAAA8L8CHqfoSC7/0T8CNYC3QILiz78AAAAAGAAAAPz8APwAAgAAAAAAAPC/Ah6n6Egu/9E/AvMf0m9fB+g/AAAAABwAAAD8/AD8AAIAAAAAAADwvwLWxW00gLfzPwKFfNCzWfXwPwAAAAAcAAAA/PwA/AACAAAAAAAA8L8CkDF3LSEf/T8C5j+k374O0D8AAAAAGAAAAPz8APwAAgAAAAAAAPC/AtbFbTSAt/M/AiS5/If02+G/AAAAABgAAAD8/AD8AAIAAAAAAADwvwL0bFZ9rrbivwIN4C2QoPjnvwAAAAAYAAAA/PwA/AACAAAAAAAA8L8C9GxWfa624r8C+g/pt68D9D8AAAAAGAAAAPz8APwAAgAAAAAAAPC/AryWkA96Nve/AjWAt0CC4s+/AAAAABgAAAD8/AD8AAIAAAAAAADwvwK8lpAPejb3vwLzH9JvXwfoPwAAAAAcAAAA/PwA/AACAAAAAAAA8L8Ct9EA3gKJAsACDeAtkKD4578AAAAAGAAAAPz8APwAAgAAAAAAAPC/AmIyVTAqqfg/AjBMpgpGJfi/AAAAADAEAAFlBAAAAAAAAAAACAQBZQgIAAAAAAAAAAwQAWUICAAAAAAAAAAQAAFlBAAAAAAAAAAAFAABZQQAAAAAAAAAABgEAWUEAAAAAAAAAAAcFAFlCAgAAAAAAAAAIBwBZQQAAAAAAAAAACQcAWUEAAAAAAAAAAAoEAFlBAAAAAAAAAAACAwBZQQAAAAAAAAAABggAWUICAAAAAAAAAAAAAAA</t>
        </r>
      </text>
    </comment>
    <comment ref="A735" authorId="0" shapeId="0" xr:uid="{3E3243CF-B31F-4ADD-AB6D-1CE980B711E5}">
      <text>
        <r>
          <rPr>
            <sz val="9"/>
            <color indexed="81"/>
            <rFont val="MS P ゴシック"/>
            <family val="3"/>
            <charset val="128"/>
          </rPr>
          <t>Insight iXlW00001C0000735R0585476093S00001468P01160LAocjBAQBF1NjaVRlZ2ljLmRhdGEuTW9sZWN1bGUBbwF/ARJTY2lUZWdpYy5Nb2xlY3VsZQAAAQFkAv5qAQAAAAIAAjwYAAAA/PwA/AACAAAAAAAA8L8C3gIJih/jAUACmUwVjErq/D8AAAAAGAAAAPz8APwAAgAAAAAAAPC/AmKh1jTvuAJAAuJYF7fRAOo/AAAAABgAAAD8/AD8AAIAAAAAAADwvwKdoiO5/AcKQAIN4C2QoPjZPwAAAAAYAAAA/PwA/AACAAAAAAAA8L8COdbFbTSA+D8CRWlv8IXJzD8AAAAAIAAAAPz8APwAAgAAAAAAAPC/AsgpOpLLf/g/As3MzMzMzOi/AAAAABwAAAD8/AD8AAIAAAAAAADwvwJUdCSX/5DiPwJjf9k9eVjxvwAAAAAYAAAA/PwA/AACAAAAAAAA8L8CxY8xdy0hf78CmpmZmZmZ0b8AAAAAHAAAAPz8APwAAgAAAAAAAPC/AlR0JJf/kOI/AkoMAiuHFuE/AAAAABgAAAD8/AD8AAIAAAAAAADwvwKQMXctIR/wvwKamZmZmZnRvwAAAAAYAAAA/PwA/AACAAAAAAAA8L8CkDF3LSEf+L8Ct/P91Hjp4j8AAAAAGAAAAPz8APwAAgAAAAAAAPC/ApDC9ShcDwTAArfz/dR46eI/AAAAABgAAAD8/AD8AAIAAAAAAADwvwKQwvUoXA8IwAJeS8gHPZvRvwAAAAAcAAAA/PwA/AACAAAAAAAA8L8CyJi7lpAPBMACGXPXEvJB8r8AAAAAGAAAAPz8APwAAgAAAAAAAPC/ApAxdy0hH/i/Ahlz1xLyQfK/AAAAAAERAAAA/PwA/AACAAAAAAAA8L8CggTFjzE3EEAC4QuTqYJR1T8AAAAAPAAEAWUEAAAAAAAAAAAECAFlBAAAAAAAAAAABAwBZQQAAAAAAAAAAAwQAWUEAAAAAAAAAAAQFAFlBAAAAAAAAAAAFBgBZQgIAAAAAAAAABgcAWUEAAAAAAAAAAAcDAFlCAwAAAAAAAAAIBgBZQQAAAAAAAAAACAkAWUEAAAAAAAAAAAkKAFlBAAAAAAAAAAAKCwBZQQAAAAAAAAAACwwAWUEAAAAAAAAAAAwNAFlBAAAAAAAAAAANCABZQQAAAAAAAAAAAAAAAA=</t>
        </r>
      </text>
    </comment>
    <comment ref="A736" authorId="0" shapeId="0" xr:uid="{A5F1868D-5B3F-4B0D-911C-224ECE57070E}">
      <text>
        <r>
          <rPr>
            <sz val="9"/>
            <color indexed="81"/>
            <rFont val="MS P ゴシック"/>
            <family val="3"/>
            <charset val="128"/>
          </rPr>
          <t>Insight iXlW00001C0000736R0585476093S00001470P01232LAocjBAQBF1NjaVRlZ2ljLmRhdGEuTW9sZWN1bGUBbwF/ARJTY2lUZWdpYy5Nb2xlY3VsZQAAAQFkAv5qAQAAAAIAAgEQGAAAAPz8APwAAgAAAAAAAPC/ApayDHGsi/k/AhWuR+F6FPk/AAAAABgAAAD8/AD8AAIAAAAAAADwvwLvOEVHcnkBQAIxKqkT0EToPwAAAAAYAAAA/PwA/AACAAAAAAAA8L8CbsX+snvyB0AC0gDeAgmK9T8AAAAAGAAAAPz8APwAAgAAAAAAAPC/AszuycNCLQZAAmPuWkI+6Km/AAAAABgAAAD8/AD8AAIAAAAAAADwvwJTBaOSOgH2PwJ+rrZif9nFPwAAAAAgAAAA/PwA/AACAAAAAAAA8L8C4lgXt9EA9j8Cf/s6cM6I6r8AAAAAHAAAAPz8APwAAgAAAAAAAPC/AhKlvcEXJts/AryWkA96NvK/AAAAABgAAAD8/AD8AAIAAAAAAADwvwKpE9BE2PDEvwL99nXgnBHVvwAAAAAcAAAA/PwA/AACAAAAAAAA8L8CEqW9wRcm2z8CMLsnDwu13j8AAAAAGAAAAPz8APwAAgAAAAAAAPC/AnUCmggbnvK/Av32deCcEdW/AAAAABgAAAD8/AD8AAIAAAAAAADwvwJ2ApoIG576vwIFxY8xdy3hPwAAAAAYAAAA/PwA/AACAAAAAAAA8L8COwFNhA1PBcACBcWPMXct4T8AAAAAGAAAAPz8APwAAgAAAAAAAPC/AjsBTYQNTwnAAv32deCcEdW/AAAAABwAAAD8/AD8AAIAAAAAAADwvwI7AU2EDU8FwAIB3gIJih/zvwAAAAAYAAAA/PwA/AACAAAAAAAA8L8CdgKaCBue+r8CAd4CCYof878AAAAAAREAAAD8/AD8AAIAAAAAAADwvwLUK2UZ4lgOQAKLjuTyH9LHPwAAAAABEAAEAWUEAAAAAAAAAAAECAFlBAAAAAAAAAAABAwBZQQAAAAAAAAAAAQQAWUEAAAAAAAAAAAQFAFlBAAAAAAAAAAAFBgBZQQAAAAAAAAAABgcAWUICAAAAAAAAAAcIAFlBAAAAAAAAAAAIBABZQgMAAAAAAAAACQcAWUEAAAAAAAAAAAkKAFlBAAAAAAAAAAAKCwBZQQAAAAAAAAAACwwAWUEAAAAAAAAAAAwNAFlBAAAAAAAAAAANDgBZQQAAAAAAAAAADgkAWUEAAAAAAAAAAAAAAAA</t>
        </r>
      </text>
    </comment>
    <comment ref="A737" authorId="0" shapeId="0" xr:uid="{84A0572E-2C61-4326-81C1-4B6DE6082B8D}">
      <text>
        <r>
          <rPr>
            <sz val="9"/>
            <color indexed="81"/>
            <rFont val="MS P ゴシック"/>
            <family val="3"/>
            <charset val="128"/>
          </rPr>
          <t>Insight iXlW00001C0000737R0585476093S00001472P00876LAocjBAQBF1NjaVRlZ2ljLmRhdGEuTW9sZWN1bGUBbwF/ARJTY2lUZWdpYy5Nb2xlY3VsZQAAAQFkAv5qAQAAAAIAAiwgAAAA/PwA/AACAAAAAAAA8L8CHqfoSC5/AkACINJvXwfO0T8AAAAAGAAAAPz8APwAAgAAAAAAAPC/Ap5eKcsQx/U/AhUdyeU/pJ+/AAAAABgAAAD8/AD8AAIAAAAAAADwvwIm5IOezarhPwKpNc07TtHhPwAAAAAYAAAA/PwA/AACAAAAAAAA8L8C4umVsgxx0L8CFR3J5T+kn78AAAAAGAAAAPz8APwAAgAAAAAAAPC/AnWTGARWDvG/AlwgQfFjzOO/AAAAABgAAAD8/AD8AAIAAAAAAADwvwKPU3Qkl//9vwLSAN4CCYqfvwAAAAAcAAAA/PwA/AACAAAAAAAA8L8CBOeMKO0N+b8CNe84RUdy7T8AAAAAGAAAAPz8APwAAgAAAAAAAPC/AgjOGVHaG+K/AjXvOEVHcu0/AAAAABgAAAD8/AD8AAIAAAAAAADwvwJbQj7o2ayqPwIHgZVDi2zvvwAAAAAcAAAA/PwA/AACAAAAAAAA8L8CE/JBz2bV8D8CB4GVQ4ts778AAAAAAREAAAD8/AD8AAIAAAAAAADwvwKFDU+vlOUIQAIVHcnlP6SfvwAAAAAsAAQBZQgAAAAAAAAAAAQIAWUEAAAAAAAAAAAMCAFlBAAAAAAAAAAADBABZQQAAAAAAAAAABAUAWUEAAAAAAAAAAAUGAFlBAAAAAAAAAAAGBwBZQQAAAAAAAAAABwMAWUEAAAAAAAAAAAMIAFlBAAAAAAAAAAAICQBZQQAAAAAAAAAACQEAWUEAAAAAAAAAAAAAAAA</t>
        </r>
      </text>
    </comment>
    <comment ref="A738" authorId="0" shapeId="0" xr:uid="{DF286BB1-F87E-4D13-BB2B-731D9C25D132}">
      <text>
        <r>
          <rPr>
            <sz val="9"/>
            <color indexed="81"/>
            <rFont val="MS P ゴシック"/>
            <family val="3"/>
            <charset val="128"/>
          </rPr>
          <t>Insight iXlW00001C0000738R0585476093S00001474P01104LAocjBAQBF1NjaVRlZ2ljLmRhdGEuTW9sZWN1bGUBbwF/ARJTY2lUZWdpYy5Nb2xlY3VsZQAAAQFkAv5qAQAAAAIAAjgYAAAA/PwA/AACAAAAAAAA8L8CQfFjzF1LuD8C4ZwRpb3Bxz8AAAAAGAAAAPz8APwAAgAAAAAAAPC/AhQ/xty1hPE/AuGcEaW9wcc/AAAAABgAAAD8/AD8AAIAAAAAAADwvwIUP8bctYT5PwJLWYY41sXlvwAAAAAgAAAA/PwA/AACAAAAAAAA8L8CsAPnjCjt2b8CS1mGONbF5b8AAAAAHAAAAPz8APwAAgAAAAAAAPC/ArAD54wo7dm/At6Th4Va0/A/AAAAACAAAAD8/AD8AAIAAAAAAADwvwKKH2PuWsIEQAJLWYY41sXlvwAAAAAgAAAA/PwA/AACAAAAAAAA8L8CFD/G3LWE8T8CWDm0yHa++L8AAAAAGAAAAPz8APwAAgAAAAAAAPC/AuzAOSNKe/a/AktZhjjWxeW/AAAAABgAAAD8/AD8AAIAAAAAAADwvwIUP8bctYT5PwLek4eFWtPwPwAAAAAYAAAA/PwA/AACAAAAAAAA8L8CBOeMKO2NBsACLbKd76fG5b8AAAAAGAAAAPz8APwAAgAAAAAAAPC/AkHxY8xdS7g/AiD0bFZ9rv4/AAAAABgAAAD8/AD8AAIAAAAAAADwvwK94xQdyeUAwAIQejarPlebPwAAAAAYAAAA/PwA/AACAAAAAAAA8L8CveMUHcnlAMACpd++Dpwz9r8AAAAAGAAAAPz8APwAAgAAAAAAAPC/AhQ/xty1hPE/AiD0bFZ9rv4/AAAAADwEAAFlBAAAAAAAAAAACAQBZQQAAAAAAAAAAAwAAWUEAAAAAAAAAAAQAAFlCAgAAAAAAAAAFAgBZQgAAAAAAAAAABgIAWUEAAAAAAAAAAAcDAFlBAAAAAAAAAAAIAQBZQgIAAAAAAAAACQwAWUEAAAAAAAAAAAoEAFlBAAAAAAAAAAALBwBZQQAAAAAAAAAADAcAWUEAAAAAAAAAAA0KAFlCAgAAAAAAAAAJCwBZQQAAAAAAAAAACA0AWUEAAAAAAAAAAAAAAAA</t>
        </r>
      </text>
    </comment>
    <comment ref="A739" authorId="0" shapeId="0" xr:uid="{20423B77-CDA5-4C22-88D1-444FCE60E57E}">
      <text>
        <r>
          <rPr>
            <sz val="9"/>
            <color indexed="81"/>
            <rFont val="MS P ゴシック"/>
            <family val="3"/>
            <charset val="128"/>
          </rPr>
          <t>Insight iXlW00001C0000739R0585476093S00001476P01248LAocjBAQBF1NjaVRlZ2ljLmRhdGEuTW9sZWN1bGUBbwF/ARJTY2lUZWdpYy5Nb2xlY3VsZQAAAQFkAv5qAQAAAAIAAgEQHAAAAPz8APwAAgAAAAAAAPC/AmpN845TdPA/AnGsi9toAOe/AAAAABgAAAD8/AD8AAIAAAAAAADwvwL3Bl+YTBUGQAKPU3Qkl//mvwAAAAAYAAAA/PwA/AACAAAAAAAA8L8CrK3YX3ZP/j8CPE7RkVz+y78AAAAAGAAAAPz8APwAAgAAAAAAAPC/AkVpb/CFycQ/AsWxLm6jAcy/AAAAACAAAAD8/AD8AAIAAAAAAADwvwIYt9EA3gINQAI8TtGRXP7LvwAAAAAgAAAA/PwA/AACAAAAAAAA8L8CMuauJeSD5r8CcayL22gA578AAAAAIAAAAPz8APwAAgAAAAAAAPC/AiigibDhaQrAAo9TdCSX/+g/AAAAACAAAAD8/AD8AAIAAAAAAADwvwL3Bl+YTBUGQALIKTqSy3/7vwAAAAAYAAAA/PwA/AACAAAAAAAA8L8CzH9Iv30d+b8CxbEubqMBzL8AAAAAGAAAAPz8APwAAgAAAAAAAPC/Asx/SL99Hfm/Ao9TdCSX/+g/AAAAABgAAAD8/AD8AAIAAAAAAADwvwIH8BZIUHwDwAKPU3Qkl//mvwAAAAAYAAAA/PwA/AACAAAAAAAA8L8CRWlv8IXJxD8Cj1N0JJf/6D8AAAAAGAAAAPz8APwAAgAAAAAAAPC/Aqyt2F92T/4/AnGsi9toAOk/AAAAABgAAAD8/AD8AAIAAAAAAADwvwIooImw4WkKwAI8TtGRXP7LvwAAAAAYAAAA/PwA/AACAAAAAAAA8L8CB/AWSFB8A8ACyCk6kst/9D8AAAAAGAAAAPz8APwAAgAAAAAAAPC/AmpN845TdPA/AsgpOpLLf/Q/AAAAAAERBAgBZQQAAAAAAAAAAAgAAWUEAAAAAAAAAAAMAAFlCAwAAAAAAAAAEAQBZQgAAAAAAAAAABQMAWUEAAAAAAAAAAAYNAFlBAAAAAAAAAAAHAQBZQQAAAAAAAAAACAUAWUEAAAAAAAAAAAkIAFlBAAAAAAAAAAAKCABZQQAAAAAAAAAACwMAWUEAAAAAAAAAAAwCAFlCAwAAAAAAAAANCgBZQQAAAAAAAAAADgkAWUEAAAAAAAAAAA8LAFlCAgAAAAAAAAAMDwBZQQAAAAAAAAAABg4AWUEAAAAAAAAAAAAAAAA</t>
        </r>
      </text>
    </comment>
    <comment ref="A740" authorId="0" shapeId="0" xr:uid="{55144E93-64E4-42AD-8A77-1DE901A26C26}">
      <text>
        <r>
          <rPr>
            <sz val="9"/>
            <color indexed="81"/>
            <rFont val="MS P ゴシック"/>
            <family val="3"/>
            <charset val="128"/>
          </rPr>
          <t>Insight iXlW00001C0000740R0585476093S00001478P01104LAocjBAQBF1NjaVRlZ2ljLmRhdGEuTW9sZWN1bGUBbwF/ARJTY2lUZWdpYy5Nb2xlY3VsZQAAAQFkAv5qAQAAAAIAAjgYAAAA/PwA/AACAAAAAAAA8L8Cam/whclU878CoWez6nO1hT8AAAAAGAAAAPz8APwAAgAAAAAAAPC/Ampv8IXJVPu/AiKOdXEbDew/AAAAABgAAAD8/AD8AAIAAAAAAADwvwJKe4MvTKbKvwKhZ7Pqc7WFPwAAAAAcAAAA/PwA/AACAAAAAAAA8L8Cam/whclU+78C5fIf0m9f678AAAAAGAAAAPz8APwAAgAAAAAAAPC/AltCPujZrNI/AuXyH9JvX+u/AAAAACAAAAD8/AD8AAIAAAAAAADwvwKSy39Iv/0DQAKHp1fKMsTzPwAAAAAgAAAA/PwA/AACAAAAAAAA8L8CtTf4wmSqBcACIo51cRsN7D8AAAAAIAAAAPz8APwAAgAAAAAAAPC/ApeQD3o2q/Q/AuXyH9JvX+u/AAAAABgAAAD8/AD8AAIAAAAAAADwvwKXkA96Nqv8PwKhZ7Pqc7WFPwAAAAAgAAAA/PwA/AACAAAAAAAA8L8C+MJkqmBU878CUyegibDh+z8AAAAAGAAAAPz8APwAAgAAAAAAAPC/Ampv8IXJVPO/ArRZ9bnaivu/AAAAABgAAAD8/AD8AAIAAAAAAADwvwJKe4MvTKbKvwK0WfW52or7vwAAAAAYAAAA/PwA/AACAAAAAAAA8L8COUVHcvkPBkACr7Zif9k90T8AAAAAGAAAAPz8APwAAgAAAAAAAPC/ArtJDAIrh/g/AnNoke18P+8/AAAAADwEAAFlBAAAAAAAAAAACAABZQQAAAAAAAAAAAwAAWUIDAAAAAAAAAAQCAFlCAwAAAAAAAAAFDQBZQQAAAAAAAAAABgEAWUIAAAAAAAAAAAcEAFlBAAAAAAAAAAAIBwBZQQAAAAAAAAAACQEAWUEAAAAAAAAAAAoDAFlBAAAAAAAAAAALBABZQQAAAAAAAAAADAgAWUEAAAAAAAAAAA0IAFlBAAAAAAAAAAAKCwBZQgIAAAAAAAAABQwAWUEAAAAAAAAAAAAAAAA</t>
        </r>
      </text>
    </comment>
    <comment ref="A741" authorId="0" shapeId="0" xr:uid="{1C6C02D6-F2D5-476D-A5D4-99A7EC8E57DD}">
      <text>
        <r>
          <rPr>
            <sz val="9"/>
            <color indexed="81"/>
            <rFont val="MS P ゴシック"/>
            <family val="3"/>
            <charset val="128"/>
          </rPr>
          <t>Insight iXlW00001C0000741R0585476093S00001480P01324LAocjBAQBF1NjaVRlZ2ljLmRhdGEuTW9sZWN1bGUBbwF/ARJTY2lUZWdpYy5Nb2xlY3VsZQAAAQFkAv5qAQAAAAIAAgERGAAAAPz8APwAAgAAAAAAAPC/AqoT0ETY8Pg/Ah8Wak3zjsO/AAAAABgAAAD8/AD8AAIAAAAAAADwvwKpE9BE2PDwPwL8OnDOiNLmPwAAAAAYAAAA/PwA/AACAAAAAAAA8L8CqRPQRNjw8D8CBqOSOgFN8L8AAAAAHAAAAPz8APwAAgAAAAAAAPC/AqoT0ETY8Pg/AsB9HThnRPk/AAAAACAAAAD8/AD8AAIAAAAAAADwvwImdQKaCBuuPwL8OnDOiNLmPwAAAAAgAAAA/PwA/AACAAAAAAAA8L8CqhPQRNjw+D8CuK8D54wo/r8AAAAAIAAAAPz8APwAAgAAAAAAAPC/Aiz2l92ThwvAAh8Wak3zjsO/AAAAACAAAAD8/AD8AAIAAAAAAADwvwImdQKaCBuuPwIGo5I6AU3wvwAAAAAYAAAA/PwA/AACAAAAAAAA8L8CXLG/7J483L8CHxZqTfOOw78AAAAAGAAAAPz8APwAAgAAAAAAAPC/AtUJaCJseARAAh8Wak3zjsO/AAAAABgAAAD8/AD8AAIAAAAAAADwvwJX7C+7Jw/3vwIfFmpN847DvwAAAAAYAAAA/PwA/AACAAAAAAAA8L8C1QloImx4BEACwH0dOGdE+T8AAAAAGAAAAPz8APwAAgAAAAAAAPC/Aiz2l92ThwfAAgajkjoBTfC/AAAAABgAAAD8/AD8AAIAAAAAAADwvwIs9pfdk4cHwAL8OnDOiNLmPwAAAAAYAAAA/PwA/AACAAAAAAAA8L8CV+wvuycP/78CBqOSOgFN8L8AAAAAGAAAAPz8APwAAgAAAAAAAPC/AlfsL7snD/+/Avw6cM6I0uY/AAAAABgAAAD8/AD8AAIAAAAAAADwvwLVCWgibHgIQAL8OnDOiNLmPwAAAAABEgQAAWUEAAAAAAAAAAAIAAFlBAAAAAAAAAAADAQBZQgIAAAAAAAAABAEAWUEAAAAAAAAAAAUCAFlCAAAAAAAAAAAGDQBZQQAAAAAAAAAABwIAWUEAAAAAAAAAAAgEAFlBAAAAAAAAAAAJAABZQgIAAAAAAAAACggAWUEAAAAAAAAAAAsARABZQgIAAAAAAAAADA4AWUEAAAAAAAAAAA0PAFlBAAAAAAAAAAAOCgBZQQAAAAAAAAAADwoAWUEAAAAAAAAAAABECQBZQQAAAAAAAAAACwMAWUEAAAAAAAAAAAYMAFlBAAAAAAAAAAAAAAAAA==</t>
        </r>
      </text>
    </comment>
    <comment ref="A742" authorId="0" shapeId="0" xr:uid="{5D65DC84-A6CA-4776-AC71-41BD4552A86D}">
      <text>
        <r>
          <rPr>
            <sz val="9"/>
            <color indexed="81"/>
            <rFont val="MS P ゴシック"/>
            <family val="3"/>
            <charset val="128"/>
          </rPr>
          <t>Insight iXlW00001C0000742R0585476093S00001482P01324LAocjBAQBF1NjaVRlZ2ljLmRhdGEuTW9sZWN1bGUBbwF/ARJTY2lUZWdpYy5Nb2xlY3VsZQAAAQFkAv5qAQAAAAIAAgERHAAAAPz8APwAAgAAAAAAAPC/AlfsL7snD/8/AgFvgQTFj/M/AAAAABgAAAD8/AD8AAIAAAAAAADwvwLzH9JvX4cLQAL8OnDOiNLWPwAAAAAYAAAA/PwA/AACAAAAAAAA8L8C8x/Sb1+HA0AC/DpwzojS1j8AAAAAIAAAAPz8APwAAgAAAAAAAPC/AvMf0m9fhw9AAnIbDeAtkPM/AAAAACAAAAD8/AD8AAIAAAAAAADwvwLrBDQRNjwQwAIGo5I6AU3gvwAAAAAYAAAA/PwA/AACAAAAAAAA8L8CV+wvuycP/z8CBqOSOgFN4L8AAAAAGAAAAPz8APwAAgAAAAAAAPC/Aq7YX3ZPHu4/AgFvgQTFj/M/AAAAACAAAAD8/AD8AAIAAAAAAADwvwJTJ6CJsOHhvwL8OnDOiNLWPwAAAAAYAAAA/PwA/AACAAAAAAAA8L8CXLG/7J483D8C/DpwzojS1j8AAAAAIAAAAPz8APwAAgAAAAAAAPC/AvMf0m9fhw9AAgajkjoBTeC/AAAAABgAAAD8/AD8AAIAAAAAAADwvwKu2F92Tx7uPwIGo5I6AU3gvwAAAAAYAAAA/PwA/AACAAAAAAAA8L8CqRPQRNjw8L8CBqOSOgFN4L8AAAAAGAAAAPz8APwAAgAAAAAAAPC/AtUJaCJseADAAgajkjoBTeC/AAAAABgAAAD8/AD8AAIAAAAAAADwvwLVCWgibHgMwALEsS5uowH2vwAAAAAYAAAA/PwA/AACAAAAAAAA8L8C1QloImx4DMAC/DpwzojS1j8AAAAAGAAAAPz8APwAAgAAAAAAAPC/AtUJaCJseATAAsSxLm6jAfa/AAAAABgAAAD8/AD8AAIAAAAAAADwvwLVCWgibHgEwAL8OnDOiNLWPwAAAAABEgQIAWUEAAAAAAAAAAAIAAFlCAwAAAAAAAAADAQBZQgAAAAAAAAAABA4AWUEAAAAAAAAAAAUCAFlBAAAAAAAAAAAGAABZQQAAAAAAAAAABwgAWUEAAAAAAAAAAAgGAFlCAwAAAAAAAAAJAQBZQQAAAAAAAAAACgUAWUICAAAAAAAAAAsHAFlBAAAAAAAAAAAMCwBZQQAAAAAAAAAADQ8AWUEAAAAAAAAAAA4ARABZQQAAAAAAAAAADwwAWUEAAAAAAAAAAABEDABZQQAAAAAAAAAACAoAWUEAAAAAAAAAAAQNAFlBAAAAAAAAAAAAAAAAA==</t>
        </r>
      </text>
    </comment>
    <comment ref="A743" authorId="0" shapeId="0" xr:uid="{B1636F23-5976-4650-BAE6-84F902427106}">
      <text>
        <r>
          <rPr>
            <sz val="9"/>
            <color indexed="81"/>
            <rFont val="MS P ゴシック"/>
            <family val="3"/>
            <charset val="128"/>
          </rPr>
          <t>Insight iXlW00001C0000743R0585476093S00001484P01104LAocjBAQBF1NjaVRlZ2ljLmRhdGEuTW9sZWN1bGUBbwF/ARJTY2lUZWdpYy5Nb2xlY3VsZQAAAQFkAv5qAQAAAAIAAjgcAAAA/PwA/AACAAAAAAAA8L8CL90kBoGV978CVp+rrdhf5L8AAAAAGAAAAPz8APwAAgAAAAAAAPC/ArkehetRuALAAqtgVFInoOs/AAAAABgAAAD8/AD8AAIAAAAAAADwvwIv3SQGgZX3vwKRD3o2qz7XPwAAAAAgAAAA/PwA/AACAAAAAAAA8L8CSHL5D+m3CUACL26jAbwFsj8AAAAAIAAAAPz8APwAAgAAAAAAAPC/AtnO91PjpQnAAlXBqKROQNc/AAAAACAAAAD8/AD8AAIAAAAAAADwvwIH8BZIUPzxPwKrz9VW7C/yvwAAAAAYAAAA/PwA/AACAAAAAAAA8L8C2/l+arx0478CyQc9m1Wf6z8AAAAAGAAAAPz8APwAAgAAAAAAAPC/Atv5fmq8dOO/AqvP1VbsL/K/AAAAABgAAAD8/AD8AAIAAAAAAADwvwJJUPwYc9f/PwJWn6ut2F/kvwAAAAAYAAAA/PwA/AACAAAAAAAA8L8CUI2XbhKD0D8CVp+rrdhf5L8AAAAAIAAAAPz8APwAAgAAAAAAAPC/ArkehetRuALAAlYwKqkT0P0/AAAAABgAAAD8/AD8AAIAAAAAAADwvwJQjZduEoPQPwJVwaikTkDXPwAAAAAYAAAA/PwA/AACAAAAAAAA8L8C2c73U+OlB0ACDy2yne+n7L8AAAAAGAAAAPz8APwAAgAAAAAAAPC/ApLLf0i//QFAAv32deCcEdU/AAAAADwECAFlBAAAAAAAAAAACAABZQgMAAAAAAAAAAw0AWUEAAAAAAAAAAAQBAFlCAAAAAAAAAAAFCQBZQQAAAAAAAAAABgIAWUEAAAAAAAAAAAcAAFlBAAAAAAAAAAAIBQBZQQAAAAAAAAAACQcAWUIDAAAAAAAAAAoBAFlBAAAAAAAAAAALBgBZQgIAAAAAAAAADAgAWUEAAAAAAAAAAA0IAFlBAAAAAAAAAAAJCwBZQQAAAAAAAAAAAwwAWUEAAAAAAAAAAAAAAAA</t>
        </r>
      </text>
    </comment>
    <comment ref="A744" authorId="0" shapeId="0" xr:uid="{26FD34A1-85A4-4346-80BE-4567E9A3E971}">
      <text>
        <r>
          <rPr>
            <sz val="9"/>
            <color indexed="81"/>
            <rFont val="MS P ゴシック"/>
            <family val="3"/>
            <charset val="128"/>
          </rPr>
          <t>Insight iXlW00001C0000744R0585476093S00001486P00948LAocjBAQBF1NjaVRlZ2ljLmRhdGEuTW9sZWN1bGUBbwF/ARJTY2lUZWdpYy5Nb2xlY3VsZQAAAQFkAv5qAQAAAAIAAjAYAAAA/PwA/AACAAAAAAAA8L8CTMgHPZtV5b8CXW3F/rJ7wj8AAAAAGAAAAPz8APwAAgAAAAAAAPC/Aibkg57NqvK/Ag6+MJkqGOe/AAAAABwAAAD8/AD8AAIAAAAAAADwvwIm5IOezaryvwLtDb4wmSrwPwAAAAAYAAAA/PwA/AACAAAAAAAA8L8Cam/whclU1T8CXW3F/rJ7wj8AAAAAIAAAAPz8APwAAgAAAAAAAPC/AkzIBz2bVeW/Akm/fR04Z/m/AAAAACAAAAD8/AD8AAIAAAAAAADwvwIT8kHPZlUBwAIOvjCZKhjnvwAAAAAgAAAA/PwA/AACAAAAAAAA8L8CtTf4wmSq6j8CDr4wmSoY578AAAAAGAAAAPz8APwAAgAAAAAAAPC/AkzIBz2bVeW/Ai9uowG8Bf4/AAAAABgAAAD8/AD8AAIAAAAAAADwvwK1N/jCZKrqPwLtDb4wmSrwPwAAAAAYAAAA/PwA/AACAAAAAAAA8L8C2xt8YTJV/T8CDr4wmSoY578AAAAAGAAAAPz8APwAAgAAAAAAAPC/Ampv8IXJVNU/Ai9uowG8Bf4/AAAAABgAAAD8/AD8AAIAAAAAAADwvwLtDb4wmaoCQAJJv30dOGf5vwAAAAAwBAABZQQAAAAAAAAAAAgAAWUEAAAAAAAAAAAMAAFlCAgAAAAAAAAAEAQBZQgAAAAAAAAAABQEAWUEAAAAAAAAAAAYDAFlBAAAAAAAAAAAHAgBZQgIAAAAAAAAACAMAWUEAAAAAAAAAAAkGAFlBAAAAAAAAAAAKCABZQgIAAAAAAAAACwkAWUEAAAAAAAAAAAcKAFlBAAAAAAAAAAAAAAAAA==</t>
        </r>
      </text>
    </comment>
    <comment ref="A745" authorId="0" shapeId="0" xr:uid="{E6A37143-78E1-4099-84F0-39EF20C5B854}">
      <text>
        <r>
          <rPr>
            <sz val="9"/>
            <color indexed="81"/>
            <rFont val="MS P ゴシック"/>
            <family val="3"/>
            <charset val="128"/>
          </rPr>
          <t>Insight iXlW00001C0000745R0585476093S00001488P01088LAocjBAQBF1NjaVRlZ2ljLmRhdGEuTW9sZWN1bGUBbwF/ARJTY2lUZWdpYy5Nb2xlY3VsZQAAAQFkAv5qAQAAAAIAAjgYAAAA/PwA/AACAAAAAAAA8L8CswxxrIvb8j8CescpOpLL078AAAAAGAAAAPz8APwAAgAAAAAAAPC/ApVliGNd3MY/AqVOQBNhw/Y/AAAAABwAAAD8/AD8AAIAAAAAAADwvwI2zTtO0ZHUvwLG3LWEfNDhPwAAAAAcAAAA/PwA/AACAAAAAAAA8L8CswxxrIvb8j8CpU5AE2HD9j8AAAAAGAAAAPz8APwAAgAAAAAAAPC/ApVliGNd3MY/AnrHKTqSy9O/AAAAABgAAAD8/AD8AAIAAAAAAADwvwKzDHGsi9v6PwIg0m9fB87yvwAAAAAYAAAA/PwA/AACAAAAAAAA8L8CswxxrIvb+j8Cxty1hHzQ4T8AAAAAIAAAAPz8APwAAgAAAAAAAPC/AjbNO07RkdS/Aqyt2F92TwJAAAAAACAAAAD8/AD8AAIAAAAAAADwvwJahjjWxW0FQAIg0m9fB87yvwAAAAAgAAAA/PwA/AACAAAAAAAA8L8CswxxrIvb8j8CMZkqGJVUAMAAAAAAGAAAAPz8APwAAgAAAAAAAPC/Ak7zjlN0JPW/AsbctYR80OE/AAAAACAAAAD8/AD8AAIAAAAAAADwvwKneccpOpIGwAJ6xyk6ksvTvwAAAAAYAAAA/PwA/AACAAAAAAAA8L8CTvOOU3Qk/b8CescpOpLL078AAAAAGAAAAPz8APwAAgAAAAAAAPC/Aqd5xyk6kgrAAiDSb18HzvK/AAAAADgECAFlBAAAAAAAAAAACBABZQQAAAAAAAAAAAwYAWUICAAAAAAAAAAQAAFlCAwAAAAAAAAAFAABZQQAAAAAAAAAABgAAWUEAAAAAAAAAAAcBAFlCAAAAAAAAAAAIBQBZQgAAAAAAAAAACQUAWUEAAAAAAAAAAAoCAFlBAAAAAAAAAAALDABZQQAAAAAAAAAADAoAWUEAAAAAAAAAAA0LAFlBAAAAAAAAAAABAwBZQQAAAAAAAAAAAAAAAA=</t>
        </r>
      </text>
    </comment>
    <comment ref="A746" authorId="0" shapeId="0" xr:uid="{BF74DBEC-4DE1-47C4-A8A7-CFF23B3ABF3E}">
      <text>
        <r>
          <rPr>
            <sz val="9"/>
            <color indexed="81"/>
            <rFont val="MS P ゴシック"/>
            <family val="3"/>
            <charset val="128"/>
          </rPr>
          <t>Insight iXlW00001C0000746R0585476093S00001490P00664LAocjBAQBF1NjaVRlZ2ljLmRhdGEuTW9sZWN1bGUBbwF/ARJTY2lUZWdpYy5Nb2xlY3VsZQAAAQFkAv5qAQAAAAIAAiAYAAAA/PwA/AACAAAAAAAA8L8CnoAmwoan3z8COwFNhA1Pz78AAAAAIAAAAPz8APwAAgAAAAAAAPC/AgjOGVHaG+g/ApLtfD81XvO/AAAAABwAAAD8/AD8AAIAAAAAAADwvwK1pnnHKTrzPwKamZmZmZndPwAAAAAYAAAA/PwA/AACAAAAAAAA8L8CC7Wmeccp3r8ChlrTvOMUjT8AAAAAHAAAAPz8APwAAgAAAAAAAPC/AhB6Nqs+VwFAAlH8GHPXEso/AAAAABgAAAD8/AD8AAIAAAAAAADwvwL2udqK/WX9vwLbG3xhMlXYPwAAAAAYAAAA/PwA/AACAAAAAAAA8L8C9rnaiv1l9b8CLGUZ4lgX378AAAAAGAAAAPz8APwAAgAAAAAAAPC/AoZa07zjFO+/Au4NvjCZKuw/AAAAACAEAAFlCAAAAAAAAAAACAABZQQAAAAAAAAAAAwAAWUEAAAAAAAAAAAQCAFlBAAAAAAAAAAAFBwBZQQAAAAAAAAAABgMAWUEAAAAAAAAAAAcDAFlBAAAAAAAAAAAFBgBZQQAAAAAAAAAAAAAAAA=</t>
        </r>
      </text>
    </comment>
    <comment ref="A747" authorId="0" shapeId="0" xr:uid="{F8DB0B5D-D9E8-46AA-BB25-2B372EDB9FE3}">
      <text>
        <r>
          <rPr>
            <sz val="9"/>
            <color indexed="81"/>
            <rFont val="MS P ゴシック"/>
            <family val="3"/>
            <charset val="128"/>
          </rPr>
          <t>Insight iXlW00001C0000747R0585476093S00001492P00804LAocjBAQBF1NjaVRlZ2ljLmRhdGEuTW9sZWN1bGUBbwF/ARJTY2lUZWdpYy5Nb2xlY3VsZQAAAQFkAv5qAQAAAAIAAigYAAAA/PwA/AACAAAAAAAA8L8CZ2ZmZmZm7j8C0GbV52ortr8AAAAAIAAAAPz8APwAAgAAAAAAAPC/AjQzMzMzM/c/Al1txf6ye+6/AAAAABwAAAD8/AD8AAIAAAAAAADwvwI0MzMzMzP3PwKqE9BE2PDoPwAAAAAgAAAA/PwA/AACAAAAAAAA8L8CZ2ZmZmZmAMAC0GbV52ortr8AAAAAGAAAAPz8APwAAgAAAAAAAPC/ApqZmZmZmam/AtBm1edqK7a/AAAAABwAAAD8/AD8AAIAAAAAAADwvwKamZmZmZkDQAKqE9BE2PDoPwAAAAAYAAAA/PwA/AACAAAAAAAA8L8CzczMzMzM+L8CXW3F/rJ77r8AAAAAGAAAAPz8APwAAgAAAAAAAPC/As3MzMzMzPi/AqoT0ETY8Og/AAAAABgAAAD8/AD8AAIAAAAAAADwvwKamZmZmZnhvwKqE9BE2PDoPwAAAAAYAAAA/PwA/AACAAAAAAAA8L8CmpmZmZmZ4b8CXW3F/rJ77r8AAAAAKAQAAWUIAAAAAAAAAAAIAAFlBAAAAAAAAAAADBwBZQQAAAAAAAAAABAAAWUEAAAAAAAAAAAUCAFlBAAAAAAAAAAAGCQBZQQAAAAAAAAAABwgAWUEAAAAAAAAAAAgEAFlBAAAAAAAAAAAJBABZQQAAAAAAAAAABgMAWUEAAAAAAAAAAAAAAAA</t>
        </r>
      </text>
    </comment>
    <comment ref="A748" authorId="0" shapeId="0" xr:uid="{04B50853-9247-4730-91B5-5CA934179959}">
      <text>
        <r>
          <rPr>
            <sz val="9"/>
            <color indexed="81"/>
            <rFont val="MS P ゴシック"/>
            <family val="3"/>
            <charset val="128"/>
          </rPr>
          <t>Insight iXlW00001C0000748R0585476093S00001494P01216LAocjBAQBF1NjaVRlZ2ljLmRhdGEuTW9sZWN1bGUBbwF/ARJTY2lUZWdpYy5Nb2xlY3VsZQAAAQFkAv5qAQAAAAIAAgEQHAAAAPz8APwAAgAAAAAAAPC/AsTTK2UZ4qi/AuJYF7fRAOQ/AAAAABgAAAD8/AD8AAIAAAAAAADwvwKMSuoENBHqvwJyio7k8h+SvwAAAAAYAAAA/PwA/AACAAAAAAAA8L8CxNMrZRniqL8CikFg5dAi5b8AAAAAGAAAAPz8APwAAgAAAAAAAPC/AjLmriXkg+w/Avyp8dJNYtS/AAAAABgAAAD8/AD8AAIAAAAAAADwvwIofoy5awnxPwKlvcEXJlPlPwAAAAAYAAAA/PwA/AACAAAAAAAA8L8Ct9EA3gIJAEACGJXUCWgi8D8AAAAAGAAAAPz8APwAAgAAAAAAAPC/AkSLbOf7KQZAAva52or9Zdc/AAAAABgAAAD8/AD8AAIAAAAAAADwvwK8BRIUP8YEQALH3LWEfNDjvwAAAAAcAAAA/PwA/AACAAAAAAAA8L8CMuauJeSD+j8CUkmdgCbC7r8AAAAAGAAAAPz8APwAAgAAAAAAAPC/AkYldQKaCPW/Atc07zhFR+y/AAAAABgAAAD8/AD8AAIAAAAAAADwvwKjkjoBTYQCwALXNO84RUfsvwAAAAAgAAAA/PwA/AACAAAAAAAA8L8Co5I6AU2EBsACcoqO5PIfkr8AAAAAGAAAAPz8APwAAgAAAAAAAPC/AqOSOgFNhALAAjBMpgpGJes/AAAAABgAAAD8/AD8AAIAAAAAAADwvwJGJXUCmgj1vwIwTKYKRiXrPwAAAAABEQAAAPz8APwAAgAAAAAAAPC/Aqrx0k1ikAxAAvyp8dJNYoA/AAAAAAERAAAA/PwA/AACAAAAAAAA8L8CY+5aQj5oEkACbqMBvAUSpD8AAAAAPAAEAWUEAAAAAAAAAAAECAFlBAAAAAAAAAAACAwBZQQAAAAAAAAAAAwQAWUIDAAAAAAAAAAQFAFlBAAAAAAAAAAAFBgBZQgIAAAAAAAAABgcAWUEAAAAAAAAAAAcIAFlCAgAAAAAAAAAIAwBZQQAAAAAAAAAAAQkAWUEAAAAAAAAAAAkKAFlBAAAAAAAAAAAKCwBZQQAAAAAAAAAACwwAWUEAAAAAAAAAAAwNAFlBAAAAAAAAAAANAQBZQQAAAAAAAAAAAAAAAA=</t>
        </r>
      </text>
    </comment>
    <comment ref="A749" authorId="0" shapeId="0" xr:uid="{C9E870F1-D804-4019-B6AB-ADB0410039C4}">
      <text>
        <r>
          <rPr>
            <sz val="9"/>
            <color indexed="81"/>
            <rFont val="MS P ゴシック"/>
            <family val="3"/>
            <charset val="128"/>
          </rPr>
          <t>Insight iXlW00001C0000749R0585476093S00001496P01216LAocjBAQBF1NjaVRlZ2ljLmRhdGEuTW9sZWN1bGUBbwF/ARJTY2lUZWdpYy5Nb2xlY3VsZQAAAQFkAv5qAQAAAAIAAgEQHAAAAPz8APwAAgAAAAAAAPC/AsTTK2UZ4qi/AuJYF7fRAOQ/AAAAABgAAAD8/AD8AAIAAAAAAADwvwKMSuoENBHqvwJyio7k8h+SvwAAAAAYAAAA/PwA/AACAAAAAAAA8L8CxNMrZRniqL8CikFg5dAi5b8AAAAAGAAAAPz8APwAAgAAAAAAAPC/AjLmriXkg+w/Avyp8dJNYtS/AAAAABgAAAD8/AD8AAIAAAAAAADwvwIy5q4l5IP6PwJSSZ2AJsLuvwAAAAAYAAAA/PwA/AACAAAAAAAA8L8CvAUSFD/GBEACx9y1hHzQ478AAAAAGAAAAPz8APwAAgAAAAAAAPC/AkSLbOf7KQZAAva52or9Zdc/AAAAABwAAAD8/AD8AAIAAAAAAADwvwK30QDeAgkAQAIYldQJaCLwPwAAAAAYAAAA/PwA/AACAAAAAAAA8L8CKH6MuWsJ8T8Cpb3BFyZT5T8AAAAAGAAAAPz8APwAAgAAAAAAAPC/AkYldQKaCPW/Atc07zhFR+y/AAAAABgAAAD8/AD8AAIAAAAAAADwvwKjkjoBTYQCwALXNO84RUfsvwAAAAAgAAAA/PwA/AACAAAAAAAA8L8Co5I6AU2EBsACcoqO5PIfkr8AAAAAGAAAAPz8APwAAgAAAAAAAPC/AqOSOgFNhALAAjBMpgpGJes/AAAAABgAAAD8/AD8AAIAAAAAAADwvwJGJXUCmgj1vwIwTKYKRiXrPwAAAAABEQAAAPz8APwAAgAAAAAAAPC/Aqrx0k1ikAxAAvyp8dJNYoA/AAAAAAERAAAA/PwA/AACAAAAAAAA8L8CY+5aQj5oEkACbqMBvAUSpD8AAAAAPAAEAWUEAAAAAAAAAAAECAFlBAAAAAAAAAAACAwBZQQAAAAAAAAAAAwQAWUIDAAAAAAAAAAQFAFlBAAAAAAAAAAAFBgBZQgIAAAAAAAAABgcAWUEAAAAAAAAAAAcIAFlCAgAAAAAAAAAIAwBZQQAAAAAAAAAAAQkAWUEAAAAAAAAAAAkKAFlBAAAAAAAAAAAKCwBZQQAAAAAAAAAACwwAWUEAAAAAAAAAAAwNAFlBAAAAAAAAAAANAQBZQQAAAAAAAAAAAAAAAA=</t>
        </r>
      </text>
    </comment>
    <comment ref="A750" authorId="0" shapeId="0" xr:uid="{783C9301-9E9D-4D76-ABE0-957C2CD8FCBF}">
      <text>
        <r>
          <rPr>
            <sz val="9"/>
            <color indexed="81"/>
            <rFont val="MS P ゴシック"/>
            <family val="3"/>
            <charset val="128"/>
          </rPr>
          <t>Insight iXlW00001C0000750R0585476093S00001498P01248LAocjBAQBF1NjaVRlZ2ljLmRhdGEuTW9sZWN1bGUBbwF/ARJTY2lUZWdpYy5Nb2xlY3VsZQAAAQFkAv5qAQAAAAIAAgEQGAAAAPz8APwAAgAAAAAAAPC/ApPLf0i/feu/AiigibDh6ZU/AAAAABgAAAD8/AD8AAIAAAAAAADwvwJkzF1LyAf4vwJPQBNhw9PnvwAAAAAYAAAA/PwA/AACAAAAAAAA8L8Cc/kP6bevy78CT0ATYcPT578AAAAAHAAAAPz8APwAAgAAAAAAAPC/Ak2EDU+vlPY/AjEIrBxaZPW/AAAAACAAAAD8/AD8AAIAAAAAAADwvwIfFmpN847yvwLfcYqO5PL6vwAAAAAgAAAA/PwA/AACAAAAAAAA8L8Ck8t/SL99678CQRNhw9MrAEAAAAAAGAAAAPz8APwAAgAAAAAAAPC/AmU730+Nl+g/AhODwMqhReK/AAAAACAAAAD8/AD8AAIAAAAAAADwvwKitDf4wuQDwAITg8DKoUXivwAAAAAYAAAA/PwA/AACAAAAAAAA8L8CC0YldQKa+78CAU2EDU+v4D8AAAAAGAAAAPz8APwAAgAAAAAAAPC/Am14eqUsQ3w/AgFNhA1Pr+A/AAAAABgAAAD8/AD8AAIAAAAAAADwvwJeukkMAisDQAIi/fZ14JzyvwAAAAAYAAAA/PwA/AACAAAAAAAA8L8CC0YldQKa+78CgSbChqdX+D8AAAAAGAAAAPz8APwAAgAAAAAAAPC/Am14eqUsQ3w/AoEmwoanV/g/AAAAABgAAAD8/AD8AAIAAAAAAADwvwL4U+Olm8TxPwK4QILix5jXPwAAAAAYAAAA/PwA/AACAAAAAAAA8L8CgZVDi2znBUACWFuxv+yezL8AAAAAGAAAAPz8APwAAgAAAAAAAPC/Amx4eqUswwBAAno2qz5XW+E/AAAAAAERBAABZQQAAAAAAAAAAAgAAWUEAAAAAAAAAAAMGAFlCAwAAAAAAAAAEAQBZQgAAAAAAAAAABQwAWUEAAAAAAAAAAAYCAFlBAAAAAAAAAAAHAQBZQQAAAAAAAAAACAAAWUEAAAAAAAAAAAkAAFlBAAAAAAAAAAAKAwBZQQAAAAAAAAAACwgAWUEAAAAAAAAAAAwJAFlBAAAAAAAAAAANBgBZQQAAAAAAAAAADgoAWUICAAAAAAAAAA8NAFlCAgAAAAAAAAAFCwBZQQAAAAAAAAAADg8AWUEAAAAAAAAAAAAAAAA</t>
        </r>
      </text>
    </comment>
    <comment ref="A751" authorId="0" shapeId="0" xr:uid="{98380C78-ACBF-4575-92AA-6A931882443C}">
      <text>
        <r>
          <rPr>
            <sz val="9"/>
            <color indexed="81"/>
            <rFont val="MS P ゴシック"/>
            <family val="3"/>
            <charset val="128"/>
          </rPr>
          <t>Insight iXlW00001C0000751R0585476093S00001500P00844LAocjBAQBF1NjaVRlZ2ljLmRhdGEuTW9sZWN1bGUBbwF/ARJTY2lUZWdpYy5Nb2xlY3VsZQAAAQFkAv5qAQAAAAIAAiwYAAAA/PwA/AACAAAAAAAA8L8C0SLb+X5q+78CPE7RkVz+3z8AAAAAGAAAAPz8APwAAgAAAAAAAPC/AtEi2/l+avu/AgAAAAAAAOC/AAAAACAAAAD8/AD8AAIAAAAAAADwvwJnZmZmZmbovwIX2c73U+PpvwAAAAAYAAAA/PwA/AACAAAAAAAA8L8CzjtO0ZFcxr8AAAAAABgAAAD8/AD8AAIAAAAAAADwvwJnZmZmZmbovwIX2c73U+PpPwAAAAAYAAAA/PwA/AACAAAAAAAA8L8CGuJYF7fR1D8Cg8DKoUW26z8AAAAAGAAAAPz8APwAAgAAAAAAAPC/Aoc41sVtNPU/AoPAyqFFtus/AAAAABwAAAD8/AD8AAIAAAAAAADwvwKHONbFbTT9PwAAAAAAGAAAAPz8APwAAgAAAAAAAPC/Aoc41sVtNPU/AoPAyqFFtuu/AAAAABgAAAD8/AD8AAIAAAAAAADwvwIa4lgXt9HUPwKDwMqhRbbrvwAAAAABEQAAAPz8APwAAgAAAAAAAPC/AqqCUUmdAAVAAAAAAAAsAAQBZQQAAAAAAAAAAAQIAWUEAAAAAAAAAAAIDAFlBAAAAAAAAAAADBABZQQAAAAAAAAAABAAAWUEAAAAAAAAAAAMFAFlBAAAAAAAAAAAFBgBZQQAAAAAAAAAABgcAWUEAAAAAAAAAAAcIAFlBAAAAAAAAAAAICQBZQQAAAAAAAAAACQMAWUEAAAAAAAAAAAAAAAA</t>
        </r>
      </text>
    </comment>
    <comment ref="A752" authorId="0" shapeId="0" xr:uid="{02038477-48A9-4227-85F1-24FCEF8242DF}">
      <text>
        <r>
          <rPr>
            <sz val="9"/>
            <color indexed="81"/>
            <rFont val="MS P ゴシック"/>
            <family val="3"/>
            <charset val="128"/>
          </rPr>
          <t>Insight iXlW00001C0000752R0585476093S00001502P01340LAocjBAQBF1NjaVRlZ2ljLmRhdGEuTW9sZWN1bGUBbwF/ARJTY2lUZWdpYy5Nb2xlY3VsZQAAAQFkAv5qAQAAAAIAAgERHAAAAPz8APwAAgAAAAAAAPC/Agu1pnnHKeC/At4CCYofY+Y/AAAAABgAAAD8/AD8AAIAAAAAAADwvwIlBoGVQ4vcPwKPU3Qkl//YPwAAAAAcAAAA/PwA/AACAAAAAAAA8L8CQ61p3nGK8D8Cb4EExY8x8z8AAAAAHAAAAPz8APwAAgAAAAAAAPC/AiUGgZVDi9w/Av32deCcEQBAAAAAABgAAAD8/AD8AAIAAAAAAADwvwILtaZ5xyngvwJvgQTFjzH7PwAAAAAYAAAA/PwA/AACAAAAAAAA8L8Cx7q4jQbw9b8CeAskKH6MyT8AAAAAGAAAAPz8APwAAgAAAAAAAPC/Ailcj8L1KOg/AnS1FfvL7uG/AAAAABgAAAD8/AD8AAIAAAAAAADwvwLHuriNBvD1vwK4QILix5gBQAAAAAAYAAAA/PwA/AACAAAAAAAA8L8ChQ1Pr5TlAcAC3gIJih9j5j8AAAAAGAAAAPz8APwAAgAAAAAAAPC/AoUNT6+U5QHAAm+BBMWPMfs/AAAAABgAAAD8/AD8AAIAAAAAAADwvwJfKcsQx7r7PwKgibDh6ZXovwAAAAABIwAAAPz8APwAAgAAAAAAAPC/At6Th4Va0wjAAngLJCh+jMk/AAAAABgAAAD8/AD8AAIAAAAAAADwvwL1SlmGOFYAQALf4AuTqYL7vwAAAAAkAAAA/PwA/AACAAAAAAAA8L8C097gC5MpCEAC9UpZhjjW/r8AAAAAGAAAAPz8APwAAgAAAAAAAPC/Alr1udqK/bU/ArMMcayL2/S/AAAAABgAAAD8/AD8AAIAAAAAAADwvwKEL0ymCkbZPwIofoy5awkCwAAAAAAYAAAA/PwA/AACAAAAAAAA8L8CK4cW2c739T8CMzMzMzOzA8AAAAAAARMEAAFlBAAAAAAAAAAACAQBZQgIAAAAAAAAAAwQAWUICAAAAAAAAAAQAAFlBAAAAAAAAAAAFAABZQQAAAAAAAAAABgEAWUEAAAAAAAAAAAcEAFlBAAAAAAAAAAAIBQBZQgMAAAAAAAAACQcAWUICAAAAAAAAAAoGAFlBAAAAAAAAAAALCABZQQAAAAAAAAAADAoAWUIDAAAAAAAAAA0MAFlBAAAAAAAAAAAOBgBZQgMAAAAAAAAADw4AWUEAAAAAAAAAAABEDwBZQgIAAAAAAAAAAgMAWUEAAAAAAAAAAAkIAFlBAAAAAAAAAAAARAwAWUEAAAAAAAAAAAAAAAA</t>
        </r>
      </text>
    </comment>
    <comment ref="A753" authorId="0" shapeId="0" xr:uid="{3122DA1B-1D75-4A0F-9DB7-5CC0AA362893}">
      <text>
        <r>
          <rPr>
            <sz val="9"/>
            <color indexed="81"/>
            <rFont val="MS P ゴシック"/>
            <family val="3"/>
            <charset val="128"/>
          </rPr>
          <t>Insight iXlW00001C0000753R0585476093S00001504P01800LAocjBAQBF1NjaVRlZ2ljLmRhdGEuTW9sZWN1bGUBbwF/ARJTY2lUZWdpYy5Nb2xlY3VsZQAAAQFkAv5qAQAAAAIAAgEYHAAAAPz8APwAAgAAAAAAAPC/AtsbfGEyVQBAAoPAyqFFtuu/AAAAABgAAAD8/AD8AAIAAAAAAADwvwLtDb4wmaoDwAAAAAAAGAAAAPz8APwAAgAAAAAAAPC/Aibkg57NqvA/AoPAyqFFtuu/AAAAABgAAAD8/AD8AAIAAAAAAADwvwJMyAc9m1XhPwAAAAAAHAAAAPz8APwAAgAAAAAAAPC/AtsbfGEyVfe/AAAAAAAYAAAA/PwA/AACAAAAAAAA8L8C2xt8YTJVBEAAAAAAABgAAAD8/AD8AAIAAAAAAADwvwIT8kHPZlUAQAKDwMqhRbbrPwAAAAAgAAAA/PwA/AACAAAAAAAA8L8C7Q2+MJmqB8ACg8DKoUW2678AAAAAGAAAAPz8APwAAgAAAAAAAPC/Aibkg57NqvA/AoPAyqFFtus/AAAAABgAAAD8/AD8AAIAAAAAAADwvwLbG3xhMlUMQAAAAAAAIAAAAPz8APwAAgAAAAAAAPC/Au0NvjCZqgfAAoPAyqFFtus/AAAAACAAAAD8/AD8AAIAAAAAAADwvwJMyAc9m1XhPwL0bFZ9rrb7vwAAAAAYAAAA/PwA/AACAAAAAAAA8L8CtTf4wmSq7r8Cg8DKoUW2678AAAAAGAAAAPz8APwAAgAAAAAAAPC/ArU3+MJkqu6/AoPAyqFFtus/AAAAABgAAAD8/AD8AAIAAAAAAADwvwK2hHzQs1mlPwKDwMqhRbbrvwAAAAAYAAAA/PwA/AACAAAAAAAA8L8CtoR80LNZpT8Cg8DKoUW26z8AAAAAGAAAAPz8APwAAgAAAAAAAPC/Au4NvjCZqg/AAoPAyqFFtuu/AAAAABgAAAD8/AD8AAIAAAAAAADwvwIT8kHPZlUEQAKDwMqhRbb7PwAAAAAYAAAA/PwA/AACAAAAAAAA8L8C7Q2+MJkqEEACg8DKoUW26z8AAAAAGAAAAPz8APwAAgAAAAAAAPC/AtsbfGEyVQxAAvRsVn2utvs/AAAAACQAAAD8/AD8AAIAAAAAAADwvwLtDb4wmSoUQAKDwMqhRbbrPwAAAAAYAAAA/PwA/AACAAAAAAAA8L8C7g2+MJmqD8ACQmDl0CLb/b8AAAAAGAAAAPz8APwAAgAAAAAAAPC/AvcGX5hM1RPAAoPAyqFFtuu/AAAAABgAAAD8/AD8AAIAAAAAAADwvwLuDb4wmaoPwAL0/dR46SbBPwAAAAABGgQQAWUEAAAAAAAAAAAIAAFlBAAAAAAAAAAADAgBZQQAAAAAAAAAABA0AWUEAAAAAAAAAAAUAAFlBAAAAAAAAAAAGBQBZQgIAAAAAAAAABwEAWUEAAAAAAAAAAAgGAFlBAAAAAAAAAAAJBQBZQQAAAAAAAAAACgEAWUIAAAAAAAAAAAsCAFlCAAAAAAAAAAAMDgBZQQAAAAAAAAAADQ8AWUEAAAAAAAAAAA4DAFlBAAAAAAAAAAAPAwBZQQAAAAAAAAAAAEQHAFlBAAAAAAAAAAAAREYAWUEAAAAAAAAAAABEiQBZQgMAAAAAAAAAAETAREBZQgIAAAAAAAAAAEUARIBZQQAAAAAAAAAAAEVARABZQQAAAAAAAAAAAEWARABZQQAAAAAAAAAAAEXARABZQQAAAAAAAAAAAwgAWUEAAAAAAAAAAABEgETAWUEAAAAAAAAAAAQMAFlBAAAAAAAAAAAAAAAAA==</t>
        </r>
      </text>
    </comment>
    <comment ref="A754" authorId="0" shapeId="0" xr:uid="{146ABB8D-3712-475F-AD69-F51848E9BDD6}">
      <text>
        <r>
          <rPr>
            <sz val="9"/>
            <color indexed="81"/>
            <rFont val="MS P ゴシック"/>
            <family val="3"/>
            <charset val="128"/>
          </rPr>
          <t>Insight iXlW00001C0000754R0585476093S00001506P01232LAocjBAQBF1NjaVRlZ2ljLmRhdGEuTW9sZWN1bGUBbwF/ARJTY2lUZWdpYy5Nb2xlY3VsZQAAAQFkAv5qAQAAAAIAAgEQGAAAAPz8APwAAgAAAAAAAPC/AuELk6mCUdE/AsSxLm6jAcQ/AAAAABgAAAD8/AD8AAIAAAAAAADwvwKrz9VW7C/yPwJxrIvbaADlPwAAAAAYAAAA/PwA/AACAAAAAAAA8L8CkzoBTYQN478Cj1N0JJf/5D8AAAAAGAAAAPz8APwAAgAAAAAAAPC/Aov9ZffkYfe/AjxO0ZFc/sM/AAAAABgAAAD8/AD8AAIAAAAAAADwvwLmriXkg54CwAKPU3Qkl//kPwAAAAAYAAAA/PwA/AACAAAAAAAA8L8C4QuTqYJR0T8Cj1N0JJf/6r8AAAAAIAAAAPz8APwAAgAAAAAAAPC/AkA1XrpJjAnAAjxO0ZFc/sM/AAAAABgAAAD8/AD8AAIAAAAAAADwvwKL/WX35GH3vwJxrIvbaADrvwAAAAAkAAAA/PwA/AACAAAAAAAA8L8CVp+rrdhf5D8CejarPldb+D8AAAAAJAAAAPz8APwAAgAAAAAAAPC/AvaX3ZOHBQBAAjnWxW00gPI/AAAAACQAAAD8/AD8AAIAAAAAAADwvwKrz9VW7C/6PwLRs1n1udrKvwAAAAAYAAAA/PwA/AACAAAAAAAA8L8CkzoBTYQN478CyCk6kst/9b8AAAAAIAAAAPz8APwAAgAAAAAAAPC/AuauJeSDngLAAsgpOpLLf/o/AAAAACAAAAD8/AD8AAIAAAAAAADwvwI6I0p7gy/yPwLIKTqSy3/1vwAAAAAYAAAA/PwA/AACAAAAAAAA8L8C9pfdk4cFAEACj1N0JJf/6r8AAAAAGAAAAPz8APwAAgAAAAAAAPC/AhdIUPwY8wZAAsgpOpLLf/W/AAAAAAEQBAABZQQAAAAAAAAAAAgAAWUEAAAAAAAAAAAMCAFlCAwAAAAAAAAAEAwBZQQAAAAAAAAAABQAAWUIDAAAAAAAAAAYEAFlCAAAAAAAAAAAHCwBZQgIAAAAAAAAACAEAWUEAAAAAAAAAAAkBAFlBAAAAAAAAAAAKAQBZQQAAAAAAAAAACwUAWUEAAAAAAAAAAAwEAFlBAAAAAAAAAAANBQBZQQAAAAAAAAAADg0AWUEAAAAAAAAAAA8OAFlBAAAAAAAAAAADBwBZQQAAAAAAAAAAAAAAAA=</t>
        </r>
      </text>
    </comment>
    <comment ref="A755" authorId="0" shapeId="0" xr:uid="{8AD610EF-61EA-44BE-B3AD-B0A829EE960B}">
      <text>
        <r>
          <rPr>
            <sz val="9"/>
            <color indexed="81"/>
            <rFont val="MS P ゴシック"/>
            <family val="3"/>
            <charset val="128"/>
          </rPr>
          <t>Insight iXlW00001C0000755R0585476093S00001508P01248LAocjBAQBF1NjaVRlZ2ljLmRhdGEuTW9sZWN1bGUBbwF/ARJTY2lUZWdpYy5Nb2xlY3VsZQAAAQFkAv5qAQAAAAIAAgEQHAAAAPz8APwAAgAAAAAAAPC/AmpN845TdPA/Ao9TdCSX/+a/AAAAABgAAAD8/AD8AAIAAAAAAADwvwL3Bl+YTBUGQAKPU3Qkl//mvwAAAAAYAAAA/PwA/AACAAAAAAAA8L8CrK3YX3ZP/j8CPE7RkVz+y78AAAAAGAAAAPz8APwAAgAAAAAAAPC/AkVpb/CFycQ/AjxO0ZFc/su/AAAAACAAAAD8/AD8AAIAAAAAAADwvwIy5q4l5IPmvwKPU3Qkl//mvwAAAAAgAAAA/PwA/AACAAAAAAAA8L8CGLfRAN4CDUACPE7RkVz+y78AAAAAHAAAAPz8APwAAgAAAAAAAPC/AiigibDhaQrAAsWxLm6jAcy/AAAAACAAAAD8/AD8AAIAAAAAAADwvwL3Bl+YTBUGQALIKTqSy3/7vwAAAAAYAAAA/PwA/AACAAAAAAAA8L8CzH9Iv30d+b8CPE7RkVz+y78AAAAAGAAAAPz8APwAAgAAAAAAAPC/AkVpb/CFycQ/AnGsi9toAOk/AAAAABgAAAD8/AD8AAIAAAAAAADwvwKsrdhfdk/+PwJxrIvbaADpPwAAAAAYAAAA/PwA/AACAAAAAAAA8L8CB/AWSFB8A8ACj1N0JJf/5r8AAAAAGAAAAPz8APwAAgAAAAAAAPC/AmpN845TdPA/AjnWxW00gPQ/AAAAABgAAAD8/AD8AAIAAAAAAADwvwIooImw4WkKwAKPU3Qkl//oPwAAAAAYAAAA/PwA/AACAAAAAAAA8L8CW9O84xQd+b8Cj1N0JJf/6D8AAAAAGAAAAPz8APwAAgAAAAAAAPC/AgfwFkhQfAPAAsgpOpLLf/Q/AAAAAAERBAgBZQQAAAAAAAAAAAgAAWUEAAAAAAAAAAAMAAFlCAwAAAAAAAAAEAwBZQQAAAAAAAAAABQEAWUIAAAAAAAAAAAYLAFlCAgAAAAAAAAAHAQBZQQAAAAAAAAAACAQAWUEAAAAAAAAAAAkDAFlBAAAAAAAAAAAKAgBZQgMAAAAAAAAACwgAWUEAAAAAAAAAAAwJAFlCAgAAAAAAAAANDwBZQgIAAAAAAAAADggAWUIDAAAAAAAAAA8OAFlBAAAAAAAAAAAMCgBZQQAAAAAAAAAABg0AWUEAAAAAAAAAAAAAAAA</t>
        </r>
      </text>
    </comment>
    <comment ref="A756" authorId="0" shapeId="0" xr:uid="{66D1F006-77F3-4C1F-B906-08B08317CE5D}">
      <text>
        <r>
          <rPr>
            <sz val="9"/>
            <color indexed="81"/>
            <rFont val="MS P ゴシック"/>
            <family val="3"/>
            <charset val="128"/>
          </rPr>
          <t>Insight iXlW00001C0000756R0585476093S00001510P01248LAocjBAQBF1NjaVRlZ2ljLmRhdGEuTW9sZWN1bGUBbwF/ARJTY2lUZWdpYy5Nb2xlY3VsZQAAAQFkAv5qAQAAAAIAAgEQGAAAAPz8APwAAgAAAAAAAPC/Ah6n6Egu/90/AqW9wRcmU9E/AAAAABgAAAD8/AD8AAIAAAAAAADwvwLIKTqSy3/3PwLhC5OpglHRPwAAAAAYAAAA/PwA/AACAAAAAAAA8L8CyCk6kst//z8CkzoBTYQN478AAAAAIAAAAPz8APwAAgAAAAAAAPC/AhHHuriNBqC/ApM6AU2EDeO/AAAAABwAAAD8/AD8AAIAAAAAAADwvwLfcYqO5PKfvwKrz9VW7C/yPwAAAAAgAAAA/PwA/AACAAAAAAAA8L8C5BQdyeW/B0ACkzoBTYQN478AAAAAHAAAAPz8APwAAgAAAAAAAPC/AuQUHcnlPwTAAov9ZffkYfe/AAAAACAAAAD8/AD8AAIAAAAAAADwvwLIKTqSy3/3PwKL/WX35GH3vwAAAAAYAAAA/PwA/AACAAAAAAAA8L8COdbFbTSA8L8CkzoBTYQN478AAAAAGAAAAPz8APwAAgAAAAAAAPC/AjnWxW00gP8/AjojSnuDL/I/AAAAABgAAAD8/AD8AAIAAAAAAADwvwI51sVtNID4vwKL/WX35GH3vwAAAAAYAAAA/PwA/AACAAAAAAAA8L8C41gXt9EA3j8C9pfdk4cFAEAAAAAAGAAAAPz8APwAAgAAAAAAAPC/AuQUHcnlPwjAApM6AU2EDeO/AAAAABgAAAD8/AD8AAIAAAAAAADwvwLIKTqSy3/4vwLhC5OpglHRPwAAAAAYAAAA/PwA/AACAAAAAAAA8L8COdbFbTSA9z8CvsEXJlMFAEAAAAAAGAAAAPz8APwAAgAAAAAAAPC/AuQUHcnlPwTAAuELk6mCUdE/AAAAAAERBAABZQgIAAAAAAAAAAgEAWUEAAAAAAAAAAAMAAFlBAAAAAAAAAAAEAABZQQAAAAAAAAAABQIAWUIAAAAAAAAAAAYKAFlCAgAAAAAAAAAHAgBZQQAAAAAAAAAACAMAWUEAAAAAAAAAAAkBAFlBAAAAAAAAAAAKCABZQQAAAAAAAAAACwQAWUICAAAAAAAAAAwPAFlCAgAAAAAAAAANCABZQgMAAAAAAAAADgsAWUEAAAAAAAAAAA8NAFlBAAAAAAAAAAAOCQBZQgIAAAAAAAAABgwAWUEAAAAAAAAAAAAAAAA</t>
        </r>
      </text>
    </comment>
    <comment ref="A757" authorId="0" shapeId="0" xr:uid="{6ABE52AE-05ED-4845-91A0-4B6C39A9080C}">
      <text>
        <r>
          <rPr>
            <sz val="9"/>
            <color indexed="81"/>
            <rFont val="MS P ゴシック"/>
            <family val="3"/>
            <charset val="128"/>
          </rPr>
          <t>Insight iXlW00001C0000757R0585476093S00001512P01324LAocjBAQBF1NjaVRlZ2ljLmRhdGEuTW9sZWN1bGUBbwF/ARJTY2lUZWdpYy5Nb2xlY3VsZQAAAQFkAv5qAQAAAAIAAgERGAAAAPz8APwAAgAAAAAAAPC/ArtJDAIrh/w/AiZ1ApoIG56/AAAAABgAAAD8/AD8AAIAAAAAAADwvwK7SQwCK4f8PwJX7C+7Jw/vPwAAAAAcAAAA/PwA/AACAAAAAAAA8L8C/tR46SYxBUACqRPQRNjw4L8AAAAAGAAAAPz8APwAAgAAAAAAAPC/AvLSTWIQWO0/AqkT0ETY8OC/AAAAACAAAAD8/AD8AAIAAAAAAADwvwLImLuWkA+qPwImdQKaCBuevwAAAAAgAAAA/PwA/AACAAAAAAAA8L8C8tJNYhBY7T8CLPaX3ZOH9z8AAAAAIAAAAPz8APwAAgAAAAAAAPC/AlmoNc07TgvAAlfsL7snD+8/AAAAACAAAAD8/AD8AAIAAAAAAADwvwL+1HjpJjEFQAIs9pfdk4f3PwAAAAAYAAAA/PwA/AACAAAAAAAA8L8C9wZfmEwV6r8CqRPQRNjw4L8AAAAAGAAAAPz8APwAAgAAAAAAAPC/Ar3jFB3J5fq/AiZ1ApoIG56/AAAAABgAAAD8/AD8AAIAAAAAAADwvwL+1HjpJjEFQALVCWgibHj4vwAAAAAYAAAA/PwA/AACAAAAAAAA8L8CINJvXwdOC8ACJnUCmggbnr8AAAAAGAAAAPz8APwAAgAAAAAAAPC/Av8h/fZ1YATAAiz2l92Th/c/AAAAABgAAAD8/AD8AAIAAAAAAADwvwLy0k1iEFjtPwLVCWgibHj4vwAAAAAYAAAA/PwA/AACAAAAAAAA8L8C/yH99nVgBMACqRPQRNjw4L8AAAAAGAAAAPz8APwAAgAAAAAAAPC/Ar3jFB3J5fq/AlfsL7snD+8/AAAAABgAAAD8/AD8AAIAAAAAAADwvwK7SQwCK4f8PwLrBDQRNjwAwAAAAAABEgQAAWUEAAAAAAAAAAAIAAFlBAAAAAAAAAAADAABZQgIAAAAAAAAABAMAWUEAAAAAAAAAAAUBAFlCAAAAAAAAAAAGDABZQQAAAAAAAAAABwEAWUEAAAAAAAAAAAgEAFlBAAAAAAAAAAAJCABZQQAAAAAAAAAACgIAWUICAAAAAAAAAAsOAFlBAAAAAAAAAAAMDwBZQQAAAAAAAAAADQMAWUEAAAAAAAAAAA4JAFlBAAAAAAAAAAAPCQBZQQAAAAAAAAAAAEQNAFlCAgAAAAAAAAAARAoAWUEAAAAAAAAAAAsGAFlBAAAAAAAAAAAAAAAAA==</t>
        </r>
      </text>
    </comment>
    <comment ref="A758" authorId="0" shapeId="0" xr:uid="{D4111961-B981-4C0C-8395-E6747E5F2858}">
      <text>
        <r>
          <rPr>
            <sz val="9"/>
            <color indexed="81"/>
            <rFont val="MS P ゴシック"/>
            <family val="3"/>
            <charset val="128"/>
          </rPr>
          <t>Insight iXlW00001C0000758R0585476093S00001514P01104LAocjBAQBF1NjaVRlZ2ljLmRhdGEuTW9sZWN1bGUBbwF/ARJTY2lUZWdpYy5Nb2xlY3VsZQAAAQFkAv5qAQAAAAIAAjgcAAAA/PwA/AACAAAAAAAA8L8CS1mGONbF5b8C1CtlGeJY0z8AAAAAGAAAAPz8APwAAgAAAAAAAPC/At6Th4Va0/A/AtQrZRniWNM/AAAAABgAAAD8/AD8AAIAAAAAAADwvwJLWYY41sXlvwL1SlmGONb0PwAAAAAcAAAA/PwA/AACAAAAAAAA8L8C4ZwRpb3Bxz8C9UpZhjjW/D8AAAAAGAAAAPz8APwAAgAAAAAAAPC/AuGcEaW9wcc/AlmoNc07Tsm/AAAAABgAAAD8/AD8AAIAAAAAAADwvwIg9GxWfa7+PwJZqDXNO07JvwAAAAAYAAAA/PwA/AACAAAAAAAA8L8C3pOHhVrT8D8C9UpZhjjW9D8AAAAAGAAAAPz8APwAAgAAAAAAAPC/Alg5tMh2vvi/AlmoNc07Tsm/AAAAABgAAAD8/AD8AAIAAAAAAADwvwJYObTIdr74vwILtaZ5xynzvwAAAAAYAAAA/PwA/AACAAAAAAAA8L8CrBxaZDtfAMACpwpGJXWCAMAAAAAAGAAAAPz8APwAAgAAAAAAAPC/Alg5tMh2vvC/AqcKRiV1ggDAAAAAACAAAAD8/AD8AAIAAAAAAADwvwJYObTIdr74vwL1SlmGONb8PwAAAAAgAAAA/PwA/AACAAAAAAAA8L8CMSqpE9BEBkAC1CtlGeJY0z8AAAAAIAAAAPz8APwAAgAAAAAAAPC/AiD0bFZ9rv4/Agu1pnnHKfO/AAAAADwEEAFlCAwAAAAAAAAACAABZQQAAAAAAAAAAAwIAWUEAAAAAAAAAAAQAAFlBAAAAAAAAAAAFAQBZQQAAAAAAAAAABgEAWUEAAAAAAAAAAAcAAFlBAAAAAAAAAAAIBwBZQQAAAAAAAAAACQgAWUEAAAAAAAAAAAoIAFlBAAAAAAAAAAALAgBZQgAAAAAAAAAADAUAWUIAAAAAAAAAAA0FAFlBAAAAAAAAAAAKCQBZQQAAAAAAAAAABgMAWUICAAAAAAAAAAAAAAA</t>
        </r>
      </text>
    </comment>
    <comment ref="A759" authorId="0" shapeId="0" xr:uid="{1B936CF8-B301-461E-A3AC-2ABEE19CA5B4}">
      <text>
        <r>
          <rPr>
            <sz val="9"/>
            <color indexed="81"/>
            <rFont val="MS P ゴシック"/>
            <family val="3"/>
            <charset val="128"/>
          </rPr>
          <t>Insight iXlW00001C0000759R0585476093S00001516P01216LAocjBAQBF1NjaVRlZ2ljLmRhdGEuTW9sZWN1bGUBbwF/ARJTY2lUZWdpYy5Nb2xlY3VsZQAAAQFkAv5qAQAAAAIAAgEQHAAAAPz8APwAAgAAAAAAAPC/AsTTK2UZ4qi/AuJYF7fRAOQ/AAAAABgAAAD8/AD8AAIAAAAAAADwvwKMSuoENBHqvwJyio7k8h+SvwAAAAAYAAAA/PwA/AACAAAAAAAA8L8CxNMrZRniqL8CikFg5dAi5b8AAAAAGAAAAPz8APwAAgAAAAAAAPC/AjLmriXkg+w/Ajj4wmSqYNS/AAAAABgAAAD8/AD8AAIAAAAAAADwvwIofoy5awnxPwLDZKpgVFLlPwAAAAAYAAAA/PwA/AACAAAAAAAA8L8C8KfGSzcJAEACGJXUCWgi8D8AAAAAHAAAAPz8APwAAgAAAAAAAPC/AkSLbOf7KQZAAva52or9Zdc/AAAAABgAAAD8/AD8AAIAAAAAAADwvwK8BRIUP8YEQALH3LWEfNDjvwAAAAAYAAAA/PwA/AACAAAAAAAA8L8CMuauJeSD+j8CUkmdgCbC7r8AAAAAGAAAAPz8APwAAgAAAAAAAPC/AkYldQKaCPW/Atc07zhFR+y/AAAAABgAAAD8/AD8AAIAAAAAAADwvwKjkjoBTYQCwALXNO84RUfsvwAAAAAgAAAA/PwA/AACAAAAAAAA8L8Co5I6AU2EBsACcoqO5PIfkr8AAAAAGAAAAPz8APwAAgAAAAAAAPC/AqOSOgFNhALAAjBMpgpGJes/AAAAABgAAAD8/AD8AAIAAAAAAADwvwJGJXUCmgj1vwIwTKYKRiXrPwAAAAABEQAAAPz8APwAAgAAAAAAAPC/Aqrx0k1ikAxAAvyp8dJNYoA/AAAAAAERAAAA/PwA/AACAAAAAAAA8L8CY+5aQj5oEkACbqMBvAUSpD8AAAAAPAAEAWUEAAAAAAAAAAAECAFlBAAAAAAAAAAACAwBZQQAAAAAAAAAAAwQAWUIDAAAAAAAAAAQFAFlBAAAAAAAAAAAFBgBZQgIAAAAAAAAABgcAWUEAAAAAAAAAAAcIAFlCAgAAAAAAAAAIAwBZQQAAAAAAAAAAAQkAWUEAAAAAAAAAAAkKAFlBAAAAAAAAAAAKCwBZQQAAAAAAAAAACwwAWUEAAAAAAAAAAAwNAFlBAAAAAAAAAAANAQBZQQAAAAAAAAAAAAAAAA=</t>
        </r>
      </text>
    </comment>
    <comment ref="A760" authorId="0" shapeId="0" xr:uid="{F570D3DA-1B4D-40F6-8ECD-F208F7EACB25}">
      <text>
        <r>
          <rPr>
            <sz val="9"/>
            <color indexed="81"/>
            <rFont val="MS P ゴシック"/>
            <family val="3"/>
            <charset val="128"/>
          </rPr>
          <t>Insight iXlW00001C0000760R0585476093S00001518P01160LAocjBAQBF1NjaVRlZ2ljLmRhdGEuTW9sZWN1bGUBbwF/ARJTY2lUZWdpYy5Nb2xlY3VsZQAAAQFkAv5qAQAAAAIAAjwYAAAA/PwA/AACAAAAAAAA8L8CXW3F/rJ74r8CRrbz/dR44z8AAAAAHAAAAPz8APwAAgAAAAAAAPC/Ao0o7Q2+MNG/ArAD54wo7dW/AAAAABgAAAD8/AD8AAIAAAAAAADwvwK6awn5oGfnPwKwA+eMKO3VvwAAAAAcAAAA/PwA/AACAAAAAAAA8L8CaCJseHql8D8CRrbz/dR44z8AAAAAIAAAAPz8APwAAgAAAAAAAPC/AueuJeSDns0/Amyad5yiI/M/AAAAABgAAAD8/AD8AAIAAAAAAADwvwJNpgpGJXX4vwJdj8L1KFztPwAAAAAgAAAA/PwA/AACAAAAAAAA8L8CYxBYObTI+78Cam/whclU/j8AAAAAGAAAAPz8APwAAgAAAAAAAPC/ApchjnVxG/U/AnctIR/0bPK/AAAAABgAAAD8/AD8AAIAAAAAAADwvwKnCkYldYICQAL/Q/rt68DwvwAAAAAgAAAA/PwA/AACAAAAAAAA8L8CI2x4eqUsAsACescpOpLLzz8AAAAAGAAAAPz8APwAAgAAAAAAAPC/AuqVsgxxrAFAAgMJih9j7qq/AAAAABgAAAD8/AD8AAIAAAAAAADwvwK62or9ZXcKQAIpXI/C9SjuvwAAAAAYAAAA/PwA/AACAAAAAAAA8L8Cm1Wfq61YA0AC2xt8YTJVAMAAAAAAGAAAAPz8APwAAgAAAAAAAPC/AvJjzF1LyAnAAtejcD0K1+E/AAAAABgAAAD8/AD8AAIAAAAAAADwvwLufD81XroPwAI2zTtO0ZG8vwAAAAA8BAABZQgIAAAAAAAAAAgEAWUEAAAAAAAAAAAMEAFlBAAAAAAAAAAAEAABZQQAAAAAAAAAABQAAWUEAAAAAAAAAAAYFAFlCAAAAAAAAAAAHAgBZQQAAAAAAAAAACAcAWUEAAAAAAAAAAAkFAFlBAAAAAAAAAAAKCABZQQAAAAAAAAAACwgAWUEAAAAAAAAAAAwIAFlBAAAAAAAAAAANCQBZQQAAAAAAAAAADg0AWUEAAAAAAAAAAAMCAFlCAgAAAAAAAAAAAAAAA==</t>
        </r>
      </text>
    </comment>
    <comment ref="A761" authorId="0" shapeId="0" xr:uid="{D10AA214-AD2A-4649-BFC2-DE827B402BFC}">
      <text>
        <r>
          <rPr>
            <sz val="9"/>
            <color indexed="81"/>
            <rFont val="MS P ゴシック"/>
            <family val="3"/>
            <charset val="128"/>
          </rPr>
          <t>Insight iXlW00001C0000761R0585476093S00001520P01324LAocjBAQBF1NjaVRlZ2ljLmRhdGEuTW9sZWN1bGUBbwF/ARJTY2lUZWdpYy5Nb2xlY3VsZQAAAQFkAv5qAQAAAAIAAgERGAAAAPz8APwAAgAAAAAAAPC/ArtJDAIrh/w/AiZ1ApoIG56/AAAAABgAAAD8/AD8AAIAAAAAAADwvwK7SQwCK4f8PwJX7C+7Jw/vPwAAAAAYAAAA/PwA/AACAAAAAAAA8L8C8tJNYhBY7T8CqRPQRNjw4L8AAAAAIAAAAPz8APwAAgAAAAAAAPC/AuomMQisHKo/AiZ1ApoIG56/AAAAACAAAAD8/AD8AAIAAAAAAADwvwLy0k1iEFjtPwIs9pfdk4f3PwAAAAAgAAAA/PwA/AACAAAAAAAA8L8CINJvXwdOC8ACV+wvuycP7z8AAAAAIAAAAPz8APwAAgAAAAAAAPC/Av7UeOkmMQVAAiz2l92Th/c/AAAAABgAAAD8/AD8AAIAAAAAAADwvwL3Bl+YTBXqvwKpE9BE2PDgvwAAAAAYAAAA/PwA/AACAAAAAAAA8L8C/tR46SYxBUACqRPQRNjw4L8AAAAAGAAAAPz8APwAAgAAAAAAAPC/Ar3jFB3J5fq/AiZ1ApoIG56/AAAAABgAAAD8/AD8AAIAAAAAAADwvwIg0m9fB04LwAImdQKaCBuevwAAAAAYAAAA/PwA/AACAAAAAAAA8L8C/yH99nVgBMACLPaX3ZOH9z8AAAAAGAAAAPz8APwAAgAAAAAAAPC/AvLSTWIQWO0/AtUJaCJsePi/AAAAABgAAAD8/AD8AAIAAAAAAADwvwL/If32dWAEwAKpE9BE2PDgvwAAAAAYAAAA/PwA/AACAAAAAAAA8L8CveMUHcnl+r8CV+wvuycP7z8AAAAAGAAAAPz8APwAAgAAAAAAAPC/Av7UeOkmMQVAAtUJaCJsePi/AAAAABgAAAD8/AD8AAIAAAAAAADwvwK7SQwCK4f8PwLrBDQRNjwAwAAAAAABEgQAAWUEAAAAAAAAAAAIAAFlBAAAAAAAAAAADAgBZQQAAAAAAAAAABAEAWUIAAAAAAAAAAAULAFlBAAAAAAAAAAAGAQBZQQAAAAAAAAAABwMAWUEAAAAAAAAAAAgAAFlCAwAAAAAAAAAJBwBZQQAAAAAAAAAACg0AWUEAAAAAAAAAAAsOAFlBAAAAAAAAAAAMAgBZQgIAAAAAAAAADQkAWUEAAAAAAAAAAA4JAFlBAAAAAAAAAAAPCABZQQAAAAAAAAAAAEQPAFlCAgAAAAAAAAAMAEQAWUEAAAAAAAAAAAoFAFlBAAAAAAAAAAAAAAAAA==</t>
        </r>
      </text>
    </comment>
    <comment ref="A762" authorId="0" shapeId="0" xr:uid="{5566239F-79A2-4645-9251-76A8323BE324}">
      <text>
        <r>
          <rPr>
            <sz val="9"/>
            <color indexed="81"/>
            <rFont val="MS P ゴシック"/>
            <family val="3"/>
            <charset val="128"/>
          </rPr>
          <t>Insight iXlW00001C0000762R0585476093S00001522P01104LAocjBAQBF1NjaVRlZ2ljLmRhdGEuTW9sZWN1bGUBbwF/ARJTY2lUZWdpYy5Nb2xlY3VsZQAAAQFkAv5qAQAAAAIAAjgYAAAA/PwA/AACAAAAAAAA8L8CkDF3LSEf+z8CJuSDns2qzz8AAAAAGAAAAPz8APwAAgAAAAAAAPC/Av2H9NvXgdO/Aq9H4XoUrs8/AAAAABgAAAD8/AD8AAIAAAAAAADwvwLImLuWkI8FQAIm5IOezarPPwAAAAAcAAAA/PwA/AACAAAAAAAA8L8CB/AWSFD8yD8CescpOpLL478AAAAAHAAAAPz8APwAAgAAAAAAAPC/An6MuWsJ+cg/AjiJQWDl0PE/AAAAABgAAAD8/AD8AAIAAAAAAADwvwIAkX77OnAGwAJ6xyk6ksvjvwAAAAAYAAAA/PwA/AACAAAAAAAA8L8CkDF3LSEf8z8COIlBYOXQ8T8AAAAAGAAAAPz8APwAAgAAAAAAAPC/ApAxdy0hH/M/AnrHKTqSy+O/AAAAABgAAAD8/AD8AAIAAAAAAADwvwIhQfFjzF0NwALOO07RkVy+vwAAAAAYAAAA/PwA/AACAAAAAAAA8L8CWRe30QBeDcACveMUHcnl8b8AAAAAIAAAAPz8APwAAgAAAAAAAPC/AsiYu5aQjwlAAjiJQWDl0PE/AAAAACAAAAD8/AD8AAIAAAAAAADwvwL/If32deD0vwIm5IOezarPPwAAAAAYAAAA/PwA/AACAAAAAAAA8L8CACL99nXg/L8CescpOpLL478AAAAAIAAAAPz8APwAAgAAAAAAAPC/AsiYu5aQjwlAAnrHKTqSy+O/AAAAADwEDAFlBAAAAAAAAAAACAABZQQAAAAAAAAAAAwcAWUICAAAAAAAAAAQGAFlBAAAAAAAAAAAFDABZQQAAAAAAAAAABgAAWUIDAAAAAAAAAAcAAFlBAAAAAAAAAAAIBQBZQQAAAAAAAAAACQUAWUEAAAAAAAAAAAoCAFlCAAAAAAAAAAALAQBZQQAAAAAAAAAADAsAWUEAAAAAAAAAAA0CAFlBAAAAAAAAAAAEAQBZQgIAAAAAAAAACQgAWUEAAAAAAAAAAAAAAAA</t>
        </r>
      </text>
    </comment>
    <comment ref="A763" authorId="0" shapeId="0" xr:uid="{9809AD4A-38C9-4158-9ADB-40AF12D32461}">
      <text>
        <r>
          <rPr>
            <sz val="9"/>
            <color indexed="81"/>
            <rFont val="MS P ゴシック"/>
            <family val="3"/>
            <charset val="128"/>
          </rPr>
          <t>Insight iXlW00001C0000763R0585476093S00001524P01268LAocjBAQBF1NjaVRlZ2ljLmRhdGEuTW9sZWN1bGUBbwF/ARJTY2lUZWdpYy5Nb2xlY3VsZQAAAQFkAv5qAQAAAAIAAgEQHAAAAPz8APwAAgAAAAAAAPC/AuJYF7fRANI/Al3+Q/rt69Q/AAAAABgAAAD8/AD8AAIAAAAAAADwvwJIcvkP6bfzPwL4wmSqYFSSPwAAAAAcAAAA/PwA/AACAAAAAAAA8L8CAd4CCYof/T8CL/8h/fZ16j8AAAAAGAAAAPz8APwAAgAAAAAAAPC/AkvqBDQRNve/Al3+Q/rt69Q/AAAAABgAAAD8/AD8AAIAAAAAAADwvwISFD/G3LXivwJHA3gLJCjGvwAAAAAcAAAA/PwA/AACAAAAAAAA8L8CSHL5D+m38z8CI2x4eqUs+j8AAAAAGAAAAPz8APwAAgAAAAAAAPC/AuJYF7fRANI/Apf/kH77OvU/AAAAABgAAAD8/AD8AAIAAAAAAADwvwJL6gQ0ETb3vwKX/5B++zr1PwAAAAAYAAAA/PwA/AACAAAAAAAA8L8CRiV1ApqIAsACRwN4CyQoxr8AAAAAGAAAAPz8APwAAgAAAAAAAPC/AhIUP8bcteK/Apj/kH77Ov0/AAAAABgAAAD8/AD8AAIAAAAAAADwvwLT3uALk6n4PwIGEhQ/xtztvwAAAAAgAAAA/PwA/AACAAAAAAAA8L8Cf/s6cM6IAsACaQBvgQTF8r8AAAAAIAAAAPz8APwAAgAAAAAAAPC/AqCrrdhfdgnAAl3+Q/rt69Q/AAAAABgAAAD8/AD8AAIAAAAAAADwvwKegCbChqf/PwJE+u3rwDkCwAAAAAAYAAAA/PwA/AACAAAAAAAA8L8CvVKWIY51A0AC4C2QoPgx9r8AAAAAGAAAAPz8APwAAgAAAAAAAPC/Ava52or9ZfE/AqvP1VbsL/2/AAAAAAESBAABZQQAAAAAAAAAAAgEAWUICAAAAAAAAAAMEAFlCAwAAAAAAAAAEAABZQQAAAAAAAAAABQYAWUICAAAAAAAAAAYAAFlBAAAAAAAAAAAHCQBZQgIAAAAAAAAACAMAWUEAAAAAAAAAAAkGAFlBAAAAAAAAAAAKAQBZQQAAAAAAAAAACwgAWUIAAAAAAAAAAAwIAFlBAAAAAAAAAAANDwBZQQAAAAAAAAAADgoAWUEAAAAAAAAAAA8KAFlBAAAAAAAAAAAFAgBZQQAAAAAAAAAAAwcAWUEAAAAAAAAAAA4NAFlBAAAAAAAAAAAAAAAAA==</t>
        </r>
      </text>
    </comment>
    <comment ref="A764" authorId="0" shapeId="0" xr:uid="{EB0D8457-0610-41C1-A506-E5AD8D9DE280}">
      <text>
        <r>
          <rPr>
            <sz val="9"/>
            <color indexed="81"/>
            <rFont val="MS P ゴシック"/>
            <family val="3"/>
            <charset val="128"/>
          </rPr>
          <t>Insight iXlW00001C0000764R0585476093S00001526P01412LAocjBAQBF1NjaVRlZ2ljLmRhdGEuTW9sZWN1bGUBbwF/ARJTY2lUZWdpYy5Nb2xlY3VsZQAAAQFkAv5qAQAAAAIAAgESHAAAAPz8APwAAgAAAAAAAPC/AvOwUGuad6w/Amyad5yiI+M/AAAAABgAAAD8/AD8AAIAAAAAAADwvwKXIY51cRvwPwKqglFJnYDSPwAAAAAcAAAA/PwA/AACAAAAAAAA8L8CUI2XbhKD+T8CNs07TtGR8T8AAAAAGAAAAPz8APwAAgAAAAAAAPC/Avw6cM6I0vq/Amyad5yiI+M/AAAAABgAAAD8/AD8AAIAAAAAAADwvwJ0tRX7y+7pvwJb07zjFB25PwAAAAAcAAAA/PwA/AACAAAAAAAA8L8ClyGOdXEb8D8CwTkjSnuD/j8AAAAAGAAAAPz8APwAAgAAAAAAAPC/AvOwUGuad6w/AjbNO07Rkfk/AAAAABgAAAD8/AD8AAIAAAAAAADwvwL8OnDOiNL6vwI2zTtO0ZH5PwAAAAAYAAAA/PwA/AACAAAAAAAA8L8C16NwPQpXBMACbJp3nKIjuT8AAAAAGAAAAPz8APwAAgAAAAAAAPC/AnS1FfvL7um/ApvmHafoyABAAAAAABgAAAD8/AD8AAIAAAAAAADwvwIijnVxGw31PwLnHafoSC7lvwAAAAAgAAAA/PwA/AACAAAAAAAA8L8C16NwPQpXBMACswxxrIvb7L8AAAAAIAAAAPz8APwAAgAAAAAAAPC/AvhT46WbRAvAAk7zjlN0JOM/AAAAABgAAAD8/AD8AAIAAAAAAADwvwLG/rJ78rDkPwJ7FK5H4Xr2vwAAAAAYAAAA/PwA/AACAAAAAAAA8L8CtoR80LNZAkACE/JBz2bV678AAAAAGAAAAPz8APwAAgAAAAAAAPC/Avw6cM6I0gRAAhmV1AloIv2/AAAAABgAAAD8/AD8AAIAAAAAAADwvwLc14FzRpTuPwJF2PD0StkCwAAAAAAYAAAA/PwA/AACAAAAAAAA8L8COWdEaW/w/j8CUI2XbhKDBMAAAAAAARQEAAFlBAAAAAAAAAAACAQBZQgIAAAAAAAAAAwQAWUIDAAAAAAAAAAQAAFlBAAAAAAAAAAAFBgBZQgIAAAAAAAAABgAAWUEAAAAAAAAAAAcJAFlCAgAAAAAAAAAIAwBZQQAAAAAAAAAACQYAWUEAAAAAAAAAAAoBAFlBAAAAAAAAAAALCABZQgAAAAAAAAAADAgAWUEAAAAAAAAAAA0KAFlBAAAAAAAAAAAOCgBZQgMAAAAAAAAADw4AWUEAAAAAAAAAAABEDQBZQgIAAAAAAAAAAERPAFlCAgAAAAAAAAAFAgBZQQAAAAAAAAAAAwcAWUEAAAAAAAAAAABEAERAWUEAAAAAAAAAAAAAAAA</t>
        </r>
      </text>
    </comment>
    <comment ref="A765" authorId="0" shapeId="0" xr:uid="{88567C6F-FD81-4CAC-BADE-D5EAE4E98A7E}">
      <text>
        <r>
          <rPr>
            <sz val="9"/>
            <color indexed="81"/>
            <rFont val="MS P ゴシック"/>
            <family val="3"/>
            <charset val="128"/>
          </rPr>
          <t>Insight iXlW00001C0000765R0585476093S00001528P01104LAocjBAQBF1NjaVRlZ2ljLmRhdGEuTW9sZWN1bGUBbwF/ARJTY2lUZWdpYy5Nb2xlY3VsZQAAAQFkAv5qAQAAAAIAAjgYAAAA/PwA/AACAAAAAAAA8L8CFD/G3LWE8b8C4ZwRpb3Bxz8AAAAAGAAAAPz8APwAAgAAAAAAAPC/AhQ/xty1hPm/AktZhjjWxeW/AAAAABgAAAD8/AD8AAIAAAAAAADwvwJB8WPMXUu4vwLhnBGlvcHHPwAAAAAcAAAA/PwA/AACAAAAAAAA8L8CFD/G3LWE+b8C3pOHhVrT8D8AAAAAIAAAAPz8APwAAgAAAAAAAPC/ArAD54wo7dk/AktZhjjWxeW/AAAAACAAAAD8/AD8AAIAAAAAAADwvwIUP8bctYTxvwJYObTIdr74vwAAAAAgAAAA/PwA/AACAAAAAAAA8L8Cih9j7lrCBMACS1mGONbF5b8AAAAAGAAAAPz8APwAAgAAAAAAAPC/AuzAOSNKe/Y/AktZhjjWxeW/AAAAABgAAAD8/AD8AAIAAAAAAADwvwKwA+eMKO3ZPwLek4eFWtPwPwAAAAAYAAAA/PwA/AACAAAAAAAA8L8CFD/G3LWE8b8CIPRsVn2u/j8AAAAAGAAAAPz8APwAAgAAAAAAAPC/AgTnjCjtjQZAAktZhjjWxeW/AAAAABgAAAD8/AD8AAIAAAAAAADwvwK94xQdyeUAQAIQejarPlebPwAAAAAYAAAA/PwA/AACAAAAAAAA8L8CveMUHcnlAEACpd++Dpwz9r8AAAAAGAAAAPz8APwAAgAAAAAAAPC/AkHxY8xdS7i/AiD0bFZ9rv4/AAAAADwEAAFlBAAAAAAAAAAACAABZQQAAAAAAAAAAAwAAWUIDAAAAAAAAAAQCAFlBAAAAAAAAAAAFAQBZQgAAAAAAAAAABgEAWUEAAAAAAAAAAAcEAFlBAAAAAAAAAAAIAgBZQgIAAAAAAAAACQMAWUEAAAAAAAAAAAoMAFlBAAAAAAAAAAALBwBZQQAAAAAAAAAADAcAWUEAAAAAAAAAAA0JAFlCAgAAAAAAAAAIDQBZQQAAAAAAAAAACwoAWUEAAAAAAAAAAAAAAAA</t>
        </r>
      </text>
    </comment>
    <comment ref="A766" authorId="0" shapeId="0" xr:uid="{8F9981CA-799E-4AAF-A593-54C9DEC8FAB0}">
      <text>
        <r>
          <rPr>
            <sz val="9"/>
            <color indexed="81"/>
            <rFont val="MS P ゴシック"/>
            <family val="3"/>
            <charset val="128"/>
          </rPr>
          <t>Insight iXlW00001C0000766R0585476093S00001530P01248LAocjBAQBF1NjaVRlZ2ljLmRhdGEuTW9sZWN1bGUBbwF/ARJTY2lUZWdpYy5Nb2xlY3VsZQAAAQFkAv5qAQAAAAIAAgEQGAAAAPz8APwAAgAAAAAAAPC/AjnWxW00gPc/AuELk6mCUdG/AAAAABgAAAD8/AD8AAIAAAAAAADwvwLIKTqSy3//PwKTOgFNhA3jPwAAAAAYAAAA/PwA/AACAAAAAAAA8L8C41gXt9EA3j8C4QuTqYJR0b8AAAAAHAAAAPz8APwAAgAAAAAAAPC/AjnWxW00gP8/AjojSnuDL/K/AAAAACAAAAD8/AD8AAIAAAAAAADwvwLfcYqO5PKfvwKTOgFNhA3jPwAAAAAgAAAA/PwA/AACAAAAAAAA8L8CyCk6kst/9z8Ci/1l9+Rh9z8AAAAAIAAAAPz8APwAAgAAAAAAAPC/AuQUHcnlPwjAApM6AU2EDeM/AAAAABgAAAD8/AD8AAIAAAAAAADwvwLIKTqSy3/wvwKTOgFNhA3jPwAAAAAgAAAA/PwA/AACAAAAAAAA8L8C5BQdyeW/B0ACkzoBTYQN4z8AAAAAGAAAAPz8APwAAgAAAAAAAPC/AjnWxW00gPi/Aov9ZffkYfc/AAAAABgAAAD8/AD8AAIAAAAAAADwvwLIKTqSy3/4vwLhC5OpglHRvwAAAAAYAAAA/PwA/AACAAAAAAAA8L8C33GKjuTyn78COiNKe4Mv8r8AAAAAGAAAAPz8APwAAgAAAAAAAPC/AuQUHcnlPwTAAuELk6mCUdG/AAAAABgAAAD8/AD8AAIAAAAAAADwvwId6+I2GkAEwAKL/WX35GH3PwAAAAAYAAAA/PwA/AACAAAAAAAA8L8COdbFbTSA9z8CvsEXJlMFAMAAAAAAGAAAAPz8APwAAgAAAAAAAPC/AuNYF7fRAN4/Ar7BFyZTBQDAAAAAAAERBAABZQQAAAAAAAAAAAgAAWUEAAAAAAAAAAAMAAFlCAwAAAAAAAAAEAgBZQQAAAAAAAAAABQEAWUIAAAAAAAAAAAYMAFlBAAAAAAAAAAAHBABZQQAAAAAAAAAACAEAWUEAAAAAAAAAAAkHAFlBAAAAAAAAAAAKBwBZQQAAAAAAAAAACwIAWUICAAAAAAAAAAwKAFlBAAAAAAAAAAANCQBZQQAAAAAAAAAADgMAWUEAAAAAAAAAAA8OAFlCAgAAAAAAAAALDwBZQQAAAAAAAAAADQYAWUEAAAAAAAAAAAAAAAA</t>
        </r>
      </text>
    </comment>
    <comment ref="A767" authorId="0" shapeId="0" xr:uid="{788BB98C-7358-45E6-ADFA-FB61B81A48E1}">
      <text>
        <r>
          <rPr>
            <sz val="9"/>
            <color indexed="81"/>
            <rFont val="MS P ゴシック"/>
            <family val="3"/>
            <charset val="128"/>
          </rPr>
          <t>Insight iXlW00001C0000767R0585476093S00001532P01104LAocjBAQBF1NjaVRlZ2ljLmRhdGEuTW9sZWN1bGUBbwF/ARJTY2lUZWdpYy5Nb2xlY3VsZQAAAQFkAv5qAQAAAAIAAjgcAAAA/PwA/AACAAAAAAAA8L8ClBgEVg4t4L8C1sVtNIC3sD8AAAAAGAAAAPz8APwAAgAAAAAAAPC/AqtgVFInoPM/AtbFbTSAt7A/AAAAABgAAAD8/AD8AAIAAAAAAADwvwLgT42XbhLXPwKLjuTyH9LbvwAAAAAYAAAA/PwA/AACAAAAAAAA8L8ClBgEVg4t4L8CXtxGA3gL8T8AAAAAHAAAAPz8APwAAgAAAAAAAPC/AqQBvAUSFNc/Al7cRgN4C/k/AAAAABgAAAD8/AD8AAIAAAAAAADwvwJ24JwRpb0AQAKLjuTyH9LbvwAAAAAYAAAA/PwA/AACAAAAAAAA8L8Cq2BUUieg8z8CXtxGA3gL8T8AAAAAIAAAAPz8APwAAgAAAAAAAPC/Aoxs5/up8fW/Al7cRgN4C/k/AAAAABgAAAD8/AD8AAIAAAAAAADwvwKMbOf7qfH1vwKLjuTyH9LbvwAAAAAgAAAA/PwA/AACAAAAAAAA8L8Cl5APejarB0AC1sVtNIC3sD8AAAAAIAAAAPz8APwAAgAAAAAAAPC/AnbgnBGlvQBAAqMjufyH9Pa/AAAAABgAAAD8/AD8AAIAAAAAAADwvwKi1jTvOMUEwAIxKqkT0ETyvwAAAAAYAAAA/PwA/AACAAAAAAAA8L8CaLPqc7UV+r8CDXGsi9to9r8AAAAAGAAAAPz8APwAAgAAAAAAAPC/AvtcbcX+sgLAAjLmriXkg8a/AAAAADwECAFlCAwAAAAAAAAACAABZQQAAAAAAAAAAAwAAWUEAAAAAAAAAAAQDAFlBAAAAAAAAAAAFAQBZQQAAAAAAAAAABgQAWUICAAAAAAAAAAcDAFlCAAAAAAAAAAAIAABZQQAAAAAAAAAACQUAWUIAAAAAAAAAAAoFAFlBAAAAAAAAAAALDQBZQQAAAAAAAAAADAgAWUEAAAAAAAAAAA0IAFlBAAAAAAAAAAAMCwBZQQAAAAAAAAAAAQYAWUEAAAAAAAAAAAAAAAA</t>
        </r>
      </text>
    </comment>
    <comment ref="A768" authorId="0" shapeId="0" xr:uid="{07DEF1F5-D563-4E63-A28D-62DED67F8C34}">
      <text>
        <r>
          <rPr>
            <sz val="9"/>
            <color indexed="81"/>
            <rFont val="MS P ゴシック"/>
            <family val="3"/>
            <charset val="128"/>
          </rPr>
          <t>Insight iXlW00001C0000768R0585476093S00001534P01216LAocjBAQBF1NjaVRlZ2ljLmRhdGEuTW9sZWN1bGUBbwF/ARJTY2lUZWdpYy5Nb2xlY3VsZQAAAQFkAv5qAQAAAAIAAgEQGAAAAPz8APwAAgAAAAAAAPC/AmmR7Xw/tQVAAkGC4seYu/O/AAAAABgAAAD8/AD8AAIAAAAAAADwvwKQwvUoXI/9PwKCBMWPMXfnvwAAAAAgAAAA/PwA/AACAAAAAAAA8L8CnMQgsHJo7z8CQYLix5i7878AAAAAGAAAAPz8APwAAgAAAAAAAPC/AsUgsHJokb0/AoIExY8xd+e/AAAAABgAAAD8/AD8AAIAAAAAAADwvwJNFYxK6gTovwJBguLHmLvzvwAAAAAYAAAA/PwA/AACAAAAAAAA8L8C6Gor9pfd+b8CggTFjzF3578AAAAAGAAAAPz8APwAAgAAAAAAAPC/AuhqK/aX3fm/AjlFR3L5D9E/AAAAABgAAAD8/AD8AAIAAAAAAADwvwKVZYhjXdwDwAKdoiO5/IfoPwAAAAAcAAAA/PwA/AACAAAAAAAA8L8CthX7y+7JCsAC/fZ14JwR0T8AAAAAGAAAAPz8APwAAgAAAAAAAPC/Amu8dJMYBOi/Ap2iI7n8h+g/AAAAABgAAAD8/AD8AAIAAAAAAADwvwLFILByaJG9PwL99nXgnBHRPwAAAAAYAAAA/PwA/AACAAAAAAAA8L8CnMQgsHJo7z8Cf/s6cM6I6D8AAAAAJAAAAPz8APwAAgAAAAAAAPC/AjiJQWDl0N4/AgHeAgmKH/o/AAAAACQAAAD8/AD8AAIAAAAAAADwvwKQwvUoXI/9PwLAfR04Z0T0PwAAAAAkAAAA/PwA/AACAAAAAAAA8L8CTmIQWDm09z8CNe84RUdyub8AAAAAAREAAAD8/AD8AAIAAAAAAADwvwLP91PjpRsMQAIBb4EExY/JPwAAAAA8AAQBZQQAAAAAAAAAAAQIAWUEAAAAAAAAAAAIDAFlBAAAAAAAAAAADBABZQgMAAAAAAAAABAUAWUEAAAAAAAAAAAUGAFlCAwAAAAAAAAAGBwBZQQAAAAAAAAAABwgAWUEAAAAAAAAAAAYJAFlBAAAAAAAAAAAJCgBZQgIAAAAAAAAACgMAWUEAAAAAAAAAAAoLAFlBAAAAAAAAAAALDABZQQAAAAAAAAAACw0AWUEAAAAAAAAAAAsOAFlBAAAAAAAAAAAAAAAAA==</t>
        </r>
      </text>
    </comment>
    <comment ref="A769" authorId="0" shapeId="0" xr:uid="{154EB03F-2951-44F2-ACB5-82DC83F9FD6F}">
      <text>
        <r>
          <rPr>
            <sz val="9"/>
            <color indexed="81"/>
            <rFont val="MS P ゴシック"/>
            <family val="3"/>
            <charset val="128"/>
          </rPr>
          <t>Insight iXlW00001C0000769R0585476093S00001536P01288LAocjBAQBF1NjaVRlZ2ljLmRhdGEuTW9sZWN1bGUBbwF/ARJTY2lUZWdpYy5Nb2xlY3VsZQAAAQFkAv5qAQAAAAIAAgERHAAAAPz8APwAAgAAAAAAAPC/AgdfmEwVjMq/AnyDL0ymCvg/AAAAABgAAAD8/AD8AAIAAAAAAADwvwJZqDXNO06hvwI2zTtO0ZHgPwAAAAAYAAAA/PwA/AACAAAAAAAA8L8C1udqK/aX6b8CAAAAAAAAwL8AAAAAGAAAAPz8APwAAgAAAAAAAPC/AlmoNc07TqG/AjbNO07Rkei/AAAAABgAAAD8/AD8AAIAAAAAAADwvwLpSC7/If3sPwJVwaikTkDbvwAAAAAYAAAA/PwA/AACAAAAAAAA8L8ChC9MpgpG8T8CF9nO91Pj4T8AAAAAGAAAAPz8APwAAgAAAAAAAPC/Ap6AJsKGJwBAAqJFtvP91Ow/AAAAABwAAAD8/AD8AAIAAAAAAADwvwLyY8xdS0gGQAKdoiO5/IfQPwAAAAAYAAAA/PwA/AACAAAAAAAA8L8CorQ3+MLkBEACc2iR7Xw/578AAAAAGAAAAPz8APwAAgAAAAAAAPC/Ao6XbhKDwPo/An9qvHSTGPG/AAAAABgAAAD8/AD8AAIAAAAAAADwvwLrc7UV+8v0vwKDwMqhRbbvvwAAAAAYAAAA/PwA/AACAAAAAAAA8L8C9rnaiv1lAsACg8DKoUW2778AAAAAIAAAAPz8APwAAgAAAAAAAPC/Ava52or9ZQbAAgAAAAAAAMC/AAAAABgAAAD8/AD8AAIAAAAAAADwvwL2udqK/WUCwAKDwMqhRbbnPwAAAAAYAAAA/PwA/AACAAAAAAAA8L8C63O1FfvL9L8Cg8DKoUW25z8AAAAAAREAAAD8/AD8AAIAAAAAAADwvwJYyjLEsa4MQAIQC7WmecfJPwAAAAABEQAAAPz8APwAAgAAAAAAAPC/Arraiv1ldxJAAktZhjjWxc0/AAAAAAEQAAQBZQQAAAAAAAAAAAQIAWUEAAAAAAAAAAAIDAFlBAAAAAAAAAAADBABZQQAAAAAAAAAABAUAWUIDAAAAAAAAAAUGAFlBAAAAAAAAAAAGBwBZQgIAAAAAAAAABwgAWUEAAAAAAAAAAAgJAFlCAgAAAAAAAAAJBABZQQAAAAAAAAAAAgoAWUEAAAAAAAAAAAoLAFlBAAAAAAAAAAALDABZQQAAAAAAAAAADA0AWUEAAAAAAAAAAA0OAFlBAAAAAAAAAAAOAgBZQQAAAAAAAAAAAAAAAA=</t>
        </r>
      </text>
    </comment>
    <comment ref="A770" authorId="0" shapeId="0" xr:uid="{B809CCCF-C964-45A2-9BF1-3185CDEF6ABC}">
      <text>
        <r>
          <rPr>
            <sz val="9"/>
            <color indexed="81"/>
            <rFont val="MS P ゴシック"/>
            <family val="3"/>
            <charset val="128"/>
          </rPr>
          <t>Insight iXlW00001C0000770R0585476093S00001538P01340LAocjBAQBF1NjaVRlZ2ljLmRhdGEuTW9sZWN1bGUBbwF/ARJTY2lUZWdpYy5Nb2xlY3VsZQAAAQFkAv5qAQAAAAIAAgERHAAAAPz8APwAAgAAAAAAAPC/AuC+Dpwzouy/AoG3QILix5g/AAAAABgAAAD8/AD8AAIAAAAAAADwvwJCz2bV52rDvwIcfGEyVTDmPwAAAAAcAAAA/PwA/AACAAAAAAAA8L8CysNCrWne4b8Cg8DKoUW2+T8AAAAAHAAAAPz8APwAAgAAAAAAAPC/ApxVn6ut2Pi/ApoqGJXUCfg/AAAAABgAAAD8/AD8AAIAAAAAAADwvwKyv+yePCz8vwK8BRIUP8bgPwAAAAAYAAAA/PwA/AACAAAAAAAA8L8C4L4OnDOi7L8CRPrt68A5778AAAAAGAAAAPz8APwAAgAAAAAAAPC/AvoP6bevAwXAAoG3QILix5g/AAAAABgAAAD8/AD8AAIAAAAAAADwvwKyv+yePCz8vwKxUGuad5z3vwAAAAAYAAAA/PwA/AACAAAAAAAA8L8CppvEILBy6j8C4E+Nl24S3z8AAAAAGAAAAPz8APwAAgAAAAAAAPC/AvoP6bevAwXAAmKh1jTvOO+/AAAAABgAAAD8/AD8AAIAAAAAAADwvwJeukkMAivyPwKYbhKDwMrdvwAAAAAYAAAA/PwA/AACAAAAAAAA8L8Cklz+Q/rt9z8CgNk9eVio8z8AAAAAHAAAAPz8APwAAgAAAAAAAPC/ArK/7J48LPy/AlmoNc07zgPAAAAAABgAAAD8/AD8AAIAAAAAAADwvwJseHqlLEMGQAK5/If029exPwAAAAAYAAAA/PwA/AACAAAAAAAA8L8C7uvAOSPKA0AC2xt8YTJV8D8AAAAAGAAAAPz8APwAAgAAAAAAAPC/AtSa5h2n6ABAAngLJCh+jOW/AAAAACQAAAD8/AD8AAIAAAAAAADwvwISNjy9UhYOQAJVUiegibDBvwAAAAABEwQAAWUEAAAAAAAAAAAIBAFlCAgAAAAAAAAADBABZQgIAAAAAAAAABAAAWUEAAAAAAAAAAAUAAFlBAAAAAAAAAAAGBABZQQAAAAAAAAAABwUAWUICAAAAAAAAAAgBAFlBAAAAAAAAAAAJBwBZQQAAAAAAAAAACggAWUEAAAAAAAAAAAsIAFlCAwAAAAAAAAAMBwBZQQAAAAAAAAAADQ4AWUIDAAAAAAAAAA4LAFlBAAAAAAAAAAAPCgBZQgIAAAAAAAAAAEQNAFlBAAAAAAAAAAADAgBZQQAAAAAAAAAABgkAWUICAAAAAAAAAA8NAFlBAAAAAAAAAAAAAAAAA==</t>
        </r>
      </text>
    </comment>
    <comment ref="A771" authorId="0" shapeId="0" xr:uid="{B2C63690-5133-43A3-983A-B94F478459AF}">
      <text>
        <r>
          <rPr>
            <sz val="9"/>
            <color indexed="81"/>
            <rFont val="MS P ゴシック"/>
            <family val="3"/>
            <charset val="128"/>
          </rPr>
          <t>Insight iXlW00001C0000771R0585476093S00001540P00920LAocjBAQBF1NjaVRlZ2ljLmRhdGEuTW9sZWN1bGUBbwF/ARJTY2lUZWdpYy5Nb2xlY3VsZQAAAQFkAv5qAQAAAAIAAjAcAAAA/PwA/AACAAAAAAAA8L8CAAAAAAAA9L8Cg8DKoUW26z8AAAAAGAAAAPz8APwAAgAAAAAAAPC/AgAAAAAAAPy/AAAAAAAgAAAA/PwA/AACAAAAAAAA8L8CAAAAAAAA0L8Cg8DKoUW2678AAAAAGAAAAPz8APwAAgAAAAAAAPC/AgAAAAAAANA/AAAAAAAgAAAA/PwA/AACAAAAAAAA8L8CAAAAAAAABsAAAAAAABgAAAD8/AD8AAIAAAAAAADwvwIAAAAAAADQvwKDwMqhRbbrPwAAAAAYAAAA/PwA/AACAAAAAAAA8L8CAAAAAAAA9L8Cg8DKoUW2678AAAAAIAAAAPz8APwAAgAAAAAAAPC/AgAAAAAAAAJAAAAAAAAYAAAA/PwA/AACAAAAAAAA8L8CAAAAAAAA6D8Cg8DKoUW2678AAAAAGAAAAPz8APwAAgAAAAAAAPC/AgAAAAAAAOg/AoPAyqFFtus/AAAAABgAAAD8/AD8AAIAAAAAAADwvwIAAAAAAAD8PwKDwMqhRbbrPwAAAAAYAAAA/PwA/AACAAAAAAAA8L8CAAAAAAAA/D8Cg8DKoUW2678AAAAANAQAAWUEAAAAAAAAAAAIDAFlBAAAAAAAAAAADBQBZQQAAAAAAAAAABAEAWUIAAAAAAAAAAAUAAFlBAAAAAAAAAAAGAQBZQQAAAAAAAAAABwoAWUEAAAAAAAAAAAgDAFlBAAAAAAAAAAAJAwBZQQAAAAAAAAAACgkAWUEAAAAAAAAAAAsIAFlBAAAAAAAAAAACBgBZQQAAAAAAAAAACwcAWUEAAAAAAAAAAAAAAAA</t>
        </r>
      </text>
    </comment>
    <comment ref="A772" authorId="0" shapeId="0" xr:uid="{5A35600D-DBF6-4BBD-A303-9D373EB93DDA}">
      <text>
        <r>
          <rPr>
            <sz val="9"/>
            <color indexed="81"/>
            <rFont val="MS P ゴシック"/>
            <family val="3"/>
            <charset val="128"/>
          </rPr>
          <t>Insight iXlW00001C0000772R0585476093S00001542P01396LAocjBAQBF1NjaVRlZ2ljLmRhdGEuTW9sZWN1bGUBbwF/ARJTY2lUZWdpYy5Nb2xlY3VsZQAAAQFkAv5qAQAAAAIAAgESGAAAAPz8APwAAgAAAAAAAPC/AgTnjCjtjQVAAp5eKcsQx/E/AAAAABgAAAD8/AD8AAIAAAAAAADwvwJVwaikTkD9PwI8vVKWIY7jPwAAAAAYAAAA/PwA/AACAAAAAAAA8L8CHA3gLZCguD8CiIVa07zj2L8AAAAAGAAAAPz8APwAAgAAAAAAAPC/AifChqdXyu4/AsRCrWnecey/AAAAABgAAAD8/AD8AAIAAAAAAADwvwJVwaikTkD9PwKIhVrTvOPYvwAAAAAgAAAA/PwA/AACAAAAAAAA8L8C4L4OnDOi6L8CxEKtad5x7L8AAAAAIAAAAPz8APwAAgAAAAAAAPC/AgTnjCjtjQVAAk+vlGWI4wBAAAAAABgAAAD8/AD8AAIAAAAAAADwvwInwoanV8ruPwKeXinLEMfxPwAAAAAYAAAA/PwA/AACAAAAAAAA8L8CHA3gLZCguD8CPL1SliGO4z8AAAAAIAAAAPz8APwAAgAAAAAAAPC/AlOWIY518QrAAjy9UpYhjuM/AAAAABgAAAD8/AD8AAIAAAAAAADwvwKyv+yePCz6vwKIhVrTvOPYvwAAAAAgAAAA/PwA/AACAAAAAAAA8L8CJZf/kH57DEACPL1SliGO4z8AAAAAIAAAAPz8APwAAgAAAAAAAPC/Agkbnl4py+4/AmKh1jTvOP6/AAAAABgAAAD8/AD8AAIAAAAAAADwvwL6D+m3rwMEwALEQq1p3nHsvwAAAAAYAAAA/PwA/AACAAAAAAAA8L8Csr/snjws+r8CPL1SliGO4z8AAAAAGAAAAPz8APwAAgAAAAAAAPC/AhvAWyBB8QrAAoiFWtO849i/AAAAABgAAAD8/AD8AAIAAAAAAADwvwL6D+m3rwMEwAKeXinLEMfxPwAAAAAYAAAA/PwA/AACAAAAAAAA8L8CHA3gLZCguD8CsVBrmnccA8AAAAAAARMEAAFlBAAAAAAAAAAACCABZQgMAAAAAAAAAAwQAWUIDAAAAAAAAAAQBAFlBAAAAAAAAAAAFAgBZQQAAAAAAAAAABgAAWUIAAAAAAAAAAAcBAFlCAwAAAAAAAAAIBwBZQQAAAAAAAAAACQBEAFlBAAAAAAAAAAAKBQBZQQAAAAAAAAAACwAAWUEAAAAAAAAAAAwDAFlBAAAAAAAAAAANCgBZQQAAAAAAAAAADgoAWUEAAAAAAAAAAA8NAFlBAAAAAAAAAAAARA4AWUEAAAAAAAAAAABETABZQQAAAAAAAAAAAwIAWUEAAAAAAAAAAA8JAFlBAAAAAAAAAAAAAAAAA==</t>
        </r>
      </text>
    </comment>
    <comment ref="A773" authorId="0" shapeId="0" xr:uid="{2B0EBCDC-8936-4A2D-9592-E75EC96886DD}">
      <text>
        <r>
          <rPr>
            <sz val="9"/>
            <color indexed="81"/>
            <rFont val="MS P ゴシック"/>
            <family val="3"/>
            <charset val="128"/>
          </rPr>
          <t>Insight iXlW00001C0000773R0585476093S00001544P01036LAocjBAQBF1NjaVRlZ2ljLmRhdGEuTW9sZWN1bGUBbwF/ARJTY2lUZWdpYy5Nb2xlY3VsZQAAAQFkAv5qAQAAAAIAAjQcAAAA/PwA/AACAAAAAAAA8L8Cf/s6cM6I5j8CldQJaCJsuL8AAAAAGAAAAPz8APwAAgAAAAAAAPC/AsRCrWnecfC/ApXUCWgibLi/AAAAABgAAAD8/AD8AAIAAAAAAADwvwISFD/G3LXEvwKTOgFNhA3jvwAAAAAYAAAA/PwA/AACAAAAAAAA8L8Cf/s6cM6I5j8CbsX+snvy7D8AAAAAHAAAAPz8APwAAgAAAAAAAPC/As4ZUdobfPo/AkLPZtXnavM/AAAAABwAAAD8/AD8AAIAAAAAAADwvwLEQq1p3vEBQALbiv1l9+TZPwAAAAAYAAAA/PwA/AACAAAAAAAA8L8CzhlR2ht8+j8CUyegibDh2b8AAAAAGAAAAPz8APwAAgAAAAAAAPC/AsRCrWnecfC/Am7F/rJ78uw/AAAAABgAAAD8/AD8AAIAAAAAAADwvwIGo5I6AU3+vwKTOgFNhA3jvwAAAAAYAAAA/PwA/AACAAAAAAAA8L8CEhQ/xty1xL8Ct2J/2T159j8AAAAAIAAAAPz8APwAAgAAAAAAAPC/AgajkjoBTf6/AkqdgCbChvm/AAAAACAAAAD8/AD8AAIAAAAAAADwvwKkAbwFEhQGwAKV1AloImy4vwAAAAAYAAAA/PwA/AACAAAAAAAA8L8CWoY41sVt/z8Cc/kP6bev9b8AAAAAOAQIAWUIDAAAAAAAAAAIAAFlBAAAAAAAAAAADAABZQQAAAAAAAAAABAMAWUICAAAAAAAAAAUGAFlCAgAAAAAAAAAGAABZQQAAAAAAAAAABwkAWUICAAAAAAAAAAgBAFlBAAAAAAAAAAAJAwBZQQAAAAAAAAAACggAWUIAAAAAAAAAAAsIAFlBAAAAAAAAAAAMBgBZQQAAAAAAAAAABAUAWUEAAAAAAAAAAAEHAFlBAAAAAAAAAAAAAAAAA==</t>
        </r>
      </text>
    </comment>
    <comment ref="A774" authorId="0" shapeId="0" xr:uid="{6B32B31F-08AA-4C45-A6BE-1791148233AF}">
      <text>
        <r>
          <rPr>
            <sz val="9"/>
            <color indexed="81"/>
            <rFont val="MS P ゴシック"/>
            <family val="3"/>
            <charset val="128"/>
          </rPr>
          <t>Insight iXlW00001C0000774R0585476093S00001546P00948LAocjBAQBF1NjaVRlZ2ljLmRhdGEuTW9sZWN1bGUBbwF/ARJTY2lUZWdpYy5Nb2xlY3VsZQAAAQFkAv5qAQAAAAIAAjAYAAAA/PwA/AACAAAAAAAA8L8Cg8DKoUW2y78CAAAAAAAAwL8AAAAAGAAAAPz8APwAAgAAAAAAAPC/AmMQWDm0yOQ/AgAAAAAAAOS/AAAAABgAAAD8/AD8AAIAAAAAAADwvwJjEFg5tMjkPwIAAAAAAAD6vwAAAAAcAAAA/PwA/AACAAAAAAAA8L8CYxBYObTI5D8CAAAAAAAA9j8AAAAAGAAAAPz8APwAAgAAAAAAAPC/AoPAyqFFtsu/AgAAAAAAAOw/AAAAABwAAAD8/AD8AAIAAAAAAADwvwJzaJHtfD/4PwIAAAAAAADAvwAAAAAYAAAA/PwA/AACAAAAAAAA8L8Cc2iR7Xw/+D8CAAAAAAAA7D8AAAAAIAAAAPz8APwAAgAAAAAAAPC/AnNoke18P/g/AgAAAAAAAAHAAAAAACAAAAD8/AD8AAIAAAAAAADwvwKDwMqhRbbLvwIAAAAAAAABwAAAAAAgAAAA/PwA/AACAAAAAAAA8L8CUrgehetR8b8CAAAAAAAA9j8AAAAAGAAAAPz8APwAAgAAAAAAAPC/ApQYBFYOLf+/AgAAAAAAAOw/AAAAABgAAAD8/AD8AAIAAAAAAADwvwKjkjoBTYQGwAIAAAAAAAD2PwAAAAAwBAABZQgMAAAAAAAAAAgEAWUEAAAAAAAAAAAMEAFlCAgAAAAAAAAAEAABZQQAAAAAAAAAABQEAWUEAAAAAAAAAAAYDAFlBAAAAAAAAAAAHAgBZQgAAAAAAAAAACAIAWUEAAAAAAAAAAAkEAFlBAAAAAAAAAAAKCQBZQQAAAAAAAAAACwoAWUEAAAAAAAAAAAUGAFlCAgAAAAAAAAAAAAAAA==</t>
        </r>
      </text>
    </comment>
    <comment ref="A775" authorId="0" shapeId="0" xr:uid="{B5A5640F-A40B-4741-A609-C98FD98CD2DD}">
      <text>
        <r>
          <rPr>
            <sz val="9"/>
            <color indexed="81"/>
            <rFont val="MS P ゴシック"/>
            <family val="3"/>
            <charset val="128"/>
          </rPr>
          <t>Insight iXlW00001C0000775R0585476093S00001548P01488LAocjBAQBF1NjaVRlZ2ljLmRhdGEuTW9sZWN1bGUBbwF/ARJTY2lUZWdpYy5Nb2xlY3VsZQAAAQFkAv5qAQAAAAIAAgETHAAAAPz8APwAAgAAAAAAAPC/Ahi30QDeAsG/Aq5p3nGKjuY/AAAAABgAAAD8/AD8AAIAAAAAAADwvwJYyjLEsS7qPwIuIR/0bFbZPwAAAAAcAAAA/PwA/AACAAAAAAAA8L8C5tAi2/l+9j8C1zTvOEVH8z8AAAAAGAAAAPz8APwAAgAAAAAAAPC/Amb35GGh1v2/Aq5p3nGKjuY/AAAAABgAAAD8/AD8AAIAAAAAAADwvwJJLv8h/fbvvwK1pnnHKTrKPwAAAAAcAAAA/PwA/AACAAAAAAAA8L8CWMoyxLEu6j8CsVBrmnccAEAAAAAAGAAAAPz8APwAAgAAAAAAAPC/Ahi30QDeAsG/Atc07zhFR/s/AAAAABgAAAD8/AD8AAIAAAAAAADwvwJm9+Rhodb9vwLXNO84RUf7PwAAAAAYAAAA/PwA/AACAAAAAAAA8L8C1CtlGeLYBcACtaZ5xyk6yj8AAAAAGAAAAPz8APwAAgAAAAAAAPC/ArfRAN4CCfI/AqVOQBNhw+G/AAAAABgAAAD8/AD8AAIAAAAAAADwvwJJLv8h/fbvvwJsmnecoqMBQAAAAAAYAAAA/PwA/AACAAAAAAAA8L8CufyH9NvXAEAC0SLb+X5q6L8AAAAAIAAAAPz8APwAAgAAAAAAAPC/AtQrZRni2AXAAlOWIY51cem/AAAAACAAAAD8/AD8AAIAAAAAAADwvwL129eBc8YMwAKuad5xio7mPwAAAAAYAAAA/PwA/AACAAAAAAAA8L8Cx9y1hHxQA0ACeC0hH/Rs+78AAAAAJAAAAPz8APwAAgAAAAAAAPC/AqRwPQrXIwtAAo6XbhKDwP6/AAAAABgAAAD8/AD8AAIAAAAAAADwvwLhC5OpglHdPwJLWYY41sX0vwAAAAAYAAAA/PwA/AACAAAAAAAA8L8CB1+YTBWM6D8CdSSX/5D+AcAAAAAAGAAAAPz8APwAAgAAAAAAAPC/As6qz9VW7Ps/AoDZPXlYqAPAAAAAAAEVBAABZQQAAAAAAAAAAAgEAWUICAAAAAAAAAAMEAFlCAwAAAAAAAAAEAABZQQAAAAAAAAAABQYAWUICAAAAAAAAAAYAAFlBAAAAAAAAAAAHCgBZQgIAAAAAAAAACAMAWUEAAAAAAAAAAAkBAFlBAAAAAAAAAAAKBgBZQQAAAAAAAAAACwkAWUEAAAAAAAAAAAwIAFlCAAAAAAAAAAANCABZQQAAAAAAAAAADgsAWUIDAAAAAAAAAA8OAFlBAAAAAAAAAAAARAkAWUIDAAAAAAAAAABEQEQAWUEAAAAAAAAAAABEgERAWUICAAAAAAAAAAUCAFlBAAAAAAAAAAADBwBZQQAAAAAAAAAADgBEgFlBAAAAAAAAAAAAAAAAA==</t>
        </r>
      </text>
    </comment>
    <comment ref="A776" authorId="0" shapeId="0" xr:uid="{E9B6FB99-E01B-4A66-9EC4-1BBF8711691F}">
      <text>
        <r>
          <rPr>
            <sz val="9"/>
            <color indexed="81"/>
            <rFont val="MS P ゴシック"/>
            <family val="3"/>
            <charset val="128"/>
          </rPr>
          <t>Insight iXlW00001C0000776R0585476093S00001550P01160LAocjBAQBF1NjaVRlZ2ljLmRhdGEuTW9sZWN1bGUBbwF/ARJTY2lUZWdpYy5Nb2xlY3VsZQAAAQFkAv5qAQAAAAIAAjwYAAAA/PwA/AACAAAAAAAA8L8CNBE2PL1S9L8COUVHcvkPwb8AAAAAGAAAAPz8APwAAgAAAAAAAPC/AiKOdXEbjQFAAjlFR3L5D8G/AAAAABgAAAD8/AD8AAIAAAAAAADwvwI0ETY8vVL0vwKn6Egu/yHyvwAAAAAcAAAA/PwA/AACAAAAAAAA8L8Cu7iNBvAWAcACZF3cRgN41z8AAAAAGAAAAPz8APwAAgAAAAAAAPC/AsrDQq1p3tm/AmRd3EYDeNc/AAAAACAAAAD8/AD8AAIAAAAAAADwvwIBb4EExY/dPwI5RUdy+Q/BvwAAAAAgAAAA/PwA/AACAAAAAAAA8L8CBhIUP8bc2b8Cp+hILv8h+r8AAAAAGAAAAPz8APwAAgAAAAAAAPC/AgK8BRIUP/U/AmRd3EYDeNc/AAAAACQAAAD8/AD8AAIAAAAAAADwvwIijnVxG40FQAI17zhFR3LnPwAAAAAkAAAA/PwA/AACAAAAAAAA8L8CQz7o2ax6CEACT9GRXP5D5L8AAAAAJAAAAPz8APwAAgAAAAAAAPC/AkQc6+I2Gvs/ArTqc7UV+++/AAAAACAAAAD8/AD8AAIAAAAAAADwvwK7uI0G8BYBwAKn6Egu/yH6vwAAAAAYAAAA/PwA/AACAAAAAAAA8L8Cu7iNBvAWAcAC6Gor9pfd9T8AAAAAGAAAAPz8APwAAgAAAAAAAPC/AgYSFD/G3Nm/AlkXt9EA3vU/AAAAABgAAAD8/AD8AAIAAAAAAADwvwI0ETY8vVL0vwLoaiv2l939PwAAAAA8BBwBZQQAAAAAAAAAAAgAAWUEAAAAAAAAAAAMAAFlBAAAAAAAAAAAEAABZQgIAAAAAAAAABQQAWUEAAAAAAAAAAAYCAFlCAAAAAAAAAAAHBQBZQQAAAAAAAAAACAEAWUEAAAAAAAAAAAkBAFlBAAAAAAAAAAAKAQBZQQAAAAAAAAAACwIAWUEAAAAAAAAAAAwDAFlCAgAAAAAAAAANBABZQQAAAAAAAAAADg0AWUICAAAAAAAAAA4MAFlBAAAAAAAAAAAAAAAAA==</t>
        </r>
      </text>
    </comment>
    <comment ref="A777" authorId="0" shapeId="0" xr:uid="{C66FB9C5-53EA-470B-8A5A-DD21B3CEF7CC}">
      <text>
        <r>
          <rPr>
            <sz val="9"/>
            <color indexed="81"/>
            <rFont val="MS P ゴシック"/>
            <family val="3"/>
            <charset val="128"/>
          </rPr>
          <t>Insight iXlW00001C0000777R0585476093S00001552P01216LAocjBAQBF1NjaVRlZ2ljLmRhdGEuTW9sZWN1bGUBbwF/ARJTY2lUZWdpYy5Nb2xlY3VsZQAAAQFkAv5qAQAAAAIAAgEQHAAAAPz8APwAAgAAAAAAAPC/AtGzWfW52ui/AqQBvAUSFP4/AAAAABgAAAD8/AD8AAIAAAAAAADwvwJsmnecoiPBvwL8OnDOiNLxPwAAAAAYAAAA/PwA/AACAAAAAAAA8L8CTaYKRiV13r8CJEp7gy9Mxj8AAAAAGAAAAPz8APwAAgAAAAAAAPC/Ak2mCkYldd6/AngtIR/0bOq/AAAAABgAAAD8/AD8AAIAAAAAAADwvwLVCWgibHj1vwK8lpAPejb1vwAAAAAgAAAA/PwA/AACAAAAAAAA8L8CRIts5/upAcACeC0hH/Rs6r8AAAAAGAAAAPz8APwAAgAAAAAAAPC/Agu1pnnHqQHAApvmHafoSMY/AAAAABgAAAD8/AD8AAIAAAAAAADwvwLVCWgibHj1vwKneccpOpLlPwAAAAAYAAAA/PwA/AACAAAAAAAA8L8Cm+Ydp+hI4D8C/Knx0k1iQD8AAAAAGAAAAPz8APwAAgAAAAAAAPC/AiZTBaOSOus/AgTnjCjtDe6/AAAAABgAAAD8/AD8AAIAAAAAAADwvwJ0RpT2Bl/9PwIg0m9fB87xvwAAAAAYAAAA/PwA/AACAAAAAAAA8L8ChxbZzvfTA0ACHHxhMlUw1r8AAAAAHAAAAPz8APwAAgAAAAAAAPC/AmU730+NFwFAAn6MuWsJ+eI/AAAAABgAAAD8/AD8AAIAAAAAAADwvwLo2az6XG3yPwKdoiO5/IfoPwAAAAABEQAAAPz8APwAAgAAAAAAAPC/Au58PzVeOgpAAl8pyxDHutA/AAAAAAERAAAA/PwA/AACAAAAAAAA8L8CBTQRNjw9EUACQYLix5i70j8AAAAAPAAEAWUEAAAAAAAAAAAECAFlBAAAAAAAAAAACAwBZQQAAAAAAAAAAAwQAWUEAAAAAAAAAAAQFAFlBAAAAAAAAAAAFBgBZQQAAAAAAAAAABgcAWUEAAAAAAAAAAAcCAFlBAAAAAAAAAAACCABZQQAAAAAAAAAACAkAWUIDAAAAAAAAAAkKAFlBAAAAAAAAAAAKCwBZQgIAAAAAAAAACwwAWUEAAAAAAAAAAAwNAFlCAgAAAAAAAAANCABZQQAAAAAAAAAAAAAAAA=</t>
        </r>
      </text>
    </comment>
    <comment ref="A778" authorId="0" shapeId="0" xr:uid="{956EDEB8-50FB-4141-9EA7-7A10839F2B1D}">
      <text>
        <r>
          <rPr>
            <sz val="9"/>
            <color indexed="81"/>
            <rFont val="MS P ゴシック"/>
            <family val="3"/>
            <charset val="128"/>
          </rPr>
          <t>Insight iXlW00001C0000778R0585476093S00001554P01144LAocjBAQBF1NjaVRlZ2ljLmRhdGEuTW9sZWN1bGUBbwF/ARJTY2lUZWdpYy5Nb2xlY3VsZQAAAQFkAv5qAQAAAAIAAjwYAAAA/PwA/AACAAAAAAAA8L8CiUFg5dCiAkACfdCzWfW59T8AAAAAIAAAAPz8APwAAgAAAAAAAPC/AolBYOXQogJAAvJBz2bV59Y/AAAAABgAAAD8/AD8AAIAAAAAAADwvwLRItv5fmr3PwIcfGEyVTDCvwAAAAAYAAAA/PwA/AACAAAAAAAA8L8C0SLb+X5q9z8ChC9MpgpG8r8AAAAAGAAAAPz8APwAAgAAAAAAAPC/Ah+F61G4HuM/AoQvTKYKRvq/AAAAABgAAAD8/AD8AAIAAAAAAADwvwLJdr6fGi/RvwKEL0ymCkbyvwAAAAAYAAAA/PwA/AACAAAAAAAA8L8CyXa+nxov0b8CHHxhMlUwwr8AAAAAHAAAAPz8APwAAgAAAAAAAPC/Ah+F61G4HuM/AvJBz2bV59Y/AAAAABgAAAD8/AD8AAIAAAAAAADwvwL0/dR46SbyvwLyQc9m1efWPwAAAAAYAAAA/PwA/AACAAAAAAAA8L8Cj+TyH9Jv/L8Crthfdk8e2r8AAAAAHAAAAPz8APwAAgAAAAAAAPC/ArhAguLHGAbAAmu8dJMYBM6/AAAAABgAAAD8/AD8AAIAAAAAAADwvwJdj8L1KFzpvwI0orQ3+ML0PwAAAAAYAAAA/PwA/AACAAAAAAAA8L8Cj+TyH9Jv/L8CJZf/kH778T8AAAAAAREAAAD8/AD8AAIAAAAAAADwvwLwp8ZLNwkJQAI6I0p7gy/EvwAAAAABEQAAAPz8APwAAgAAAAAAAPC/AobJVMGopBBAAv7UeOkmMcC/AAAAADgABAFlBAAAAAAAAAAABAgBZQQAAAAAAAAAAAgMAWUEAAAAAAAAAAAMEAFlCAgAAAAAAAAAEBQBZQQAAAAAAAAAABQYAWUICAAAAAAAAAAYHAFlBAAAAAAAAAAAHAgBZQgMAAAAAAAAABggAWUEAAAAAAAAAAAgJAFlBAAAAAAAAAAAJCgBZQQAAAAAAAAAACAsAWUEAAAAAAAAAAAsMAFlBAAAAAAAAAAAMCABZQQAAAAAAAAAAAAAAAA=</t>
        </r>
      </text>
    </comment>
    <comment ref="A779" authorId="0" shapeId="0" xr:uid="{1E060048-3B01-4B8B-A6FE-F335006441E0}">
      <text>
        <r>
          <rPr>
            <sz val="9"/>
            <color indexed="81"/>
            <rFont val="MS P ゴシック"/>
            <family val="3"/>
            <charset val="128"/>
          </rPr>
          <t>Insight iXlW00001C0000779R0585476093S00001556P01056LAocjBAQBF1NjaVRlZ2ljLmRhdGEuTW9sZWN1bGUBbwF/ARJTY2lUZWdpYy5Nb2xlY3VsZQAAAQFkAv5qAQAAAAIAAjgYAAAA/PwA/AACAAAAAAAA8L8CAAAAAAAA8r8CVVInoImw7b8AAAAAGAAAAPz8APwAAgAAAAAAAPC/AgAAAAAAAPK/Al1txf6ye7I/AAAAABgAAAD8/AD8AAIAAAAAAADwvwIAAAAAAADyvwLWVuwvuyfxPwAAAAAYAAAA/PwA/AACAAAAAAAA8L8CAAAAAAAAAcACXW3F/rJ7sj8AAAAAHAAAAPz8APwAAgAAAAAAAPC/AgAAAAAAAAXAArprCfmgZ+m/AAAAABgAAAD8/AD8AAIAAAAAAADwvwIAAAAAAADAvwJdbcX+snuyPwAAAAAYAAAA/PwA/AACAAAAAAAA8L8CAAAAAAAA2D8CL26jAbwF7j8AAAAAGAAAAPz8APwAAgAAAAAAAPC/AgAAAAAAAPY/Ai9uowG8Be4/AAAAABgAAAD8/AD8AAIAAAAAAADwvwIAAAAAAAD+PwJdbcX+snuyPwAAAAAkAAAA/PwA/AACAAAAAAAA8L8CAAAAAAAAB0ACXW3F/rJ7sj8AAAAAGAAAAPz8APwAAgAAAAAAAPC/AgAAAAAAAPY/AtgS8kHPZum/AAAAABwAAAD8/AD8AAIAAAAAAADwvwIAAAAAAADYPwK6awn5oGfpvwAAAAABEQAAAPz8APwAAgAAAAAAAPC/AmdmZmZmZg1AAkM+6Nms+qw/AAAAAAERAAAA/PwA/AACAAAAAAAA8L8CwqikTkDTEkACmbuWkA96tj8AAAAAMAAEAWUEAAAAAAAAAAAECAFlBAAAAAAAAAAABAwBZQQAAAAAAAAAAAwQAWUEAAAAAAAAAAAEFAFlBAAAAAAAAAAAFBgBZQgMAAAAAAAAABgcAWUEAAAAAAAAAAAcIAFlCAwAAAAAAAAAICQBZQQAAAAAAAAAACAoAWUEAAAAAAAAAAAoLAFlCAgAAAAAAAAALBQBZQQAAAAAAAAAAAAAAAA=</t>
        </r>
      </text>
    </comment>
    <comment ref="A780" authorId="0" shapeId="0" xr:uid="{D3C7315F-B71D-4278-AAFA-D416E19D1798}">
      <text>
        <r>
          <rPr>
            <sz val="9"/>
            <color indexed="81"/>
            <rFont val="MS P ゴシック"/>
            <family val="3"/>
            <charset val="128"/>
          </rPr>
          <t>Insight iXlW00001C0000780R0585476093S00001558P01036LAocjBAQBF1NjaVRlZ2ljLmRhdGEuTW9sZWN1bGUBbwF/ARJTY2lUZWdpYy5Nb2xlY3VsZQAAAQFkAv5qAQAAAAIAAjQYAAAA/PwA/AACAAAAAAAA8L8C87BQa5p38b8CZhniWBe3yT8AAAAAGAAAAPz8APwAAgAAAAAAAPC/ApEPejarPvS/Ag3gLZCg+PI/AAAAABgAAAD8/AD8AAIAAAAAAADwvwJVwaikTkAAwALHSzeJQWDhPwAAAAAYAAAA/PwA/AACAAAAAAAA8L8CkQ96Nqs+9L8CaLPqc7UV6b8AAAAAGAAAAPz8APwAAgAAAAAAAPC/AigPC7Wmebe/AmYZ4lgXt8k/AAAAABwAAAD8/AD8AAIAAAAAAADwvwI2PL1SliHaPwIqOpLLf0jlvwAAAAAgAAAA/PwA/AACAAAAAAAA8L8CoyO5/If0378CT0ATYcPT9r8AAAAAGAAAAPz8APwAAgAAAAAAAPC/AjY8vVKWIdo/At9PjZduEvE/AAAAABgAAAD8/AD8AAIAAAAAAADwvwIOT6+UZYj2PwIqOpLLf0jlvwAAAAAgAAAA/PwA/AACAAAAAAAA8L8CpHA9CtejAcAC+g/pt68D8r8AAAAAGAAAAPz8APwAAgAAAAAAAPC/Ag5Pr5RliP4/Au58PzVeusk/AAAAABgAAAD8/AD8AAIAAAAAAADwvwIOT6+UZYj2PwLfT42XbhLxPwAAAAAkAAAA/PwA/AACAAAAAAAA8L8Ch6dXyjJEB0AC7nw/NV66yT8AAAAAOAQAAWUEAAAAAAAAAAAIAAFlBAAAAAAAAAAADAABZQQAAAAAAAAAABAAAWUEAAAAAAAAAAAUEAFlBAAAAAAAAAAAGAwBZQgAAAAAAAAAABwQAWUIDAAAAAAAAAAgFAFlCAgAAAAAAAAAJAwBZQQAAAAAAAAAACgsAWUIDAAAAAAAAAAsHAFlBAAAAAAAAAAAMCgBZQQAAAAAAAAAAAQIAWUEAAAAAAAAAAAoIAFlBAAAAAAAAAAAAAAAAA==</t>
        </r>
      </text>
    </comment>
    <comment ref="A781" authorId="0" shapeId="0" xr:uid="{F4D164D2-39D3-44B5-89FF-C92AE3535533}">
      <text>
        <r>
          <rPr>
            <sz val="9"/>
            <color indexed="81"/>
            <rFont val="MS P ゴシック"/>
            <family val="3"/>
            <charset val="128"/>
          </rPr>
          <t>Insight iXlW00001C0000781R0585476093S00001560P01036LAocjBAQBF1NjaVRlZ2ljLmRhdGEuTW9sZWN1bGUBbwF/ARJTY2lUZWdpYy5Nb2xlY3VsZQAAAQFkAv5qAQAAAAIAAjQYAAAA/PwA/AACAAAAAAAA8L8CqhPQRNjw6L8CescpOpLL1z8AAAAAGAAAAPz8APwAAgAAAAAAAPC/AnDwhclUwfa/AiZTBaOSOtm/AAAAABgAAAD8/AD8AAIAAAAAAADwvwK1pnnHKTr8vwL5oGez6nPhPwAAAAAYAAAA/PwA/AACAAAAAAAA8L8C0GbV52ortj8CDXGsi9towL8AAAAAGAAAAPz8APwAAgAAAAAAAPC/AjxO0ZFc/tu/ApZDi2zn+/Q/AAAAABwAAAD8/AD8AAIAAAAAAADwvwJdbcX+snvuPwJ6xyk6ksvXPwAAAAAYAAAA/PwA/AACAAAAAAAA8L8C0GbV52ortj8CIo51cRsN8r8AAAAAIAAAAPz8APwAAgAAAAAAAPC/Aio6kst/SPG/Ah+F61G4ngBAAAAAACAAAAD8/AD8AAIAAAAAAADwvwKjkjoBTYThPwKlTkATYcP3PwAAAAAkAAAA/PwA/AACAAAAAAAA8L8CqhPQRNjw6L8CIo51cRsN+r8AAAAAGAAAAPz8APwAAgAAAAAAAPC/AvAWSFD8GP0/Ag1xrIvbaMC/AAAAABgAAAD8/AD8AAIAAAAAAADwvwJdbcX+snvuPwIijnVxGw36vwAAAAAYAAAA/PwA/AACAAAAAAAA8L8C8BZIUPwY/T8CIo51cRsN8r8AAAAAOAQAAWUEAAAAAAAAAAAIAAFlBAAAAAAAAAAADAABZQQAAAAAAAAAABAAAWUEAAAAAAAAAAAUDAFlBAAAAAAAAAAAGAwBZQgIAAAAAAAAABwQAWUIAAAAAAAAAAAgEAFlBAAAAAAAAAAAJBgBZQQAAAAAAAAAACgUAWUICAAAAAAAAAAsGAFlBAAAAAAAAAAAMCwBZQgIAAAAAAAAAAQIAWUEAAAAAAAAAAAwKAFlBAAAAAAAAAAAAAAAAA==</t>
        </r>
      </text>
    </comment>
    <comment ref="A782" authorId="0" shapeId="0" xr:uid="{8949C9B4-3570-4419-911D-B8E828335167}">
      <text>
        <r>
          <rPr>
            <sz val="9"/>
            <color indexed="81"/>
            <rFont val="MS P ゴシック"/>
            <family val="3"/>
            <charset val="128"/>
          </rPr>
          <t>Insight iXlW00001C0000782R0585476093S00001562P01036LAocjBAQBF1NjaVRlZ2ljLmRhdGEuTW9sZWN1bGUBbwF/ARJTY2lUZWdpYy5Nb2xlY3VsZQAAAQFkAv5qAQAAAAIAAjQYAAAA/PwA/AACAAAAAAAA8L8CqhPQRNjw6L8CescpOpLL1z8AAAAAGAAAAPz8APwAAgAAAAAAAPC/AnDwhclUwfa/AiZTBaOSOtm/AAAAABgAAAD8/AD8AAIAAAAAAADwvwK1pnnHKTr8vwL5oGez6nPhPwAAAAAYAAAA/PwA/AACAAAAAAAA8L8C0GbV52ortj8CDXGsi9towL8AAAAAGAAAAPz8APwAAgAAAAAAAPC/AjxO0ZFc/tu/ApZDi2zn+/Q/AAAAABwAAAD8/AD8AAIAAAAAAADwvwJdbcX+snvuPwJ6xyk6ksvXPwAAAAAgAAAA/PwA/AACAAAAAAAA8L8CKjqSy39I8b8CH4XrUbieAEAAAAAAGAAAAPz8APwAAgAAAAAAAPC/AtBm1edqK7Y/AiKOdXEbDfK/AAAAACAAAAD8/AD8AAIAAAAAAADwvwKjkjoBTYThPwKlTkATYcP3PwAAAAAYAAAA/PwA/AACAAAAAAAA8L8C8BZIUPwY/T8CDXGsi9towL8AAAAAGAAAAPz8APwAAgAAAAAAAPC/AqoT0ETY8Oi/AiKOdXEbDfq/AAAAABgAAAD8/AD8AAIAAAAAAADwvwJdbcX+snvuPwIijnVxGw36vwAAAAAYAAAA/PwA/AACAAAAAAAA8L8C8BZIUPwY/T8CIo51cRsN8r8AAAAAOAQAAWUEAAAAAAAAAAAIAAFlBAAAAAAAAAAADAABZQQAAAAAAAAAABAAAWUEAAAAAAAAAAAUDAFlBAAAAAAAAAAAGBABZQgAAAAAAAAAABwMAWUICAAAAAAAAAAgEAFlBAAAAAAAAAAAJBQBZQgIAAAAAAAAACgcAWUEAAAAAAAAAAAsHAFlBAAAAAAAAAAAMCwBZQgIAAAAAAAAAAQIAWUEAAAAAAAAAAAwJAFlBAAAAAAAAAAAAAAAAA==</t>
        </r>
      </text>
    </comment>
    <comment ref="A783" authorId="0" shapeId="0" xr:uid="{8DDC2E71-18F8-4788-8DCD-87E7138B6CFF}">
      <text>
        <r>
          <rPr>
            <sz val="9"/>
            <color indexed="81"/>
            <rFont val="MS P ゴシック"/>
            <family val="3"/>
            <charset val="128"/>
          </rPr>
          <t>Insight iXlW00001C0000783R0585476093S00001564P01304LAocjBAQBF1NjaVRlZ2ljLmRhdGEuTW9sZWN1bGUBbwF/ARJTY2lUZWdpYy5Nb2xlY3VsZQAAAQFkAv5qAQAAAAIAAgERGAAAAPz8APwAAgAAAAAAAPC/AonS3uALEwtAAqQBvAUSFMc/AAAAABgAAAD8/AD8AAIAAAAAAADwvwKHp1fKMsQDQALLoUW28/3MvwAAAAAYAAAA/PwA/AACAAAAAAAA8L8CvsEXJlMFB0ACPgrXo3A98r8AAAAAGAAAAPz8APwAAgAAAAAAAPC/Agr5oGez6vg/Ak/RkVz+Q+S/AAAAABgAAAD8/AD8AAIAAAAAAADwvwJQjZduEoMAQAKWQ4ts5/vlPwAAAAAYAAAA/PwA/AACAAAAAAAA8L8C6iYxCKwc8T8CiBbZzvdT6T8AAAAAHAAAAPz8APwAAgAAAAAAAPC/AvH0SlmGOOI/AoXrUbgehfo/AAAAACAAAAD8/AD8AAIAAAAAAADwvwJHA3gLJCjavwL+1HjpJjH3PwAAAAAYAAAA/PwA/AACAAAAAAAA8L8CldQJaCJs4L8C4zYawFsg3T8AAAAAHAAAAPz8APwAAgAAAAAAAPC/AqtgVFInoNk/Al8pyxDHuqg/AAAAABgAAAD8/AD8AAIAAAAAAADwvwKMSuoENBH2vwLpSC7/If2mvwAAAAAYAAAA/PwA/AACAAAAAAAA8L8CjErqBDQR9r8CR3L5D+m38L8AAAAAGAAAAPz8APwAAgAAAAAAAPC/AmfV52or9gHAAkhy+Q/pt/i/AAAAABgAAAD8/AD8AAIAAAAAAADwvwKIhVrTvOMIwAJHcvkP6bfwvwAAAAAYAAAA/PwA/AACAAAAAAAA8L8CiIVa07zjCMAC6Ugu/yH9pr8AAAAAHAAAAPz8APwAAgAAAAAAAPC/AmfV52or9gHAAuM2GsBbIN0/AAAAAAERAAAA/PwA/AACAAAAAAAA8L8CeJyiI7m8EEAC3pOHhVrTrD8AAAAAAREABAFlBAAAAAAAAAAABAgBZQQAAAAAAAAAAAQMAWUEAAAAAAAAAAAEEAFlBAAAAAAAAAAAEBQBZQQAAAAAAAAAABQYAWUIDAAAAAAAAAAYHAFlBAAAAAAAAAAAHCABZQQAAAAAAAAAACAkAWUICAAAAAAAAAAkFAFlBAAAAAAAAAAAKCABZQQAAAAAAAAAACgsAWUEAAAAAAAAAAAsMAFlBAAAAAAAAAAAMDQBZQQAAAAAAAAAADQ4AWUEAAAAAAAAAAA4PAFlBAAAAAAAAAAAPCgBZQQAAAAAAAAAAAAAAAA=</t>
        </r>
      </text>
    </comment>
    <comment ref="A784" authorId="0" shapeId="0" xr:uid="{A9560AAC-680D-4CA7-9AD8-3F8565362ABC}">
      <text>
        <r>
          <rPr>
            <sz val="9"/>
            <color indexed="81"/>
            <rFont val="MS P ゴシック"/>
            <family val="3"/>
            <charset val="128"/>
          </rPr>
          <t>Insight iXlW00001C0000784R0585476093S00001566P01248LAocjBAQBF1NjaVRlZ2ljLmRhdGEuTW9sZWN1bGUBbwF/ARJTY2lUZWdpYy5Nb2xlY3VsZQAAAQFkAv5qAQAAAAIAAgEQGAAAAPz8APwAAgAAAAAAAPC/AnDOiNLe4OE/AgU0ETY8vcq/AAAAABwAAAD8/AD8AAIAAAAAAADwvwIE54wo7Q2uPwJkzF1LyAflPwAAAAAYAAAA/PwA/AACAAAAAAAA8L8CZMxdS8gH7b8CHVpkO99P7T8AAAAAGAAAAPz8APwAAgAAAAAAAPC/AhZqTfOOU9Q/ApwzorQ3+Pk/AAAAACAAAAD8/AD8AAIAAAAAAADwvwI4Z0Rpb/D4PwIFNBE2PL3KvwAAAAAYAAAA/PwA/AACAAAAAAAA8L8Cqz5XW7G/5L8CeXqlLEMc/j8AAAAAIAAAAPz8APwAAgAAAAAAAPC/AgTnjCjtDa4/AsKGp1fKMvG/AAAAABwAAAD8/AD8AAIAAAAAAADwvwJb07zjFB0FwAIbL90kBoG1vwAAAAAYAAAA/PwA/AACAAAAAAAA8L8CnDOitDd4AEACwoanV8oy8b8AAAAAGAAAAPz8APwAAgAAAAAAAPC/AnRGlPYGX/y/Ag8tsp3vp/Y/AAAAABgAAAD8/AD8AAIAAAAAAADwvwJkzF1LyAftvwIbL90kBoG1vwAAAAAYAAAA/PwA/AACAAAAAAAA8L8CdEaU9gZf/L8C5KWbxCCw4r8AAAAAGAAAAPz8APwAAgAAAAAAAPC/AlvTvOMUHQXAAh1aZDvfT+0/AAAAABgAAAD8/AD8AAIAAAAAAADwvwL2udqK/WUHQAKFDU+vlGXivwAAAAAYAAAA/PwA/AACAAAAAAAA8L8CnDOitDd4BEACBOeMKO0N/78AAAAAGAAAAPz8APwAAgAAAAAAAPC/AvcGX5hMFfM/AsKGp1fKMvm/AAAAAAERBAABZQQAAAAAAAAAAAgEAWUEAAAAAAAAAAAMBAFlBAAAAAAAAAAAEAABZQQAAAAAAAAAABQMAWUEAAAAAAAAAAAYAAFlCAAAAAAAAAAAHCwBZQQAAAAAAAAAACAQAWUEAAAAAAAAAAAkCAFlBAAAAAAAAAAAKAgBZQQAAAAAAAAAACwoAWUEAAAAAAAAAAAwJAFlBAAAAAAAAAAANCABZQQAAAAAAAAAADggAWUEAAAAAAAAAAA8IAFlBAAAAAAAAAAAFAgBZQQAAAAAAAAAADAcAWUEAAAAAAAAAAAAAAAA</t>
        </r>
      </text>
    </comment>
    <comment ref="A785" authorId="0" shapeId="0" xr:uid="{72980469-6122-444E-8070-11DC37FA6AB3}">
      <text>
        <r>
          <rPr>
            <sz val="9"/>
            <color indexed="81"/>
            <rFont val="MS P ゴシック"/>
            <family val="3"/>
            <charset val="128"/>
          </rPr>
          <t>Insight iXlW00001C0000785R0585476093S00001568P01320LAocjBAQBF1NjaVRlZ2ljLmRhdGEuTW9sZWN1bGUBbwF/ARJTY2lUZWdpYy5Nb2xlY3VsZQAAAQFkAv5qAQAAAAIAAgERGAAAAPz8APwAAgAAAAAAAPC/AssyxLEubvI/AvJjzF1LyM+/AAAAABwAAAD8/AD8AAIAAAAAAADwvwLdtYR80LPJPwKkAbwFEhSvPwAAAAAcAAAA/PwA/AACAAAAAAAA8L8CrK3YX3bPAcAC54wo7Q2+5D8AAAAAGAAAAPz8APwAAgAAAAAAAPC/AszuycNCrfa/AmHl0CLb+a4/AAAAABgAAAD8/AD8AAIAAAAAAADwvwLyY8xdS0gIwAJh5dAi2/muPwAAAAAgAAAA/PwA/AACAAAAAAAA8L8C4QuTqYJR/j8CjGzn+6nx2j8AAAAAGAAAAPz8APwAAgAAAAAAAPC/AqCrrdhfduO/AjtwzojS3uC/AAAAABgAAAD8/AD8AAIAAAAAAADwvwIMJCh+jLm7vwI6I0p7gy/wPwAAAAAgAAAA/PwA/AACAAAAAAAA8L8CUkmdgCbC9T8CyQc9m1Wf878AAAAAGAAAAPz8APwAAgAAAAAAAPC/AkGC4seYu/G/AjojSnuDL/A/AAAAACAAAAD8/AD8AAIAAAAAAADwvwLBWyBB8eMPwAKegCbChqfXPwAAAAAYAAAA/PwA/AACAAAAAAAA8L8C+FPjpZvEBkACeekmMQisvD8AAAAAGAAAAPz8APwAAgAAAAAAAPC/Alhbsb/snvu/AsgpOpLLf+y/AAAAABgAAAD8/AD8AAIAAAAAAADwvwKsrdhfds8FwALIKTqSy3/svwAAAAAYAAAA/PwA/AACAAAAAAAA8L8CBTQRNjw9CUACpwpGJXUC8T8AAAAAGAAAAPz8APwAAgAAAAAAAPC/AgAi/fZ1YA5AAhaMSuoENMm/AAAAABgAAAD8/AD8AAIAAAAAAADwvwLrc7UV+0sEQALvWkI+6NnqvwAAAAABEgQAAWUEAAAAAAAAAAAMCAFlBAAAAAAAAAAADBgBZQQAAAAAAAAAABAIAWUEAAAAAAAAAAAUAAFlBAAAAAAAAAAAGAQBZQQAAAAAAAAAABwEAWUEAAAAAAAAAAAgAAFlCAAAAAAAAAAAJBwBZQQAAAAAAAAAACgQAWUIAAAAAAAAAAAsFAFlBAAAAAAAAAAAMAwBZQQAAAAAAAAAADQwAWUEAAAAAAAAAAA4LAFlBAAAAAAAAAAAPCwBZQQAAAAAAAAAAAEQLAFlBAAAAAAAAAAAJAwBZQQAAAAAAAAAADQQAWUEAAAAAAAAAAAAAAAA</t>
        </r>
      </text>
    </comment>
    <comment ref="A786" authorId="0" shapeId="0" xr:uid="{FFA3E2A0-4F28-4625-A364-EA0C1E9EB5C2}">
      <text>
        <r>
          <rPr>
            <sz val="9"/>
            <color indexed="81"/>
            <rFont val="MS P ゴシック"/>
            <family val="3"/>
            <charset val="128"/>
          </rPr>
          <t>Insight iXlW00001C0000786R0585476093S00001570P01104LAocjBAQBF1NjaVRlZ2ljLmRhdGEuTW9sZWN1bGUBbwF/ARJTY2lUZWdpYy5Nb2xlY3VsZQAAAQFkAv5qAQAAAAIAAjgYAAAA/PwA/AACAAAAAAAA8L8CUI2XbhKD8L8C/vZ14JwR3T8AAAAAGAAAAPz8APwAAgAAAAAAAPC/AhWuR+F6FOa/AgajkjoBTfY/AAAAABgAAAD8/AD8AAIAAAAAAADwvwLrc7UV+8v6vwJnRGlv8IXzPwAAAAAYAAAA/PwA/AACAAAAAAAA8L8Cc2iR7Xw/xb8CF0hQ/Bhzp78AAAAAGAAAAPz8APwAAgAAAAAAAPC/AutztRX7y/q/AmfV52or9tO/AAAAABwAAAD8/AD8AAIAAAAAAADwvwJnZmZmZmbmPwL+9nXgnBHdPwAAAAAYAAAA/PwA/AACAAAAAAAA8L8CdZMYBFYO+T8CF0hQ/Bhzp78AAAAAIAAAAPz8APwAAgAAAAAAAPC/AqW9wRcmU/W/AhHHuriNBvS/AAAAACAAAAD8/AD8AAIAAAAAAADwvwJmiGNd3EYFwAJVUiegibDBvwAAAAAgAAAA/PwA/AACAAAAAAAA8L8C2/l+arx0A0AC/vZ14JwR3T8AAAAAGAAAAPz8APwAAgAAAAAAAPC/AnNoke18P8W/AkGC4seYu/C/AAAAABgAAAD8/AD8AAIAAAAAAADwvwJnZmZmZmbmPwJBguLHmLv4vwAAAAAYAAAA/PwA/AACAAAAAAAA8L8CdZMYBFYO+T8CQYLix5i78L8AAAAAGAAAAPz8APwAAgAAAAAAAPC/Atv5fmq8dANAAsB9HThnRPc/AAAAADwEAAFlBAAAAAAAAAAACAABZQQAAAAAAAAAAAwAAWUEAAAAAAAAAAAQAAFlBAAAAAAAAAAAFAwBZQQAAAAAAAAAABgUAWUIDAAAAAAAAAAcEAFlCAAAAAAAAAAAIBABZQQAAAAAAAAAACQYAWUEAAAAAAAAAAAoDAFlCAwAAAAAAAAALCgBZQQAAAAAAAAAADAsAWUICAAAAAAAAAA0JAFlBAAAAAAAAAAABAgBZQQAAAAAAAAAADAYAWUEAAAAAAAAAAAAAAAA</t>
        </r>
      </text>
    </comment>
    <comment ref="A787" authorId="0" shapeId="0" xr:uid="{E37503AF-A831-4ED7-A420-C2CD133717DB}">
      <text>
        <r>
          <rPr>
            <sz val="9"/>
            <color indexed="81"/>
            <rFont val="MS P ゴシック"/>
            <family val="3"/>
            <charset val="128"/>
          </rPr>
          <t>Insight iXlW00001C0000787R0585476093S00001572P01340LAocjBAQBF1NjaVRlZ2ljLmRhdGEuTW9sZWN1bGUBbwF/ARJTY2lUZWdpYy5Nb2xlY3VsZQAAAQFkAv5qAQAAAAIAAgERHAAAAPz8APwAAgAAAAAAAPC/AuAtkKD4Md4/AkVpb/CFycQ/AAAAABgAAAD8/AD8AAIAAAAAAADwvwIZBFYOLbK9vwLG/rJ78rDkvwAAAAAYAAAA/PwA/AACAAAAAAAA8L8CUfwYc9cS8b8CXkvIBz2b1b8AAAAAGAAAAPz8APwAAgAAAAAAAPC/AhkEVg4tsr2/Amiz6nO1Fe8/AAAAABgAAAD8/AD8AAIAAAAAAADwvwJR/Bhz1xLxvwJR2ht8YTLlPwAAAAAYAAAA/PwA/AACAAAAAAAA8L8CeAskKH6M9z8CRWlv8IXJxD8AAAAAIAAAAPz8APwAAgAAAAAAAPC/Ak5iEFg5tMg/AnIbDeAtkPm/AAAAABgAAAD8/AD8AAIAAAAAAADwvwKSXP5D+u3+vwKvJeSDns3qvwAAAAAcAAAA/PwA/AACAAAAAAAA8L8CvAUSFD/GC0ACRWlv8IXJxD8AAAAAGAAAAPz8APwAAgAAAAAAAPC/ApJc/kP67f6/AintDb4wmfI/AAAAABgAAAD8/AD8AAIAAAAAAADwvwJq3nGKjmQGwAJeS8gHPZvVvwAAAAAYAAAA/PwA/AACAAAAAAAA8L8Cat5xio5kBsACUdobfGEy5T8AAAAAGAAAAPz8APwAAgAAAAAAAPC/AngLJCh+jP8/AmpN845TdPA/AAAAABgAAAD8/AD8AAIAAAAAAADwvwJ4CyQofoz/PwIy5q4l5IPmvwAAAAAkAAAA/PwA/AACAAAAAAAA8L8Ci47k8h9SDcACryXkg57N6r8AAAAAGAAAAPz8APwAAgAAAAAAAPC/ArwFEhQ/xgdAAmpN845TdPA/AAAAABgAAAD8/AD8AAIAAAAAAADwvwK8BRIUP8YHQAIy5q4l5IPmvwAAAAABEwQAAWUEAAAAAAAAAAAIBAFlBAAAAAAAAAAADAABZQQAAAAAAAAAABAMAWUEAAAAAAAAAAAUAAFlBAAAAAAAAAAAGAQBZQgAAAAAAAAAABwIAWUEAAAAAAAAAAAgARABZQQAAAAAAAAAACQQAWUEAAAAAAAAAAAoHAFlCAwAAAAAAAAALCQBZQgIAAAAAAAAADAUAWUEAAAAAAAAAAA0FAFlBAAAAAAAAAAAOCgBZQQAAAAAAAAAADwwAWUEAAAAAAAAAAABEDQBZQQAAAAAAAAAABAIAWUICAAAAAAAAAA8IAFlBAAAAAAAAAAALCgBZQQAAAAAAAAAAAAAAAA=</t>
        </r>
      </text>
    </comment>
    <comment ref="A788" authorId="0" shapeId="0" xr:uid="{5F9AFC33-F1C4-411D-8ED9-9064747F3946}">
      <text>
        <r>
          <rPr>
            <sz val="9"/>
            <color indexed="81"/>
            <rFont val="MS P ゴシック"/>
            <family val="3"/>
            <charset val="128"/>
          </rPr>
          <t>Insight iXlW00001C0000788R0585476093S00001574P01396LAocjBAQBF1NjaVRlZ2ljLmRhdGEuTW9sZWN1bGUBbwF/ARJTY2lUZWdpYy5Nb2xlY3VsZQAAAQFkAv5qAQAAAAIAAgESJAAAAPz8APwAAgAAAAAAAPC/AouO5PIfUg3AAmUZ4lgXt/C/AAAAABgAAAD8/AD8AAIAAAAAAADwvwJq3nGKjmQGwALLMsSxLm7hvwAAAAAYAAAA/PwA/AACAAAAAAAA8L8Cat5xio5kBsACbJp3nKIj3T8AAAAAGAAAAPz8APwAAgAAAAAAAPC/ApJc/kP67f6/AjbNO07Rke4/AAAAABgAAAD8/AD8AAIAAAAAAADwvwJR/Bhz1xLxvwJsmnecoiPdPwAAAAAYAAAA/PwA/AACAAAAAAAA8L8CGQRWDi2yvb8CTaYKRiV16D8AAAAAIAAAAPz8APwAAgAAAAAAAPC/Ak5iEFg5tMg/AsRCrWnecfs/AAAAABwAAAD8/AD8AAIAAAAAAADwvwLgLZCg+DHePwKmLEMc6+KmvwAAAAAYAAAA/PwA/AACAAAAAAAA8L8CGQRWDi2yvb8C4QuTqYJR678AAAAAGAAAAPz8APwAAgAAAAAAAPC/AlH8GHPXEvG/AssyxLEubuG/AAAAABgAAAD8/AD8AAIAAAAAAADwvwKSXP5D+u3+vwJlGeJYF7fwvwAAAAAYAAAA/PwA/AACAAAAAAAA8L8CeAskKH6M9z8CpixDHOvipr8AAAAAGAAAAPz8APwAAgAAAAAAAPC/AngLJCh+jP8/ArmNBvAWSOo/AAAAABgAAAD8/AD8AAIAAAAAAADwvwK8BRIUP8YHQAK5jQbwFkjqPwAAAAAcAAAA/PwA/AACAAAAAAAA8L8CvAUSFD/GC0ACpixDHOvipr8AAAAAGAAAAPz8APwAAgAAAAAAAPC/ArwFEhQ/xgdAAk7zjlN0JO2/AAAAABgAAAD8/AD8AAIAAAAAAADwvwJ4CyQofoz/PwJO845TdCTtvwAAAAABEQAAAPz8APwAAgAAAAAAAPC/AhE2PL1SFhFAAr5SliGOddU/AAAAAAETAAQBZQQAAAAAAAAAAAQIAWUEAAAAAAAAAAAIDAFlCAgAAAAAAAAADBABZQQAAAAAAAAAABAUAWUEAAAAAAAAAAAUGAFlCAAAAAAAAAAAFBwBZQQAAAAAAAAAABwgAWUEAAAAAAAAAAAgJAFlBAAAAAAAAAAAJBABZQgMAAAAAAAAACQoAWUEAAAAAAAAAAAoBAFlCAwAAAAAAAAAHCwBZQQAAAAAAAAAACwwAWUEAAAAAAAAAAAwNAFlBAAAAAAAAAAANDgBZQQAAAAAAAAAADg8AWUEAAAAAAAAAAA8ARABZQQAAAAAAAAAAAEQLAFlBAAAAAAAAAAAAAAAAA==</t>
        </r>
      </text>
    </comment>
    <comment ref="A789" authorId="0" shapeId="0" xr:uid="{5BC07CBC-0B0A-4782-A55F-551003259D1F}">
      <text>
        <r>
          <rPr>
            <sz val="9"/>
            <color indexed="81"/>
            <rFont val="MS P ゴシック"/>
            <family val="3"/>
            <charset val="128"/>
          </rPr>
          <t>Insight iXlW00001C0000789R0585476093S00001576P01104LAocjBAQBF1NjaVRlZ2ljLmRhdGEuTW9sZWN1bGUBbwF/ARJTY2lUZWdpYy5Nb2xlY3VsZQAAAQFkAv5qAQAAAAIAAjgcAAAA/PwA/AACAAAAAAAA8L8CBVYOLbKd3z8Cxv6ye/KwkD8AAAAAGAAAAPz8APwAAgAAAAAAAPC/AgIrhxbZzvO/Asb+snvysJA/AAAAABgAAAD8/AD8AAIAAAAAAADwvwICK4cW2c7XvwIU0ETY8PTevwAAAAAYAAAA/PwA/AACAAAAAAAA8L8CBVYOLbKd3z8C+8vuycNC8D8AAAAAHAAAAPz8APwAAgAAAAAAAPC/ApAxdy0hH/c/Aoc41sVtNPU/AAAAABwAAAD8/AD8AAIAAAAAAADwvwKlTkATYUMAQAL2l92Th4XgPwAAAAAYAAAA/PwA/AACAAAAAAAA8L8CkDF3LSEf9z8CQYLix5i70r8AAAAAGAAAAPz8APwAAgAAAAAAAPC/AgIrhxbZzvO/AvvL7snDQvA/AAAAABgAAAD8/AD8AAIAAAAAAADwvwKiRbbz/dQAwAIU0ETY8PTevwAAAAAYAAAA/PwA/AACAAAAAAAA8L8CAiuHFtnO178C+8vuycNC+D8AAAAAIAAAAPz8APwAAgAAAAAAAPC/AqJFtvP91ADAAgU0ETY8vfe/AAAAACAAAAD8/AD8AAIAAAAAAADwvwLD9Shcj8IHwALG/rJ78rCQPwAAAAAYAAAA/PwA/AACAAAAAAAA8L8CjErqBDQR/D8Cnzws1Jrm878AAAAAGAAAAPz8APwAAgAAAAAAAPC/AuviNhrA2wVAArWmeccpOve/AAAAADwECAFlCAwAAAAAAAAACAABZQQAAAAAAAAAAAwAAWUEAAAAAAAAAAAQDAFlCAgAAAAAAAAAFBgBZQgIAAAAAAAAABgAAWUEAAAAAAAAAAAcJAFlCAgAAAAAAAAAIAQBZQQAAAAAAAAAACQMAWUEAAAAAAAAAAAoIAFlCAAAAAAAAAAALCABZQQAAAAAAAAAADAYAWUEAAAAAAAAAAA0MAFlBAAAAAAAAAAAEBQBZQQAAAAAAAAAAAQcAWUEAAAAAAAAAAAAAAAA</t>
        </r>
      </text>
    </comment>
    <comment ref="A790" authorId="0" shapeId="0" xr:uid="{80EF8909-7D91-4C65-953A-2C7D8584E828}">
      <text>
        <r>
          <rPr>
            <sz val="9"/>
            <color indexed="81"/>
            <rFont val="MS P ゴシック"/>
            <family val="3"/>
            <charset val="128"/>
          </rPr>
          <t>Insight iXlW00001C0000790R0585476093S00001578P01016LAocjBAQBF1NjaVRlZ2ljLmRhdGEuTW9sZWN1bGUBbwF/ARJTY2lUZWdpYy5Nb2xlY3VsZQAAAQFkAv5qAQAAAAIAAjQYAAAA/PwA/AACAAAAAAAA8L8C0pFc/kP67z8CYjJVMCqpoz8AAAAAHAAAAPz8APwAAgAAAAAAAPC/AhdIUPwYc+e/AoPAyqFFtqM/AAAAABgAAAD8/AD8AAIAAAAAAADwvwKx4emVsgzBPwImUwWjkjrhPwAAAAAYAAAA/PwA/AACAAAAAAAA8L8CF0hQ/Bhz578C+FPjpZvE7r8AAAAAGAAAAPz8APwAAgAAAAAAAPC/AtKRXP5D+u8/AvhT46WbxO6/AAAAABgAAAD8/AD8AAIAAAAAAADwvwIrqRPQRNj9PwImUwWjkjrhPwAAAAAYAAAA/PwA/AACAAAAAAAA8L8COUVHcvkPwT8C/Knx0k1i978AAAAAIAAAAPz8APwAAgAAAAAAAPC/Ak2EDU+vlPm/Avyp8dJNYve/AAAAACAAAAD8/AD8AAIAAAAAAADwvwIrqRPQRNj9PwKTqYJRSZ34PwAAAAAYAAAA/PwA/AACAAAAAAAA8L8CTYQNT6+U+b8CCKwcWmQ74T8AAAAAIAAAAPz8APwAAgAAAAAAAPC/AraEfNCz2QVAAoPAyqFFtqM/AAAAABgAAAD8/AD8AAIAAAAAAADwvwJIcvkP6bcDwAKDwMqhRbajPwAAAAAYAAAA/PwA/AACAAAAAAAA8L8CTYQNT6+U+b8CBFYOLbKd+D8AAAAANAQIAWUEAAAAAAAAAAAIAAFlCAgAAAAAAAAADBgBZQQAAAAAAAAAABAAAWUEAAAAAAAAAAAUAAFlBAAAAAAAAAAAGBABZQgIAAAAAAAAABwMAWUIAAAAAAAAAAAgFAFlCAAAAAAAAAAAJAQBZQQAAAAAAAAAACgUAWUEAAAAAAAAAAAsJAFlBAAAAAAAAAAAMCQBZQQAAAAAAAAAAAQMAWUEAAAAAAAAAAAAAAAA</t>
        </r>
      </text>
    </comment>
    <comment ref="A791" authorId="0" shapeId="0" xr:uid="{E7CBB9F9-46F1-4146-9E2D-F5D2B4E8FECB}">
      <text>
        <r>
          <rPr>
            <sz val="9"/>
            <color indexed="81"/>
            <rFont val="MS P ゴシック"/>
            <family val="3"/>
            <charset val="128"/>
          </rPr>
          <t>Insight iXlW00001C0000791R0585476093S00001580P01016LAocjBAQBF1NjaVRlZ2ljLmRhdGEuTW9sZWN1bGUBbwF/ARJTY2lUZWdpYy5Nb2xlY3VsZQAAAQFkAv5qAQAAAAIAAjQYAAAA/PwA/AACAAAAAAAA8L8CZapgVFIn5j8CseHplbIMwb8AAAAAGAAAAPz8APwAAgAAAAAAAPC/AjerPldbsdO/ArHh6ZWyDMG/AAAAABgAAAD8/AD8AAIAAAAAAADwvwIzVTAqqRP7PwKx4emVsgzBvwAAAAAgAAAA/PwA/AACAAAAAAAA8L8CmSoYldSJAUACF0hQ/Bhz5z8AAAAAGAAAAPz8APwAAgAAAAAAAPC/ApxVn6ut2Om/AhdIUPwYc+c/AAAAACAAAAD8/AD8AAIAAAAAAADwvwKZKhiV1IkBQALSkVz+Q/rvvwAAAAAYAAAA/PwA/AACAAAAAAAA8L8CZapgVFIn5j8ClIeFWtO86z8AAAAAGAAAAPz8APwAAgAAAAAAAPC/AmWqYFRSJ+Y/AjY8vVKWIfK/AAAAABgAAAD8/AD8AAIAAAAAAADwvwKcVZ+rrdjpvwLwOEVHcvnvvwAAAAAYAAAA/PwA/AACAAAAAAAA8L8CN6s+V1ux078CTYQNT6+U+T8AAAAAGAAAAPz8APwAAgAAAAAAAPC/As6qz9VW7Py/AhdIUPwYc+c/AAAAABgAAAD8/AD8AAIAAAAAAADwvwLOqs/VVuz8vwLwOEVHcvnvvwAAAAAYAAAA/PwA/AACAAAAAAAA8L8CZ9Xnait2AsACseHplbIMwb8AAAAANAQAAWUEAAAAAAAAAAAIAAFlBAAAAAAAAAAADAgBZQgAAAAAAAAAABAEAWUEAAAAAAAAAAAUCAFlBAAAAAAAAAAAGAABZQQAAAAAAAAAABwAAWUEAAAAAAAAAAAgBAFlCAwAAAAAAAAAJBABZQQAAAAAAAAAACgQAWUICAAAAAAAAAAsIAFlBAAAAAAAAAAAMCwBZQgIAAAAAAAAACgwAWUEAAAAAAAAAAAAAAAA</t>
        </r>
      </text>
    </comment>
    <comment ref="A792" authorId="0" shapeId="0" xr:uid="{1FC30099-7554-4761-A0C8-2435BA408A3C}">
      <text>
        <r>
          <rPr>
            <sz val="9"/>
            <color indexed="81"/>
            <rFont val="MS P ゴシック"/>
            <family val="3"/>
            <charset val="128"/>
          </rPr>
          <t>Insight iXlW00001C0000792R0585476093S00001582P01324LAocjBAQBF1NjaVRlZ2ljLmRhdGEuTW9sZWN1bGUBbwF/ARJTY2lUZWdpYy5Nb2xlY3VsZQAAAQFkAv5qAQAAAAIAAgERGAAAAPz8APwAAgAAAAAAAPC/Ahsv3SQGge2/AnDOiNLe4MM/AAAAABgAAAD8/AD8AAIAAAAAAADwvwIofoy5awn5vwK0WfW52orjvwAAAAAYAAAA/PwA/AACAAAAAAAA8L8CysNCrWne0b8CtFn1udqK478AAAAAGAAAAPz8APwAAgAAAAAAAPC/AtzXgXNGlOY/AvA4RUdy+du/AAAAACAAAAD8/AD8AAIAAAAAAADwvwLjx5i7lpDzvwKRfvs6cM74vwAAAAAYAAAA/PwA/AACAAAAAAAA8L8CidLe4AuT9T8C5BQdyeU/878AAAAAIAAAAPz8APwAAgAAAAAAAPC/Ahsv3SQGge2/AueMKO0NPgFAAAAAACAAAAD8/AD8AAIAAAAAAADwvwKFDU+vlGUEwALwOEVHcvnbvwAAAAABEQAAAPz8APwAAgAAAAAAAPC/AtJvXwfOGfA/Ak7zjlN0JAHAAAAAABgAAAD8/AD8AAIAAAAAAADwvwLP91PjpZv8vwKcM6K0N/jkPwAAAAAYAAAA/PwA/AACAAAAAAAA8L8CeekmMQisrL8CnDOitDf45D8AAAAAGAAAAPz8APwAAgAAAAAAAPC/AjSitDf4wvA/AvcGX5hMFeA/AAAAABgAAAD8/AD8AAIAAAAAAADwvwLP91PjpZv8vwLOGVHaG3z6PwAAAAAYAAAA/PwA/AACAAAAAAAA8L8CeekmMQisrL8CzhlR2ht8+j8AAAAAGAAAAPz8APwAAgAAAAAAAPC/ArU3+MJkqgJAAtUJaCJsePC/AAAAABgAAAD8/AD8AAIAAAAAAADwvwKKH2PuWkIAQAIVHcnlP6TlPwAAAAAYAAAA/PwA/AACAAAAAAAA8L8C2BLyQc9mBUAC2IFzRpT2tr8AAAAAARIEAAFlBAAAAAAAAAAACAABZQQAAAAAAAAAAAwIAWUEAAAAAAAAAAAQBAFlCAAAAAAAAAAAFAwBZQQAAAAAAAAAABg0AWUEAAAAAAAAAAAcBAFlBAAAAAAAAAAAIBQBZQQAAAAAAAAAACQAAWUEAAAAAAAAAAAoAAFlBAAAAAAAAAAALAwBZQgMAAAAAAAAADAkAWUEAAAAAAAAAAA0KAFlBAAAAAAAAAAAOBQBZQgIAAAAAAAAADwsAWUEAAAAAAAAAAABEDwBZQgIAAAAAAAAADAYAWUEAAAAAAAAAAA4ARABZQQAAAAAAAAAAAAAAAA=</t>
        </r>
      </text>
    </comment>
    <comment ref="A793" authorId="0" shapeId="0" xr:uid="{FABD99F6-A323-4D19-95D3-3A58F16C8152}">
      <text>
        <r>
          <rPr>
            <sz val="9"/>
            <color indexed="81"/>
            <rFont val="MS P ゴシック"/>
            <family val="3"/>
            <charset val="128"/>
          </rPr>
          <t>Insight iXlW00001C0000793R0585476093S00001584P01268LAocjBAQBF1NjaVRlZ2ljLmRhdGEuTW9sZWN1bGUBbwF/ARJTY2lUZWdpYy5Nb2xlY3VsZQAAAQFkAv5qAQAAAAIAAgEQGAAAAPz8APwAAgAAAAAAAPC/ArTqc7UV++k/AhHHuriNBqA/AAAAABwAAAD8/AD8AAIAAAAAAADwvwL7XG3F/rKrvwLIKTqSy3/3vwAAAAAYAAAA/PwA/AACAAAAAAAA8L8CtOpztRX76T8Cj1N0JJf/7r8AAAAAGAAAAPz8APwAAgAAAAAAAPC/AvtcbcX+squ/Ao9TdCSX/+A/AAAAABgAAAD8/AD8AAIAAAAAAADwvwKcVZ+rrdj6PwJxrIvbaADhPwAAAAAYAAAA/PwA/AACAAAAAAAA8L8CU5YhjnVx7b8C33GKjuTynz8AAAAAGAAAAPz8APwAAgAAAAAAAPC/AlOWIY51ce2/AnGsi9toAO+/AAAAACAAAAD8/AD8AAIAAAAAAADwvwIPnDOitDcFwALIKTqSy3/wPwAAAAAkAAAA/PwA/AACAAAAAAAA8L8CnFWfq63Y+j8COdbFbTSA+D8AAAAAGAAAAPz8APwAAgAAAAAAAPC/Au9aQj7oWQRAAo9TdCSX/+6/AAAAABgAAAD8/AD8AAIAAAAAAADwvwKcVZ+rrdj6PwLIKTqSy3/3vwAAAAAYAAAA/PwA/AACAAAAAAAA8L8C71pCPuhZBEACEce6uI0GoD8AAAAAGAAAAPz8APwAAgAAAAAAAPC/Amsr9pfdk/y/AuNYF7fRAN6/AAAAABgAAAD8/AD8AAIAAAAAAADwvwI17zhFR3LtvwLIKTqSy3/wPwAAAAAYAAAA/PwA/AACAAAAAAAA8L8CD5wzorQ3BcAC33GKjuTynz8AAAAAGAAAAPz8APwAAgAAAAAAAPC/AtzXgXNGlPy/AsgpOpLLf/g/AAAAAAESBAgBZQQAAAAAAAAAAAgAAWUICAAAAAAAAAAMAAFlBAAAAAAAAAAAEAABZQQAAAAAAAAAABQMAWUEAAAAAAAAAAAYFAFlBAAAAAAAAAAAHDwBZQQAAAAAAAAAACAQAWUEAAAAAAAAAAAkLAFlBAAAAAAAAAAAKAgBZQQAAAAAAAAAACwQAWUICAAAAAAAAAAwFAFlBAAAAAAAAAAANBQBZQQAAAAAAAAAADgwAWUEAAAAAAAAAAA8NAFlBAAAAAAAAAAAKCQBZQgIAAAAAAAAAAQYAWUEAAAAAAAAAAA4HAFlBAAAAAAAAAAAAAAAAA==</t>
        </r>
      </text>
    </comment>
    <comment ref="A794" authorId="0" shapeId="0" xr:uid="{27B00617-047F-4739-AD8A-F32C56DC5A40}">
      <text>
        <r>
          <rPr>
            <sz val="9"/>
            <color indexed="81"/>
            <rFont val="MS P ゴシック"/>
            <family val="3"/>
            <charset val="128"/>
          </rPr>
          <t>Insight iXlW00001C0000794R0585476093S00001586P01088LAocjBAQBF1NjaVRlZ2ljLmRhdGEuTW9sZWN1bGUBbwF/ARJTY2lUZWdpYy5Nb2xlY3VsZQAAAQFkAv5qAQAAAAIAAjgYAAAA/PwA/AACAAAAAAAA8L8CCD2bVZ+r778CyzLEsS5uyz8AAAAAHAAAAPz8APwAAgAAAAAAAPC/Av9D+u3rwOc/AssyxLEubss/AAAAABgAAAD8/AD8AAIAAAAAAADwvwIm5IOezaq/vwKb5h2n6EjSvwAAAAAYAAAA/PwA/AACAAAAAAAA8L8CN6s+V1ux/b8CswxxrIvb5j8AAAAAGAAAAPz8APwAAgAAAAAAAPC/AkGC4seYu/k/ApvmHafoSNK/AAAAACAAAAD8/AD8AAIAAAAAAADwvwK8BRIUP8YFwALLMsSxLm7LPwAAAAAgAAAA/PwA/AACAAAAAAAA8L8CN6s+V1ux/b8CWoY41sVt+z8AAAAAGAAAAPz8APwAAgAAAAAAAPC/AoSezarP1fe/AtGzWfW52uS/AAAAABgAAAD8/AD8AAIAAAAAAADwvwIQejarPlffvwKb5h2n6EjxPwAAAAAgAAAA/PwA/AACAAAAAAAA8L8CQfFjzF3LA0ACyzLEsS5uyz8AAAAAGAAAAPz8APwAAgAAAAAAAPC/Aibkg57Nqr+/Aqd5xyk6kvS/AAAAABgAAAD8/AD8AAIAAAAAAADwvwL/Q/rt68DnPwKneccpOpL8vwAAAAAYAAAA/PwA/AACAAAAAAAA8L8CQYLix5i7+T8Cp3nHKTqS9L8AAAAAGAAAAPz8APwAAgAAAAAAAPC/AkHxY8xdywNAAlqGONbFbfM/AAAAADgECAFlBAAAAAAAAAAACAABZQQAAAAAAAAAAAwAAWUEAAAAAAAAAAAQBAFlCAwAAAAAAAAAFAwBZQgAAAAAAAAAABgMAWUEAAAAAAAAAAAcAAFlBAAAAAAAAAAAIAABZQQAAAAAAAAAACQQAWUEAAAAAAAAAAAoCAFlCAgAAAAAAAAALCgBZQQAAAAAAAAAADAsAWUICAAAAAAAAAA0JAFlBAAAAAAAAAAAMBABZQQAAAAAAAAAAAAAAAA=</t>
        </r>
      </text>
    </comment>
    <comment ref="A795" authorId="0" shapeId="0" xr:uid="{D9B474A3-A1F9-4530-81D2-46FB7BC07537}">
      <text>
        <r>
          <rPr>
            <sz val="9"/>
            <color indexed="81"/>
            <rFont val="MS P ゴシック"/>
            <family val="3"/>
            <charset val="128"/>
          </rPr>
          <t>Insight iXlW00001C0000795R0585476093S00001588P01160LAocjBAQBF1NjaVRlZ2ljLmRhdGEuTW9sZWN1bGUBbwF/ARJTY2lUZWdpYy5Nb2xlY3VsZQAAAQFkAv5qAQAAAAIAAjwYAAAA/PwA/AACAAAAAAAA8L8CutqK/WV3A8AC0GbV52orxr8AAAAAGAAAAPz8APwAAgAAAAAAAPC/AhiV1AloIuI/AtBm1edqK8a/AAAAABgAAAD8/AD8AAIAAAAAAADwvwKMSuoENBH5PwLQZtXnaivGvwAAAAAYAAAA/PwA/AACAAAAAAAA8L8CRiV1ApqIAEACHA3gLZCg8L8AAAAAHAAAAPz8APwAAgAAAAAAAPC/AhiV1AloIuI/AqoT0ETY8Pg/AAAAABgAAAD8/AD8AAIAAAAAAADwvwLCqKROQBOxPwLQZtXnaivmPwAAAAAcAAAA/PwA/AACAAAAAAAA8L8CDk+vlGWIAEAC0GbV52or5j8AAAAAGAAAAPz8APwAAgAAAAAAAPC/AhueXinLEPk/AqoT0ETY8Pg/AAAAACAAAAD8/AD8AAIAAAAAAADwvwJGJXUCmogIQAIcDeAtkKDwvwAAAAAgAAAA/PwA/AACAAAAAAAA8L8C6Gor9pfd7b8C0GbV52or5j8AAAAAGAAAAPz8APwAAgAAAAAAAPC/AnS1FfvL7va/AtBm1edqK8a/AAAAACQAAAD8/AD8AAIAAAAAAADwvwK62or9ZXcDwALarPpcbcXyvwAAAAAkAAAA/PwA/AACAAAAAAAA8L8CutqK/WV3C8AC0GbV52orxr8AAAAAJAAAAPz8APwAAgAAAAAAAPC/Arraiv1ldwPAAk2mCkYldeo/AAAAACAAAAD8/AD8AAIAAAAAAADwvwKMSuoENBH5PwLOGVHaG3z+vwAAAAA8BBQBZQQAAAAAAAAAAAgEAWUIDAAAAAAAAAAMCAFlBAAAAAAAAAAAEBQBZQgIAAAAAAAAABQkAWUEAAAAAAAAAAAYHAFlCAgAAAAAAAAAHBABZQQAAAAAAAAAACAMAWUIAAAAAAAAAAAkKAFlBAAAAAAAAAAAKAABZQQAAAAAAAAAACwAAWUEAAAAAAAAAAAwAAFlBAAAAAAAAAAANAABZQQAAAAAAAAAADgMAWUEAAAAAAAAAAAIGAFlBAAAAAAAAAAAAAAAAA==</t>
        </r>
      </text>
    </comment>
    <comment ref="A796" authorId="0" shapeId="0" xr:uid="{38AF6594-B817-4881-8244-6DA31FB55516}">
      <text>
        <r>
          <rPr>
            <sz val="9"/>
            <color indexed="81"/>
            <rFont val="MS P ゴシック"/>
            <family val="3"/>
            <charset val="128"/>
          </rPr>
          <t>Insight iXlW00001C0000796R0585476093S00001590P01104LAocjBAQBF1NjaVRlZ2ljLmRhdGEuTW9sZWN1bGUBbwF/ARJTY2lUZWdpYy5Nb2xlY3VsZQAAAQFkAv5qAQAAAAIAAjgYAAAA/PwA/AACAAAAAAAA8L8CBHgLJCh+3D8C4ZwRpb3Bx78AAAAAGAAAAPz8APwAAgAAAAAAAPC/ApAxdy0hH/c/AuGcEaW9wce/AAAAABgAAAD8/AD8AAIAAAAAAADwvwKQMXctIR//PwLek4eFWtPwvwAAAAAcAAAA/PwA/AACAAAAAAAA8L8CP8bctYR83D8CWDm0yHa++D8AAAAAGAAAAPz8APwAAgAAAAAAAPC/AuY/pN++Dqy/Ai2yne+nxuU/AAAAABwAAAD8/AD8AAIAAAAAAADwvwKQMXctIR//PwJLWYY41sXlPwAAAAAYAAAA/PwA/AACAAAAAAAA8L8CkDF3LSEf9z8CWDm0yHa++D8AAAAAGAAAAPz8APwAAgAAAAAAAPC/AgCRfvs6cATAAuGcEaW9wce/AAAAABgAAAD8/AD8AAIAAAAAAADwvwIhQfFjzF0LwAKQMXctIR/UPwAAAAAYAAAA/PwA/AACAAAAAAAA8L8CWRe30QBeC8ACOGdEaW/w5b8AAAAAIAAAAPz8APwAAgAAAAAAAPC/AsiYu5aQjwdAAt6Th4Va0/C/AAAAACAAAAD8/AD8AAIAAAAAAADwvwL/If32deDwvwItsp3vp8blPwAAAAAYAAAA/PwA/AACAAAAAAAA8L8CACL99nXg+L8C4ZwRpb3Bx78AAAAAIAAAAPz8APwAAgAAAAAAAPC/ApAxdy0hH/c/AiD0bFZ9rv6/AAAAADwEAAFlCAwAAAAAAAAACAQBZQQAAAAAAAAAAAwQAWUICAAAAAAAAAAQAAFlBAAAAAAAAAAAFAQBZQQAAAAAAAAAABgMAWUEAAAAAAAAAAAcMAFlBAAAAAAAAAAAIBwBZQQAAAAAAAAAACQcAWUEAAAAAAAAAAAoCAFlCAAAAAAAAAAALBABZQQAAAAAAAAAADAsAWUEAAAAAAAAAAA0CAFlBAAAAAAAAAAAFBgBZQgIAAAAAAAAACQgAWUEAAAAAAAAAAAAAAAA</t>
        </r>
      </text>
    </comment>
    <comment ref="A797" authorId="0" shapeId="0" xr:uid="{4E3109FD-609A-4149-AD78-1D3635B53BC5}">
      <text>
        <r>
          <rPr>
            <sz val="9"/>
            <color indexed="81"/>
            <rFont val="MS P ゴシック"/>
            <family val="3"/>
            <charset val="128"/>
          </rPr>
          <t>Insight iXlW00001C0000797R0585476093S00001592P01484LAocjBAQBF1NjaVRlZ2ljLmRhdGEuTW9sZWN1bGUBbwF/ARJTY2lUZWdpYy5Nb2xlY3VsZQAAAQFkAv5qAQAAAAIAAgETHAAAAPz8APwAAgAAAAAAAPC/Atnw9EpZhty/Ak5iEFg5tOQ/AAAAABgAAAD8/AD8AAIAAAAAAADwvwIK16NwPQrhPwJ6Nqs+V1vrPwAAAAAcAAAA/PwA/AACAAAAAAAA8L8C/Knx0k1i5D8C9I5TdCSX/T8AAAAAGAAAAPz8APwAAgAAAAAAAPC/AsWPMXctIf+/AtV46SYxCMy/AAAAABgAAAD8/AD8AAIAAAAAAADwvwJteHqlLEPuvwLVeOkmMQjMvwAAAAAcAAAA/PwA/AACAAAAAAAA8L8CGQRWDi2y0b8CseHplbIMAkAAAAAAGAAAAPz8APwAAgAAAAAAAPC/Am14eqUsQ+6/AmmR7Xw/Nfg/AAAAABgAAAD8/AD8AAIAAAAAAADwvwLjx5i7lpADwAJOYhBYObTkPwAAAAAYAAAA/PwA/AACAAAAAAAA8L8C48eYu5aQA8ACXI/C9Shc8b8AAAAAGAAAAPz8APwAAgAAAAAAAPC/AjY8vVKWIf+/AmmR7Xw/Nfg/AAAAABgAAAD8/AD8AAIAAAAAAADwvwINcayL22j0PwLyY8xdS8jHPwAAAAAgAAAA/PwA/AACAAAAAAAA8L8CxY8xdy0h/78CD5wzorQ3/78AAAAAGAAAAPz8APwAAgAAAAAAAPC/AvcGX5hMFfE/Apjdk4eFWum/AAAAABgAAAD8/AD8AAIAAAAAAADwvwKOBvAWSNABQAIm5IOezarfPwAAAAAgAAAA/PwA/AACAAAAAAAA8L8C48eYu5aQC8ACXI/C9Shc8b8AAAAAGAAAAPz8APwAAgAAAAAAAPC/AkeU9gZfGAZAAgCRfvs6cPK/AAAAABgAAAD8/AD8AAIAAAAAAADwvwJSSZ2AJsIHQAKsrdhfdk/GvwAAAAAYAAAA/PwA/AACAAAAAAAA8L8C8DhFR3L5/D8Ci/1l9+Rh978AAAAAJAAAAPz8APwAAgAAAAAAAPC/AkOtad5xCgxAAr+fGi/dJP2/AAAAAAEVBAABZQQAAAAAAAAAAAgEAWUICAAAAAAAAAAMEAFlCAwAAAAAAAAAEAABZQQAAAAAAAAAABQYAWUICAAAAAAAAAAYAAFlBAAAAAAAAAAAHCQBZQgIAAAAAAAAACAMAWUEAAAAAAAAAAAkGAFlBAAAAAAAAAAAKAQBZQQAAAAAAAAAACwgAWUIAAAAAAAAAAAwKAFlBAAAAAAAAAAANCgBZQgMAAAAAAAAADggAWUEAAAAAAAAAAA8ARABZQgMAAAAAAAAAAEQNAFlBAAAAAAAAAAAAREwAWUICAAAAAAAAAABEjwBZQQAAAAAAAAAABQIAWUEAAAAAAAAAAAMHAFlBAAAAAAAAAAAARE8AWUEAAAAAAAAAAAAAAAA</t>
        </r>
      </text>
    </comment>
    <comment ref="A798" authorId="0" shapeId="0" xr:uid="{50ABE9B5-77CF-47DD-9EC6-2FE6E19CD151}">
      <text>
        <r>
          <rPr>
            <sz val="9"/>
            <color indexed="81"/>
            <rFont val="MS P ゴシック"/>
            <family val="3"/>
            <charset val="128"/>
          </rPr>
          <t>Insight iXlW00001C0000798R0585476093S00001594P01176LAocjBAQBF1NjaVRlZ2ljLmRhdGEuTW9sZWN1bGUBbwF/ARJTY2lUZWdpYy5Nb2xlY3VsZQAAAQFkAv5qAQAAAAIAAjwYAAAA/PwA/AACAAAAAAAA8L8CXW3F/rJ78r8C0GbV52orxj8AAAAAGAAAAPz8APwAAgAAAAAAAPC/Arraiv1l9+S/AhwN4C2QoPA/AAAAABgAAAD8/AD8AAIAAAAAAADwvwK62or9ZffkvwLQZtXnaivmvwAAAAAgAAAA/PwA/AACAAAAAAAA8L8CjErqBDQR1j8C0GbV52or5r8AAAAAIAAAAPz8APwAAgAAAAAAAPC/Al1txf6ye/K/Al1txf6ye/4/AAAAABwAAAD8/AD8AAIAAAAAAADwvwKvtmJ/2T0FwALQZtXnaivmvwAAAAAYAAAA/PwA/AACAAAAAAAA8L8Cr7Zif9k9AcAC0GbV52orxj8AAAAAIAAAAPz8APwAAgAAAAAAAPC/AoxK6gQ0EdY/AhwN4C2QoPA/AAAAABgAAAD8/AD8AAIAAAAAAADwvwJGJXUCmgjrPwLQZtXnaivGPwAAAAAYAAAA/PwA/AACAAAAAAAA8L8CXW3F/rJ78r8CqhPQRNjw+L8AAAAAGAAAAPz8APwAAgAAAAAAAPC/Aq+2Yn/ZPQHAAqoT0ETY8Pi/AAAAABgAAAD8/AD8AAIAAAAAAADwvwKjkjoBTYT9PwLQZtXnaivGPwAAAAAYAAAA/PwA/AACAAAAAAAA8L8C4E+Nl24SCkAC0GbV52orxj8AAAAAGAAAAPz8APwAAgAAAAAAAPC/AplMFYxKagRAAtBm1edqK+w/AAAAABgAAAD8/AD8AAIAAAAAAADwvwKZTBWMSmoEQAJos+pztRXhvwAAAAABEAQAAWUEAAAAAAAAAAAIAAFlCAgAAAAAAAAADAgBZQQAAAAAAAAAABAEAWUIAAAAAAAAAAAUGAFlCAgAAAAAAAAAGAABZQQAAAAAAAAAABwEAWUEAAAAAAAAAAAgDAFlBAAAAAAAAAAAJAgBZQQAAAAAAAAAACgUAWUEAAAAAAAAAAAsIAFlBAAAAAAAAAAAMDgBZQQAAAAAAAAAADQsAWUEAAAAAAAAAAA4LAFlBAAAAAAAAAAAKCQBZQgIAAAAAAAAADQwAWUEAAAAAAAAAAAAAAAA</t>
        </r>
      </text>
    </comment>
    <comment ref="A799" authorId="0" shapeId="0" xr:uid="{1ACFBB58-1D7C-4B1D-8EA1-95AAC47DB73D}">
      <text>
        <r>
          <rPr>
            <sz val="9"/>
            <color indexed="81"/>
            <rFont val="MS P ゴシック"/>
            <family val="3"/>
            <charset val="128"/>
          </rPr>
          <t>Insight iXlW00001C0000799R0585476093S00001596P01324LAocjBAQBF1NjaVRlZ2ljLmRhdGEuTW9sZWN1bGUBbwF/ARJTY2lUZWdpYy5Nb2xlY3VsZQAAAQFkAv5qAQAAAAIAAgERGAAAAPz8APwAAgAAAAAAAPC/AqoT0ETY8Pg/Ah8Wak3zjsO/AAAAABgAAAD8/AD8AAIAAAAAAADwvwKpE9BE2PDwPwIGo5I6AU3wvwAAAAAYAAAA/PwA/AACAAAAAAAA8L8CqRPQRNjw8D8C/DpwzojS5j8AAAAAIAAAAPz8APwAAgAAAAAAAPC/AiZ1ApoIG64/Avw6cM6I0uY/AAAAACAAAAD8/AD8AAIAAAAAAADwvwKqE9BE2PD4PwK4rwPnjCj+vwAAAAAcAAAA/PwA/AACAAAAAAAA8L8C1QloImx4CEAC/DpwzojS5j8AAAAAIAAAAPz8APwAAgAAAAAAAPC/Aiz2l92ThwvAAh8Wak3zjsO/AAAAABgAAAD8/AD8AAIAAAAAAADwvwLVCWgibHgEQAIfFmpN847DvwAAAAAgAAAA/PwA/AACAAAAAAAA8L8CJnUCmggbrj8CBqOSOgFN8L8AAAAAGAAAAPz8APwAAgAAAAAAAPC/Alyxv+yePNy/Ah8Wak3zjsO/AAAAABgAAAD8/AD8AAIAAAAAAADwvwKqE9BE2PD4PwLAfR04Z0T5PwAAAAAYAAAA/PwA/AACAAAAAAAA8L8C1QloImx4BEACwH0dOGdE+T8AAAAAGAAAAPz8APwAAgAAAAAAAPC/AlfsL7snD/e/Ah8Wak3zjsO/AAAAABgAAAD8/AD8AAIAAAAAAADwvwIs9pfdk4cHwAIGo5I6AU3wvwAAAAAYAAAA/PwA/AACAAAAAAAA8L8CLPaX3ZOHB8AC/DpwzojS5j8AAAAAGAAAAPz8APwAAgAAAAAAAPC/AlfsL7snD/+/AgajkjoBTfC/AAAAABgAAAD8/AD8AAIAAAAAAADwvwJX7C+7Jw//vwL8OnDOiNLmPwAAAAABEgQAAWUEAAAAAAAAAAAIAAFlCAgAAAAAAAAADAgBZQQAAAAAAAAAABAEAWUIAAAAAAAAAAAUHAFlCAgAAAAAAAAAGDgBZQQAAAAAAAAAABwAAWUEAAAAAAAAAAAgBAFlBAAAAAAAAAAAJAwBZQQAAAAAAAAAACgIAWUEAAAAAAAAAAAsFAFlBAAAAAAAAAAAMCQBZQQAAAAAAAAAADQ8AWUEAAAAAAAAAAA4ARABZQQAAAAAAAAAADwwAWUEAAAAAAAAAAABEDABZQQAAAAAAAAAACgsAWUICAAAAAAAAAA0GAFlBAAAAAAAAAAAAAAAAA==</t>
        </r>
      </text>
    </comment>
    <comment ref="A800" authorId="0" shapeId="0" xr:uid="{C9634D93-3A82-431D-9E4C-98EEAD46ECF3}">
      <text>
        <r>
          <rPr>
            <sz val="9"/>
            <color indexed="81"/>
            <rFont val="MS P ゴシック"/>
            <family val="3"/>
            <charset val="128"/>
          </rPr>
          <t>Insight iXlW00001C0000800R0585476093S00001598P01160LAocjBAQBF1NjaVRlZ2ljLmRhdGEuTW9sZWN1bGUBbwF/ARJTY2lUZWdpYy5Nb2xlY3VsZQAAAQFkAv5qAQAAAAIAAjwYAAAA/PwA/AACAAAAAAAA8L8CKA8LtaZ58j8CLiEf9GxW1b8AAAAAHAAAAPz8APwAAgAAAAAAAPC/Ardif9k9eeK/Ampv8IXJVNW/AAAAABgAAAD8/AD8AAIAAAAAAADwvwKZu5aQD3rSPwKlvcEXJlPFPwAAAAAYAAAA/PwA/AACAAAAAAAA8L8Ct2J/2T154r8C2xt8YTJV9b8AAAAAGAAAAPz8APwAAgAAAAAAAPC/Ag6+MJkqGPe/Aibkg57NqvI/AAAAABgAAAD8/AD8AAIAAAAAAADwvwIoDwu1pnnyPwLbG3xhMlX1vwAAAAAYAAAA/PwA/AACAAAAAAAA8L8CtTf4wmQqAEACLiEf9GxWxT8AAAAAGAAAAPz8APwAAgAAAAAAAPC/Apm7lpAPetI/AtsbfGEyVf2/AAAAABgAAAD8/AD8AAIAAAAAAADwvwIOvjCZKhj3vwIuIR/0bFbFPwAAAAAgAAAA/PwA/AACAAAAAAAA8L8CDr4wmSoY978C2xt8YTJV/b8AAAAAIAAAAPz8APwAAgAAAAAAAPC/ArU3+MJkKgBAAibkg57NqvI/AAAAACQAAAD8/AD8AAIAAAAAAADwvwIHX5hMFYwDwAIm5IOezaryPwAAAAAkAAAA/PwA/AACAAAAAAAA8L8CDr4wmSoY978CE/JBz2ZVAUAAAAAAJAAAAPz8APwAAgAAAAAAAPC/Ajj4wmSqYNy/Aibkg57NqvI/AAAAACAAAAD8/AD8AAIAAAAAAADwvwLW52or9hcHQAJqb/CFyVTVvwAAAAA8BAgBZQQAAAAAAAAAAAgAAWUICAAAAAAAAAAMHAFlBAAAAAAAAAAAECABZQQAAAAAAAAAABQAAWUEAAAAAAAAAAAYAAFlBAAAAAAAAAAAHBQBZQgIAAAAAAAAACAEAWUEAAAAAAAAAAAkDAFlCAAAAAAAAAAAKBgBZQgAAAAAAAAAACwQAWUEAAAAAAAAAAAwEAFlBAAAAAAAAAAANBABZQQAAAAAAAAAADgYAWUEAAAAAAAAAAAEDAFlBAAAAAAAAAAAAAAAAA==</t>
        </r>
      </text>
    </comment>
    <comment ref="A801" authorId="0" shapeId="0" xr:uid="{5CB3B220-AB55-4A53-B2D9-072BDE0CC0CA}">
      <text>
        <r>
          <rPr>
            <sz val="9"/>
            <color indexed="81"/>
            <rFont val="MS P ゴシック"/>
            <family val="3"/>
            <charset val="128"/>
          </rPr>
          <t>Insight iXlW00001C0000801R0585476093S00001600P01104LAocjBAQBF1NjaVRlZ2ljLmRhdGEuTW9sZWN1bGUBbwF/ARJTY2lUZWdpYy5Nb2xlY3VsZQAAAQFkAv5qAQAAAAIAAjgYAAAA/PwA/AACAAAAAAAA8L8Cq2BUUieg8z8C1sVtNIC3sL8AAAAAHAAAAPz8APwAAgAAAAAAAPC/ApQYBFYOLeC/AtbFbTSAt7C/AAAAABgAAAD8/AD8AAIAAAAAAADwvwLgT42XbhLXPwKLjuTyH9LbPwAAAAAYAAAA/PwA/AACAAAAAAAA8L8ClBgEVg4t4L8CXtxGA3gL8b8AAAAAGAAAAPz8APwAAgAAAAAAAPC/AqtgVFInoPM/Al7cRgN4C/G/AAAAABgAAAD8/AD8AAIAAAAAAADwvwJ24JwRpb0AQAKLjuTyH9LbPwAAAAAYAAAA/PwA/AACAAAAAAAA8L8CpAG8BRIU1z8CXtxGA3gL+b8AAAAAGAAAAPz8APwAAgAAAAAAAPC/Aoxs5/up8fW/AouO5PIf0ts/AAAAACAAAAD8/AD8AAIAAAAAAADwvwKMbOf7qfH1vwJe3EYDeAv5vwAAAAAgAAAA/PwA/AACAAAAAAAA8L8CduCcEaW9AEACoyO5/If09j8AAAAAIAAAAPz8APwAAgAAAAAAAPC/ApeQD3o2qwdAAtbFbTSAt7C/AAAAABgAAAD8/AD8AAIAAAAAAADwvwKi1jTvOMUEwAIxKqkT0ETyPwAAAAAYAAAA/PwA/AACAAAAAAAA8L8C+1xtxf6yAsACMuauJeSDxj8AAAAAGAAAAPz8APwAAgAAAAAAAPC/Amiz6nO1Ffq/Ag1xrIvbaPY/AAAAADwECAFlBAAAAAAAAAAACAABZQgIAAAAAAAAAAwYAWUEAAAAAAAAAAAQAAFlBAAAAAAAAAAAFAABZQQAAAAAAAAAABgQAWUICAAAAAAAAAAcBAFlBAAAAAAAAAAAIAwBZQgAAAAAAAAAACQUAWUIAAAAAAAAAAAoFAFlBAAAAAAAAAAALDQBZQQAAAAAAAAAADAcAWUEAAAAAAAAAAA0HAFlBAAAAAAAAAAABAwBZQQAAAAAAAAAADAsAWUEAAAAAAAAAAAAAAAA</t>
        </r>
      </text>
    </comment>
    <comment ref="A802" authorId="0" shapeId="0" xr:uid="{28D885ED-C880-49E3-8296-5B30B2272884}">
      <text>
        <r>
          <rPr>
            <sz val="9"/>
            <color indexed="81"/>
            <rFont val="MS P ゴシック"/>
            <family val="3"/>
            <charset val="128"/>
          </rPr>
          <t>Insight iXlW00001C0000802R0585476093S00001602P00948LAocjBAQBF1NjaVRlZ2ljLmRhdGEuTW9sZWN1bGUBbwF/ARJTY2lUZWdpYy5Nb2xlY3VsZQAAAQFkAv5qAQAAAAIAAjAcAAAA/PwA/AACAAAAAAAA8L8CZTvfT42X8D8C1LzjFB3J5T8AAAAAGAAAAPz8APwAAgAAAAAAAPC/Aqrx0k1iEPY/AnIbDeAtkNC/AAAAABgAAAD8/AD8AAIAAAAAAADwvwLRItv5fmrgPwK5jQbwFkjovwAAAAAYAAAA/PwA/AACAAAAAAAA8L8CKe0NvjCZ1r8CchsN4C2Q0L8AAAAAGAAAAPz8APwAAgAAAAAAAPC/AozbaABvgfO/ArmNBvAWSOi/AAAAABgAAAD8/AD8AAIAAAAAAADwvwLnHafoSK4AwAJyGw3gLZDQvwAAAAAYAAAA/PwA/AACAAAAAAAA8L8C5x2n6EiuAMACSHL5D+m35z8AAAAAGAAAAPz8APwAAgAAAAAAAPC/AozbaABvgfO/ArMMcayL2/M/AAAAABgAAAD8/AD8AAIAAAAAAADwvwIp7Q2+MJnWvwJlGeJYF7fnPwAAAAAYAAAA/PwA/AACAAAAAAAA8L8CI2x4eqUsAEAC9rnaiv1l8L8AAAAAGAAAAPz8APwAAgAAAAAAAPC/AkVHcvkP6QJAAuSDns2qz7W/AAAAAAERAAAA/PwA/AACAAAAAAAA8L8CrK3YX3ZPCUAC6pWyDHGsuz8AAAAAMAAEAWUEAAAAAAAAAAAECAFlBAAAAAAAAAAACAwBZQQAAAAAAAAAAAwQAWUIDAAAAAAAAAAQFAFlBAAAAAAAAAAAFBgBZQgIAAAAAAAAABgcAWUEAAAAAAAAAAAcIAFlCAgAAAAAAAAAIAwBZQQAAAAAAAAAAAQkAWUEAAAAAAAAAAAkKAFlBAAAAAAAAAAAKAQBZQQAAAAAAAAAAAAAAAA=</t>
        </r>
      </text>
    </comment>
    <comment ref="A803" authorId="0" shapeId="0" xr:uid="{ABED94DB-B968-44D6-899D-28A9951F1424}">
      <text>
        <r>
          <rPr>
            <sz val="9"/>
            <color indexed="81"/>
            <rFont val="MS P ゴシック"/>
            <family val="3"/>
            <charset val="128"/>
          </rPr>
          <t>Insight iXlW00001C0000803R0585476093S00001604P01020LAocjBAQBF1NjaVRlZ2ljLmRhdGEuTW9sZWN1bGUBbwF/ARJTY2lUZWdpYy5Nb2xlY3VsZQAAAQFkAv5qAQAAAAIAAjQcAAAA/PwA/AACAAAAAAAA8L8Cx9y1hHzQ7z8CmbuWkA964j8AAAAAGAAAAPz8APwAAgAAAAAAAPC/AqmkTkATYfU/AqvP1VbsL9e/AAAAABgAAAD8/AD8AAIAAAAAAADwvwKdEaW9wRfePwLW52or9pfrvwAAAAAYAAAA/PwA/AACAAAAAAAA8L8Cam/whclU2b8Cq8/VVuwv178AAAAAGAAAAPz8APwAAgAAAAAAAPC/Ahx8YTJVMPS/Atbnaiv2l+u/AAAAABgAAAD8/AD8AAIAAAAAAADwvwIvbqMBvAUBwAKrz9VW7C/XvwAAAAAYAAAA/PwA/AACAAAAAAAA8L8CZ0Rpb/AFAcACKxiV1Alo5D8AAAAAGAAAAPz8APwAAgAAAAAAAPC/Ahx8YTJVMPS/AhaMSuoENPI/AAAAABgAAAD8/AD8AAIAAAAAAADwvwJqb/CFyVTZvwIrGJXUCWjkPwAAAAAkAAAA/PwA/AACAAAAAAAA8L8CnRGlvcEX3j8CFoxK6gQ08j8AAAAAGAAAAPz8APwAAgAAAAAAAPC/AkSLbOf7qf8/ApM6AU2EDfK/AAAAABgAAAD8/AD8AAIAAAAAAADwvwL99nXgnJECQALdRgN4CyTIvwAAAAABEQAAAPz8APwAAgAAAAAAAPC/AmRd3EYD+AhAAlXBqKROQHM/AAAAADQABAFlBAAAAAAAAAAABAgBZQQAAAAAAAAAAAgMAWUEAAAAAAAAAAAMEAFlCAwAAAAAAAAAEBQBZQQAAAAAAAAAABQYAWUICAAAAAAAAAAYHAFlBAAAAAAAAAAAHCABZQgIAAAAAAAAACAMAWUEAAAAAAAAAAAgJAFlBAAAAAAAAAAABCgBZQQAAAAAAAAAACgsAWUEAAAAAAAAAAAsBAFlBAAAAAAAAAAAAAAAAA==</t>
        </r>
      </text>
    </comment>
    <comment ref="A804" authorId="0" shapeId="0" xr:uid="{9F0BE5C3-BAC2-4883-8CCC-C1F666E9C633}">
      <text>
        <r>
          <rPr>
            <sz val="9"/>
            <color indexed="81"/>
            <rFont val="MS P ゴシック"/>
            <family val="3"/>
            <charset val="128"/>
          </rPr>
          <t>Insight iXlW00001C0000804R0585476093S00001606P01452LAocjBAQBF1NjaVRlZ2ljLmRhdGEuTW9sZWN1bGUBbwF/ARJTY2lUZWdpYy5Nb2xlY3VsZQAAAQFkAv5qAQAAAAIAAgETGAAAAPz8APwAAgAAAAAAAPC/Ampv8IXJVNW/AigPC7WmefK/AAAAACAAAAD8/AD8AAIAAAAAAADwvwJMyAc9m1XlPwIoDwu1pnnyvwAAAAAYAAAA/PwA/AACAAAAAAAA8L8CJuSDns2q8j8CmbuWkA960r8AAAAAGAAAAPz8APwAAgAAAAAAAPC/AtsbfGEyVQFAAtUJaCJseNK/AAAAABgAAAD8/AD8AAIAAAAAAADwvwLbG3xhMlUFQAKZu5aQD3riPwAAAAAYAAAA/PwA/AACAAAAAAAA8L8C2xt8YTJVDUACmbuWkA964j8AAAAAHAAAAPz8APwAAgAAAAAAAPC/Au0NvjCZqhBAAtUJaCJseNK/AAAAABgAAAD8/AD8AAIAAAAAAADwvwIT8kHPZlUBQAIOvjCZKhj3PwAAAAAYAAAA/PwA/AACAAAAAAAA8L8CJuSDns2q8j8CDr4wmSoY9z8AAAAAGAAAAPz8APwAAgAAAAAAAPC/AkzIBz2bVeU/Ardif9k9eeI/AAAAACAAAAD8/AD8AAIAAAAAAADwvwJqb/CFyVTVvwK3Yn/ZPXniPwAAAAAYAAAA/PwA/AACAAAAAAAA8L8CtTf4wmSq6r8CmbuWkA960r8AAAAAGAAAAPz8APwAAgAAAAAAAPC/AtsbfGEyVf2/Apm7lpAPetK/AAAAABgAAAD8/AD8AAIAAAAAAADwvwLtDb4wmaoCwAIoDwu1pnnyvwAAAAAYAAAA/PwA/AACAAAAAAAA8L8C7g2+MJmqCsACKA8LtaZ58r8AAAAAIAAAAPz8APwAAgAAAAAAAPC/Au4NvjCZqg7AApm7lpAPetK/AAAAABgAAAD8/AD8AAIAAAAAAADwvwLuDb4wmaoKwAK3Yn/ZPXniPwAAAAAYAAAA/PwA/AACAAAAAAAA8L8C7Q2+MJmqAsACt2J/2T154j8AAAAAAREAAAD8/AD8AAIAAAAAAADwvwIhQfFjzN0TQAJdbcX+snvCPwAAAAABEwAEAWUEAAAAAAAAAAAECAFlBAAAAAAAAAAACAwBZQgMAAAAAAAAAAwQAWUEAAAAAAAAAAAQFAFlBAAAAAAAAAAAFBgBZQQAAAAAAAAAABAcAWUICAAAAAAAAAAcIAFlBAAAAAAAAAAAICQBZQgIAAAAAAAAACQIAWUEAAAAAAAAAAAkKAFlBAAAAAAAAAAAKCwBZQQAAAAAAAAAACwwAWUEAAAAAAAAAAAwNAFlBAAAAAAAAAAANDgBZQQAAAAAAAAAADg8AWUEAAAAAAAAAAA8ARABZQQAAAAAAAAAAAEQAREBZQQAAAAAAAAAAAERMAFlBAAAAAAAAAAAAAAAAA==</t>
        </r>
      </text>
    </comment>
    <comment ref="A805" authorId="0" shapeId="0" xr:uid="{419960CF-002C-47F1-AE61-C04E66E0160C}">
      <text>
        <r>
          <rPr>
            <sz val="9"/>
            <color indexed="81"/>
            <rFont val="MS P ゴシック"/>
            <family val="3"/>
            <charset val="128"/>
          </rPr>
          <t>Insight iXlW00001C0000805R0585476093S00001608P01160LAocjBAQBF1NjaVRlZ2ljLmRhdGEuTW9sZWN1bGUBbwF/ARJTY2lUZWdpYy5Nb2xlY3VsZQAAAQFkAv5qAQAAAAIAAjwcAAAA/PwA/AACAAAAAAAA8L8C3pOHhVrT2L8CQs9m1edq8j8AAAAAGAAAAPz8APwAAgAAAAAAAPC/Ano2qz5XW+e/AlfsL7snD8s/AAAAABgAAAD8/AD8AAIAAAAAAADwvwJ6Nqs+V1vnvwLrBDQRNjzpvwAAAAAYAAAA/PwA/AACAAAAAAAA8L8Cf/s6cM6I+b8CdQKaCBue9L8AAAAAIAAAAPz8APwAAgAAAAAAAPC/AuAtkKD4sQPAAusENBE2POm/AAAAABgAAAD8/AD8AAIAAAAAAADwvwLgLZCg+LEDwAJX7C+7Jw/LPwAAAAAYAAAA/PwA/AACAAAAAAAA8L8Cf/s6cM6I+b8CFvvL7snD5j8AAAAAGAAAAPz8APwAAgAAAAAAAPC/Ao4G8BZIUNA/AndPHhZqTaM/AAAAABgAAAD8/AD8AAIAAAAAAADwvwLSb18HzhnjPwJ3vp8aL93svwAAAAAYAAAA/PwA/AACAAAAAAAA8L8CylTBqKRO+T8C2j15WKg18b8AAAAAGAAAAPz8APwAAgAAAAAAAPC/ArKd76fGywFAAsfctYR80NO/AAAAABgAAAD8/AD8AAIAAAAAAADwvwIfhetRuB7+PwILtaZ5xynkPwAAAAABEQAAAPz8APwAAgAAAAAAAPC/At21hHzQMwRAAi4hH/RsVvY/AAAAABgAAAD8/AD8AAIAAAAAAADwvwJ90LNZ9bnsPwIqyxDHurjpPwAAAAABEQAAAPz8APwAAgAAAAAAAPC/AkQc6+I2mgpAAnUkl/+Qfqs/AAAAADwABAFlBAAAAAAAAAAABAgBZQQAAAAAAAAAAAgMAWUEAAAAAAAAAAAMEAFlBAAAAAAAAAAAEBQBZQQAAAAAAAAAABQYAWUEAAAAAAAAAAAYBAFlBAAAAAAAAAAABBwBZQQAAAAAAAAAABwgAWUIDAAAAAAAAAAgJAFlBAAAAAAAAAAAJCgBZQgIAAAAAAAAACgsAWUEAAAAAAAAAAAsMAFlBAAAAAAAAAAALDQBZQgIAAAAAAAAADQcAWUEAAAAAAAAAAAAAAAA</t>
        </r>
      </text>
    </comment>
    <comment ref="A806" authorId="0" shapeId="0" xr:uid="{DD86D837-52DA-408A-94B0-23AA48CBF252}">
      <text>
        <r>
          <rPr>
            <sz val="9"/>
            <color indexed="81"/>
            <rFont val="MS P ゴシック"/>
            <family val="3"/>
            <charset val="128"/>
          </rPr>
          <t>Insight iXlW00001C0000806R0585476093S00001610P01020LAocjBAQBF1NjaVRlZ2ljLmRhdGEuTW9sZWN1bGUBbwF/ARJTY2lUZWdpYy5Nb2xlY3VsZQAAAQFkAv5qAQAAAAIAAjQYAAAA/PwA/AACAAAAAAAA8L8CHeviNhrA+z8Cx9y1hHzQ9b8AAAAAGAAAAPz8APwAAgAAAAAAAPC/AiDSb18HzvY/At4CCYofY9q/AAAAABwAAAD8/AD8AAIAAAAAAADwvwLtnjws1BoAQAJPr5RliGPZPwAAAAAcAAAA/PwA/AACAAAAAAAA8L8CINJvXwfO9j8CX5hMFYxK8z8AAAAAGAAAAPz8APwAAgAAAAAAAPC/AkXY8PRKWd4/AqhXyjLEsew/AAAAABgAAAD8/AD8AAIAAAAAAADwvwLCqKROQBPZvwLUK2UZ4lj2PwAAAAAYAAAA/PwA/AACAAAAAAAA8L8CcoqO5PIf9L8CqFfKMsSx7D8AAAAAGAAAAPz8APwAAgAAAAAAAPC/AnKKjuTyH/S/AsRCrWnecbq/AAAAABgAAAD8/AD8AAIAAAAAAADwvwJa9bnaiv0AwAJZqDXNO07jvwAAAAAcAAAA/PwA/AACAAAAAAAA8L8CWvW52or9AMACLdSa5h2n+b8AAAAAGAAAAPz8APwAAgAAAAAAAPC/AsKopE5AE9m/AlmoNc07TuO/AAAAABwAAAD8/AD8AAIAAAAAAADwvwJF2PD0SlnePwLEQq1p3nG6vwAAAAABEQAAAPz8APwAAgAAAAAAAPC/AlMFo5I6gQZAAsRCrWnecbq/AAAAADQABAFlBAAAAAAAAAAABAgBZQgMAAAAAAAAAAgMAWUEAAAAAAAAAAAMEAFlCAwAAAAAAAAAEBQBZQQAAAAAAAAAABQYAWUICAAAAAAAAAAYHAFlBAAAAAAAAAAAHCABZQQAAAAAAAAAACAkAWUEAAAAAAAAAAAcKAFlCAgAAAAAAAAAKCwBZQQAAAAAAAAAACwEAWUEAAAAAAAAAAAsEAFlBAAAAAAAAAAAAAAAAA==</t>
        </r>
      </text>
    </comment>
    <comment ref="A807" authorId="0" shapeId="0" xr:uid="{F3CBEF6E-C8EC-4339-80F8-C3BFFC79DB09}">
      <text>
        <r>
          <rPr>
            <sz val="9"/>
            <color indexed="81"/>
            <rFont val="MS P ゴシック"/>
            <family val="3"/>
            <charset val="128"/>
          </rPr>
          <t>Insight iXlW00001C0000807R0585476093S00001612P01104LAocjBAQBF1NjaVRlZ2ljLmRhdGEuTW9sZWN1bGUBbwF/ARJTY2lUZWdpYy5Nb2xlY3VsZQAAAQFkAv5qAQAAAAIAAjgYAAAA/PwA/AACAAAAAAAA8L8Cf2q8dJMY8j8CVHQkl/+Q1r8AAAAAGAAAAPz8APwAAgAAAAAAAPC/AhueXinLkABAAqFns+pztYW/AAAAABgAAAD8/AD8AAIAAAAAAADwvwKY3ZOHhVrXPwJgB84ZUdrvvwAAAAAYAAAA/PwA/AACAAAAAAAA8L8CHcnlP6Tf9D8C9rnaiv1l9b8AAAAAGAAAAPz8APwAAgAAAAAAAPC/Av7UeOkmMeQ/AlqGONbFbeA/AAAAACAAAAD8/AD8AAIAAAAAAADwvwJqTfOOU/QBQAIjbHh6pSzvPwAAAAAYAAAA/PwA/AACAAAAAAAA8L8CBFYOLbKd178CWoY41sVt4D8AAAAAIAAAAPz8APwAAgAAAAAAAPC/Am+BBMWPsQZAAtSa5h2n6OS/AAAAABgAAAD8/AD8AAIAAAAAAADwvwICK4cW2c7rvwJUdCSX/5DWvwAAAAAYAAAA/PwA/AACAAAAAAAA8L8CgZVDi2zn/b8CVHQkl/+Q1r8AAAAAJAAAAPz8APwAAgAAAAAAAPC/AsHKoUW28wLAAld9rrZif/O/AAAAABgAAAD8/AD8AAIAAAAAAADwvwKBlUOLbOf9vwJuowG8BRL2PwAAAAAYAAAA/PwA/AACAAAAAAAA8L8CAiuHFtnO678CbqMBvAUS9j8AAAAAGAAAAPz8APwAAgAAAAAAAPC/AsHKoUW28wLAAlqGONbFbeA/AAAAADwEAAFlBAAAAAAAAAAACAABZQQAAAAAAAAAAAwAAWUEAAAAAAAAAAAQAAFlBAAAAAAAAAAAFAQBZQgAAAAAAAAAABgQAWUEAAAAAAAAAAAcBAFlBAAAAAAAAAAAIBgBZQQAAAAAAAAAACQgAWUIDAAAAAAAAAAoJAFlBAAAAAAAAAAALDABZQQAAAAAAAAAADAYAWUIDAAAAAAAAAA0LAFlCAgAAAAAAAAACAwBZQQAAAAAAAAAACQ0AWUEAAAAAAAAAAAAAAAA</t>
        </r>
      </text>
    </comment>
    <comment ref="A808" authorId="0" shapeId="0" xr:uid="{7A794C09-E5F7-4568-9104-8513D6AA9717}">
      <text>
        <r>
          <rPr>
            <sz val="9"/>
            <color indexed="81"/>
            <rFont val="MS P ゴシック"/>
            <family val="3"/>
            <charset val="128"/>
          </rPr>
          <t>Insight iXlW00001C0000808R0585476093S00001614P01176LAocjBAQBF1NjaVRlZ2ljLmRhdGEuTW9sZWN1bGUBbwF/ARJTY2lUZWdpYy5Nb2xlY3VsZQAAAQFkAv5qAQAAAAIAAjwYAAAA/PwA/AACAAAAAAAA8L8CSnuDL0ym+L8CKKCJsOHppb8AAAAAGAAAAPz8APwAAgAAAAAAAPC/AvOwUGuadwHAAlMnoImw4em/AAAAABgAAAD8/AD8AAIAAAAAAADwvwIFxY8xdy3zvwJsCfmgZ7PsPwAAAAAYAAAA/PwA/AACAAAAAAAA8L8CutqK/WV3AcACMEymCkYl5z8AAAAAGAAAAPz8APwAAgAAAAAAAPC/Ai/dJAaBleW/AgOaCBueXuG/AAAAACAAAAD8/AD8AAIAAAAAAADwvwKgq63YX3b9vwJh5dAi2/n7vwAAAAAYAAAA/PwA/AACAAAAAAAA8L8CUI2XbhKDyD8CKKCJsOHppb8AAAAAIAAAAPz8APwAAgAAAAAAAPC/AmN/2T15WAnAAjQRNjy9UuS/AAAAABgAAAD8/AD8AAIAAAAAAADwvwLsUbgehevwPwIDmggbnl7hvwAAAAAYAAAA/PwA/AACAAAAAAAA8L8CLbKd76fG/j8CKKCJsOHppb8AAAAAIAAAAPz8APwAAgAAAAAAAPC/AjiJQWDlUAZAAgOaCBueXuG/AAAAABgAAAD8/AD8AAIAAAAAAADwvwLsUbgehevwPwL/snvysFD3PwAAAAAYAAAA/PwA/AACAAAAAAAA8L8CUI2XbhKDyD8C/mX35GGh7j8AAAAAGAAAAPz8APwAAgAAAAAAAPC/Ai2yne+nxv4/Av5l9+Rhoe4/AAAAABgAAAD8/AD8AAIAAAAAAADwvwJYObTIdj4NQAIooImw4emlvwAAAAABEAQAAWUEAAAAAAAAAAAIAAFlBAAAAAAAAAAADAABZQQAAAAAAAAAABAAAWUEAAAAAAAAAAAUBAFlCAAAAAAAAAAAGBABZQQAAAAAAAAAABwEAWUEAAAAAAAAAAAgGAFlBAAAAAAAAAAAJCABZQgMAAAAAAAAACgkAWUEAAAAAAAAAAAsMAFlBAAAAAAAAAAAMBgBZQgMAAAAAAAAADQsAWUICAAAAAAAAAA4KAFlBAAAAAAAAAAACAwBZQQAAAAAAAAAACQ0AWUEAAAAAAAAAAAAAAAA</t>
        </r>
      </text>
    </comment>
    <comment ref="A809" authorId="0" shapeId="0" xr:uid="{6CFB23B0-C117-4E7E-9A49-C098DB61674D}">
      <text>
        <r>
          <rPr>
            <sz val="9"/>
            <color indexed="81"/>
            <rFont val="MS P ゴシック"/>
            <family val="3"/>
            <charset val="128"/>
          </rPr>
          <t>Insight iXlW00001C0000809R0585476093S00001616P01324LAocjBAQBF1NjaVRlZ2ljLmRhdGEuTW9sZWN1bGUBbwF/ARJTY2lUZWdpYy5Nb2xlY3VsZQAAAQFkAv5qAQAAAAIAAgERGAAAAPz8APwAAgAAAAAAAPC/AmU730+Nl+I/AvOwUGuad9Q/AAAAABgAAAD8/AD8AAIAAAAAAADwvwIVHcnlP6SvvwKuad5xio7cvwAAAAAYAAAA/PwA/AACAAAAAAAA8L8CTYQNT6+U8z8CrmnecYqO3L8AAAAAHAAAAPz8APwAAgAAAAAAAPC/AnS1FfvL7tE/AiNseHqlLPa/AAAAABgAAAD8/AD8AAIAAAAAAADwvwLJ5T+k377wvwI17zhFR3LRvwAAAAAgAAAA/PwA/AACAAAAAAAA8L8Cl5APejarAUACNe84RUdy0b8AAAAAIAAAAPz8APwAAgAAAAAAAPC/AmU730+Nl+I/Ah8Wak3zjgJAAAAAABgAAAD8/AD8AAIAAAAAAADwvwI+CtejcD3SvwJ6WKg1zTvqPwAAAAAYAAAA/PwA/AACAAAAAAAA8L8C9P3UeOkm9z8CelioNc076j8AAAAAIAAAAPz8APwAAgAAAAAAAPC/AqfoSC7/IfE/AsHKoUW28/a/AAAAACAAAAD8/AD8AAIAAAAAAADwvwIPnDOitDf2vwLUK2UZ4ljlPwAAAAAYAAAA/PwA/AACAAAAAAAA8L8CNDMzMzMz178CZRniWBc3AcAAAAAAGAAAAPz8APwAAgAAAAAAAPC/Aj4K16NwPdK/Aj0s1JrmHf0/AAAAABgAAAD8/AD8AAIAAAAAAADwvwL0/dR46Sb3PwI9LNSa5h39PwAAAAAYAAAA/PwA/AACAAAAAAAA8L8CZMxdS8gH+78CdQKaCBue8L8AAAAAGAAAAPz8APwAAgAAAAAAAPC/AnicoiO5/ALAAvJBz2bV5+o/AAAAABgAAAD8/AD8AAIAAAAAAADwvwIfFmpN8471vwIt1JrmHaf/vwAAAAABEgQAAWUEAAAAAAAAAAAIAAFlBAAAAAAAAAAADAQBZQQAAAAAAAAAABAEAWUICAAAAAAAAAAUCAFlCAAAAAAAAAAAGDQBZQQAAAAAAAAAABwAAWUEAAAAAAAAAAAgAAFlBAAAAAAAAAAAJAgBZQQAAAAAAAAAACgQAWUEAAAAAAAAAAAsDAFlCAgAAAAAAAAAMBwBZQQAAAAAAAAAADQgAWUEAAAAAAAAAAA4EAFlBAAAAAAAAAAAPCgBZQQAAAAAAAAAAAEQOAFlCAgAAAAAAAAAMBgBZQQAAAAAAAAAAAEQLAFlBAAAAAAAAAAAAAAAAA==</t>
        </r>
      </text>
    </comment>
    <comment ref="A810" authorId="0" shapeId="0" xr:uid="{9E65EEDF-0949-461D-AB24-3195117A3A75}">
      <text>
        <r>
          <rPr>
            <sz val="9"/>
            <color indexed="81"/>
            <rFont val="MS P ゴシック"/>
            <family val="3"/>
            <charset val="128"/>
          </rPr>
          <t>Insight iXlW00001C0000810R0585476093S00001618P01020LAocjBAQBF1NjaVRlZ2ljLmRhdGEuTW9sZWN1bGUBbwF/ARJTY2lUZWdpYy5Nb2xlY3VsZQAAAQFkAv5qAQAAAAIAAjQgAAAA/PwA/AACAAAAAAAA8L8C2xt8YTJV/T8CSb99HThn+b8AAAAAGAAAAPz8APwAAgAAAAAAAPC/AtsbfGEyVfU/Ag6+MJkqGOe/AAAAABgAAAD8/AD8AAIAAAAAAADwvwLbG3xhMlX9PwLVCWgibHjCPwAAAAAgAAAA/PwA/AACAAAAAAAA8L8C2xt8YTJV9T8CfGEyVTAq8D8AAAAAGAAAAPz8APwAAgAAAAAAAPC/Ampv8IXJVNU/AnxhMlUwKvA/AAAAABgAAAD8/AD8AAIAAAAAAADwvwIuIR/0bFbFvwLVCWgibHjCPwAAAAAYAAAA/PwA/AACAAAAAAAA8L8CTMgHPZtV5b8CDr4wmSoY578AAAAAGAAAAPz8APwAAgAAAAAAAPC/Aibkg57Nqvq/Ag6+MJkqGOe/AAAAABwAAAD8/AD8AAIAAAAAAADwvwIT8kHPZlUBwALVCWgibHjCPwAAAAAYAAAA/PwA/AACAAAAAAAA8L8CJuSDns2q+r8CfGEyVTAq8D8AAAAAGAAAAPz8APwAAgAAAAAAAPC/AkzIBz2bVeW/AnxhMlUwKvA/AAAAABwAAAD8/AD8AAIAAAAAAADwvwJqb/CFyVTVPwIOvjCZKhjnvwAAAAABEQAAAPz8APwAAgAAAAAAAPC/AlR0JJf/EAVAApm7lpAPetK/AAAAADQABAFlCAAAAAAAAAAABAgBZQQAAAAAAAAAAAgMAWUEAAAAAAAAAAAMEAFlBAAAAAAAAAAAEBQBZQQAAAAAAAAAABQYAWUEAAAAAAAAAAAYHAFlBAAAAAAAAAAAHCABZQQAAAAAAAAAACAkAWUEAAAAAAAAAAAkKAFlBAAAAAAAAAAAKBQBZQQAAAAAAAAAABQsAWUEAAAAAAAAAAAsBAFlBAAAAAAAAAAAAAAAAA==</t>
        </r>
      </text>
    </comment>
    <comment ref="A811" authorId="0" shapeId="0" xr:uid="{57295F7B-3BFB-472F-8659-341BA78BC285}">
      <text>
        <r>
          <rPr>
            <sz val="9"/>
            <color indexed="81"/>
            <rFont val="MS P ゴシック"/>
            <family val="3"/>
            <charset val="128"/>
          </rPr>
          <t>Insight iXlW00001C0000811R0585476093S00001620P01392LAocjBAQBF1NjaVRlZ2ljLmRhdGEuTW9sZWN1bGUBbwF/ARJTY2lUZWdpYy5Nb2xlY3VsZQAAAQFkAv5qAQAAAAIAAgESGAAAAPz8APwAAgAAAAAAAPC/AmKh1jTvOPY/AhwN4C2QoMi/AAAAABwAAAD8/AD8AAIAAAAAAADwvwKIhVrTvOPYPwIcDeAtkKDIvwAAAAAgAAAA/PwA/AACAAAAAAAA8L8CYqHWNO84/j8CPb1SliGO5T8AAAAAGAAAAPz8APwAAgAAAAAAAPC/Ap5eKcsQx/m/AqRwPQrXo8i/AAAAABwAAAD8/AD8AAIAAAAAAADwvwJPr5RliOMAwAJaZDvfT43lPwAAAAAgAAAA/PwA/AACAAAAAAAA8L8CYqHWNO84/j8CVg4tsp3v8L8AAAAAGAAAAPz8APwAAgAAAAAAAPC/AuLplbIMcby/Aj29UpYhjuU/AAAAABgAAAD8/AD8AAIAAAAAAADwvwLi6ZWyDHG8vwJWDi2yne/wvwAAAAAYAAAA/PwA/AACAAAAAAAA8L8Cnl4pyxDH8b8CVg4tsp3v8L8AAAAAGAAAAPz8APwAAgAAAAAAAPC/Ap5eKcsQx/G/Aj29UpYhjuU/AAAAABgAAAD8/AD8AAIAAAAAAADwvwKxUGuadxwHQAI9vVKWIY7lPwAAAAAgAAAA/PwA/AACAAAAAAAA8L8CT6+UZYjjCMACVg4tsp3v8L8AAAAAGAAAAPz8APwAAgAAAAAAAPC/Ak+vlGWI4wDAAlYOLbKd7/C/AAAAABgAAAD8/AD8AAIAAAAAAADwvwJPr5RliOMIwAJaZDvfT43lPwAAAAAYAAAA/PwA/AACAAAAAAAA8L8CT6+UZYjjDMACpHA9CtejyL8AAAAAGAAAAPz8APwAAgAAAAAAAPC/ArFQa5p3HAdAAp5eKcsQx/o/AAAAABgAAAD8/AD8AAIAAAAAAADwvwKxUGuadxwPQAI9vVKWIY7lPwAAAAAYAAAA/PwA/AACAAAAAAAA8L8CsVBrmnccB0ACiIVa07zj1L8AAAAAARMEAAFlBAAAAAAAAAAACAABZQQAAAAAAAAAAAwgAWUEAAAAAAAAAAAQDAFlBAAAAAAAAAAAFAABZQgAAAAAAAAAABgEAWUEAAAAAAAAAAAcBAFlBAAAAAAAAAAAIBwBZQQAAAAAAAAAACQYAWUEAAAAAAAAAAAoCAFlBAAAAAAAAAAALDABZQQAAAAAAAAAADAMAWUEAAAAAAAAAAA0EAFlBAAAAAAAAAAAOCwBZQQAAAAAAAAAADwoAWUEAAAAAAAAAAABECgBZQQAAAAAAAAAAAERKAFlBAAAAAAAAAAAJAwBZQQAAAAAAAAAADQ4AWUEAAAAAAAAAAAAAAAA</t>
        </r>
      </text>
    </comment>
    <comment ref="A812" authorId="0" shapeId="0" xr:uid="{5B234B42-2D90-4864-90FB-640432C58A8C}">
      <text>
        <r>
          <rPr>
            <sz val="9"/>
            <color indexed="81"/>
            <rFont val="MS P ゴシック"/>
            <family val="3"/>
            <charset val="128"/>
          </rPr>
          <t>Insight iXlW00001C0000812R0585476093S00001622P01244LAocjBAQBF1NjaVRlZ2ljLmRhdGEuTW9sZWN1bGUBbwF/ARJTY2lUZWdpYy5Nb2xlY3VsZQAAAQFkAv5qAQAAAAIAAgEQHAAAAPz8APwAAgAAAAAAAPC/AgAAAAAAAOA/ApM6AU2EDfO/AAAAABgAAAD8/AD8AAIAAAAAAADwvwECgLdAguLH1L8AAAAAGAAAAPz8APwAAgAAAAAAAPC/AgAAAAAAAOA/AsNkqmBUUuE/AAAAABgAAAD8/AD8AAIAAAAAAADwvwIAAAAAAAAAQAKAt0CC4sfUvwAAAAAYAAAA/PwA/AACAAAAAAAA8L8CAAAAAAAA4L8C4QuTqYJR4T8AAAAAGAAAAPz8APwAAgAAAAAAAPC/AgAAAAAAAPC/AkVpb/CFydS/AAAAABgAAAD8/AD8AAIAAAAAAADwvwIAAAAAAADgvwKTOgFNhA3zvwAAAAAYAAAA/PwA/AACAAAAAAAA8L8BAqOSOgFNhPY/AAAAACAAAAD8/AD8AAIAAAAAAADwvwIAAAAAAAAIwAJFaW/whcnUvwAAAAAYAAAA/PwA/AACAAAAAAAA8L8CAAAAAAAABEACw2SqYFRS4T8AAAAAGAAAAPz8APwAAgAAAAAAAPC/AgAAAAAAAABAAqOSOgFNhPY/AAAAACQAAAD8/AD8AAIAAAAAAADwvwIAAAAAAAAMQALDZKpgVFLhPwAAAAAYAAAA/PwA/AACAAAAAAAA8L8CAAAAAAAA+L8CkzoBTYQN878AAAAAGAAAAPz8APwAAgAAAAAAAPC/AgAAAAAAAPi/AuELk6mCUeE/AAAAABgAAAD8/AD8AAIAAAAAAADwvwIAAAAAAAAEwAKTOgFNhA3zvwAAAAAYAAAA/PwA/AACAAAAAAAA8L8CAAAAAAAABMAC4QuTqYJR4T8AAAAAARIEAAFlBAAAAAAAAAAACAQBZQgMAAAAAAAAAAwEAWUEAAAAAAAAAAAQFAFlBAAAAAAAAAAAFBgBZQQAAAAAAAAAABgAAWUEAAAAAAAAAAAcCAFlBAAAAAAAAAAAIDwBZQQAAAAAAAAAACQMAWUICAAAAAAAAAAoJAFlBAAAAAAAAAAALCQBZQQAAAAAAAAAADAUAWUEAAAAAAAAAAA0FAFlBAAAAAAAAAAAODABZQQAAAAAAAAAADw0AWUEAAAAAAAAAAAQCAFlBAAAAAAAAAAAOCABZQQAAAAAAAAAABwoAWUICAAAAAAAAAAAAAAA</t>
        </r>
      </text>
    </comment>
    <comment ref="A813" authorId="0" shapeId="0" xr:uid="{28E80E23-3978-4935-8CAB-C7BFE14B5CC8}">
      <text>
        <r>
          <rPr>
            <sz val="9"/>
            <color indexed="81"/>
            <rFont val="MS P ゴシック"/>
            <family val="3"/>
            <charset val="128"/>
          </rPr>
          <t>Insight iXlW00001C0000813R0585476093S00001624P01268LAocjBAQBF1NjaVRlZ2ljLmRhdGEuTW9sZWN1bGUBbwF/ARJTY2lUZWdpYy5Nb2xlY3VsZQAAAQFkAv5qAQAAAAIAAgEQHAAAAPz8APwAAgAAAAAAAPC/AgAAAAAAAOI/AlK4HoXrUfE/AAAAABgAAAD8/AD8AAIAAAAAAADwvwIAAAAAAADxPwKDwMqhRbbLPwAAAAAYAAAA/PwA/AACAAAAAAAA8L8CAAAAAAAA4j8CYxBYObTI5L8AAAAAGAAAAPz8APwAAgAAAAAAAPC/AgAAAAAAANy/AmMQWDm0yOS/AAAAABgAAAD8/AD8AAIAAAAAAADwvwIAAAAAAADuvwKDwMqhRbbLPwAAAAAYAAAA/PwA/AACAAAAAAAA8L8CAAAAAACAAEACg8DKoUW2yz8AAAAAGAAAAPz8APwAAgAAAAAAAPC/AgAAAAAAANy/AlK4HoXrUfE/AAAAACAAAAD8/AD8AAIAAAAAAADwvwIAAAAAAIAHwAL7XG3F/rLLPwAAAAAkAAAA/PwA/AACAAAAAAAA8L8CAAAAAACABEACw2SqYFRS8T8AAAAAGAAAAPz8APwAAgAAAAAAAPC/AgAAAAAAAPE/AnNoke18P/i/AAAAABgAAAD8/AD8AAIAAAAAAADwvwIAAAAAAIAAQAJzaJHtfD/4vwAAAAAYAAAA/PwA/AACAAAAAAAA8L8CAAAAAACABEACYxBYObTI5L8AAAAAGAAAAPz8APwAAgAAAAAAAPC/AgAAAAAAAPe/AmMQWDm0yOS/AAAAABgAAAD8/AD8AAIAAAAAAADwvwIAAAAAAAD3vwJSuB6F61HxPwAAAAAYAAAA/PwA/AACAAAAAAAA8L8CAAAAAACAA8ACYxBYObTI5L8AAAAAGAAAAPz8APwAAgAAAAAAAPC/AgAAAAAAgAPAAlK4HoXrUfE/AAAAAAESBAABZQQAAAAAAAAAAAgEAWUIDAAAAAAAAAAMEAFlBAAAAAAAAAAAEBgBZQQAAAAAAAAAABQEAWUEAAAAAAAAAAAYAAFlBAAAAAAAAAAAHDwBZQQAAAAAAAAAACAUAWUEAAAAAAAAAAAkCAFlBAAAAAAAAAAAKCwBZQQAAAAAAAAAACwUAWUICAAAAAAAAAAwEAFlBAAAAAAAAAAANBABZQQAAAAAAAAAADgwAWUEAAAAAAAAAAA8NAFlBAAAAAAAAAAADAgBZQQAAAAAAAAAADgcAWUEAAAAAAAAAAAkKAFlCAgAAAAAAAAAAAAAAA==</t>
        </r>
      </text>
    </comment>
    <comment ref="A814" authorId="0" shapeId="0" xr:uid="{1BC249DC-7DF1-4022-95AF-77BDFC96B832}">
      <text>
        <r>
          <rPr>
            <sz val="9"/>
            <color indexed="81"/>
            <rFont val="MS P ゴシック"/>
            <family val="3"/>
            <charset val="128"/>
          </rPr>
          <t>Insight iXlW00001C0000814R0585476093S00001626P01036LAocjBAQBF1NjaVRlZ2ljLmRhdGEuTW9sZWN1bGUBbwF/ARJTY2lUZWdpYy5Nb2xlY3VsZQAAAQFkAv5qAQAAAAIAAjQYAAAA/PwA/AACAAAAAAAA8L8CC9ejcD0K678C6iYxCKwc4j8AAAAAGAAAAPz8APwAAgAAAAAAAPC/Ap0Rpb3BF+C/AixlGeJYF/g/AAAAABgAAAD8/AD8AAIAAAAAAADwvwKvJeSDns33vwKOBvAWSFD1PwAAAAAYAAAA/PwA/AACAAAAAAAA8L8CXkvIBz2blT8CTDeJQWDlsD8AAAAAGAAAAPz8APwAAgAAAAAAAPC/Aq8l5IOezfe/ApqZmZmZmcm/AAAAABwAAAD8/AD8AAIAAAAAAADwvwJeS8gHPZuVPwIX2c73U+PtvwAAAAAYAAAA/PwA/AACAAAAAAAA8L8C3gIJih9j7D8C6iYxCKwc4j8AAAAAIAAAAPz8APwAAgAAAAAAAPC/Ampv8IXJVPK/AusENBE2PPK/AAAAACAAAAD8/AD8AAIAAAAAAADwvwKAt0CC4scDwAJGJXUCmgibvwAAAAAYAAAA/PwA/AACAAAAAAAA8L8CseHplbIM/D8CTDeJQWDlsD8AAAAAGAAAAPz8APwAAgAAAAAAAPC/At4CCYofY+w/AhvAWyBB8fa/AAAAABgAAAD8/AD8AAIAAAAAAADwvwKx4emVsgz8PwI1gLdAguLtvwAAAAAYAAAA/PwA/AACAAAAAAAA8L8C+aBns+rzBEAC6iYxCKwc4j8AAAAAOAQAAWUEAAAAAAAAAAAIAAFlBAAAAAAAAAAADAABZQQAAAAAAAAAABAAAWUEAAAAAAAAAAAUDAFlCAwAAAAAAAAAGAwBZQQAAAAAAAAAABwQAWUIAAAAAAAAAAAgEAFlBAAAAAAAAAAAJBgBZQgIAAAAAAAAACgUAWUEAAAAAAAAAAAsJAFlBAAAAAAAAAAAMCQBZQQAAAAAAAAAAAQIAWUEAAAAAAAAAAAsKAFlCAgAAAAAAAAAAAAAAA==</t>
        </r>
      </text>
    </comment>
    <comment ref="A815" authorId="0" shapeId="0" xr:uid="{33199896-B25C-4A54-812F-B3DF0A9FF00B}">
      <text>
        <r>
          <rPr>
            <sz val="9"/>
            <color indexed="81"/>
            <rFont val="MS P ゴシック"/>
            <family val="3"/>
            <charset val="128"/>
          </rPr>
          <t>Insight iXlW00001C0000815R0585476093S00001628P01088LAocjBAQBF1NjaVRlZ2ljLmRhdGEuTW9sZWN1bGUBbwF/ARJTY2lUZWdpYy5Nb2xlY3VsZQAAAQFkAv5qAQAAAAIAAjgYAAAA/PwA/AACAAAAAAAA8L8CswxxrIvb8r8CN6s+V1uxr78AAAAAGAAAAPz8APwAAgAAAAAAAPC/AlqGONbFbQHAAjerPldbsa+/AAAAABwAAAD8/AD8AAIAAAAAAADwvwI2zTtO0ZHUPwI3qz5XW7HtvwAAAAAYAAAA/PwA/AACAAAAAAAA8L8ClWWIY13cxr8CN6s+V1uxr78AAAAAIAAAAPz8APwAAgAAAAAAAPC/AlqGONbFbQXAAjerPldbse2/AAAAABgAAAD8/AD8AAIAAAAAAADwvwI2zTtO0ZHUPwKyLm6jAbzpPwAAAAAYAAAA/PwA/AACAAAAAAAA8L8CTvOOU3Qk9T8CN6s+V1ux7b8AAAAAIAAAAPz8APwAAgAAAAAAAPC/AlqGONbFbQXAArIubqMBvOk/AAAAABgAAAD8/AD8AAIAAAAAAADwvwJO845TdCT9PwIVHcnlP6SvvwAAAAAYAAAA/PwA/AACAAAAAAAA8L8CswxxrIvb8r8CWvW52or98L8AAAAAGAAAAPz8APwAAgAAAAAAAPC/ArMMcayL2/K/Ak0VjErqBO4/AAAAABgAAAD8/AD8AAIAAAAAAADwvwJO845TdCT1PwKyLm6jAbzpPwAAAAAgAAAA/PwA/AACAAAAAAAA8L8Cp3nHKTqSBkACFR3J5T+kr78AAAAAGAAAAPz8APwAAgAAAAAAAPC/Aqd5xyk6kgpAArIubqMBvOk/AAAAADgEAAFlBAAAAAAAAAAACAwBZQQAAAAAAAAAAAwAAWUEAAAAAAAAAAAQBAFlCAAAAAAAAAAAFAwBZQgIAAAAAAAAABgIAWUICAAAAAAAAAAcBAFlBAAAAAAAAAAAICwBZQgMAAAAAAAAACQAAWUEAAAAAAAAAAAoAAFlBAAAAAAAAAAALBQBZQQAAAAAAAAAADAgAWUEAAAAAAAAAAA0MAFlBAAAAAAAAAAAIBgBZQQAAAAAAAAAAAAAAAA=</t>
        </r>
      </text>
    </comment>
    <comment ref="A816" authorId="0" shapeId="0" xr:uid="{5089346B-D777-4A4D-95E2-5F1286D7A2F2}">
      <text>
        <r>
          <rPr>
            <sz val="9"/>
            <color indexed="81"/>
            <rFont val="MS P ゴシック"/>
            <family val="3"/>
            <charset val="128"/>
          </rPr>
          <t>Insight iXlW00001C0000816R0585476093S00001630P00996LAocjBAQBF1NjaVRlZ2ljLmRhdGEuTW9sZWN1bGUBbwF/ARJTY2lUZWdpYy5Nb2xlY3VsZQAAAQFkAv5qAQAAAAIAAjQcAAAA/PwA/AACAAAAAAAA8L8AAnP5D+m3r7M/AAAAABgAAAD8/AD8AAIAAAAAAADwvwKDwMqhRbbrPwIv/yH99nXiPwAAAAAYAAAA/PwA/AACAAAAAAAA8L8Cg8DKoUW2+78Cc/kP6bevsz8AAAAAGAAAAPz8APwAAgAAAAAAAPC/AoPAyqFFtvs/AnP5D+m3r7M/AAAAABgAAAD8/AD8AAIAAAAAAADwvwKDwMqhRbbrvwIv/yH99nXiPwAAAAAYAAAA/PwA/AACAAAAAAAA8L8AAtIA3gIJiu2/AAAAABgAAAD8/AD8AAIAAAAAAADwvwKDwMqhRbbrPwJpAG+BBMX2vwAAAAAgAAAA/PwA/AACAAAAAAAA8L8Cg8DKoUW26z8Cl/+Qfvs6+T8AAAAAGAAAAPz8APwAAgAAAAAAAPC/AvRsVn2utvs/AtIA3gIJiu2/AAAAACQAAAD8/AD8AAIAAAAAAADwvwKDwMqhRbbzvwJVwaikTkDpvwAAAAAkAAAA/PwA/AACAAAAAAAA8L8Cm+Ydp+jIBMACpAG8BRIU278AAAAAJAAAAPz8APwAAgAAAAAAAPC/AkJg5dAi2wHAApQYBFYOLe4/AAAAABwAAAD8/AD8AAIAAAAAAADwvwKb5h2n6MgEQAIv/yH99nXiPwAAAAA0BAABZQQAAAAAAAAAAAgQAWUEAAAAAAAAAAAMBAFlBAAAAAAAAAAAEAABZQQAAAAAAAAAABQAAWUEAAAAAAAAAAAYFAFlCAgAAAAAAAAAHAQBZQgAAAAAAAAAACAYAWUEAAAAAAAAAAAkCAFlBAAAAAAAAAAAKAgBZQQAAAAAAAAAACwIAWUEAAAAAAAAAAAwDAFlBAAAAAAAAAAADCABZQgIAAAAAAAAAAAAAAA=</t>
        </r>
      </text>
    </comment>
    <comment ref="A817" authorId="0" shapeId="0" xr:uid="{66997ACD-BB42-4085-B06C-99C1C302C21D}">
      <text>
        <r>
          <rPr>
            <sz val="9"/>
            <color indexed="81"/>
            <rFont val="MS P ゴシック"/>
            <family val="3"/>
            <charset val="128"/>
          </rPr>
          <t>Insight iXlW00001C0000817R0585476093S00001632P01160LAocjBAQBF1NjaVRlZ2ljLmRhdGEuTW9sZWN1bGUBbwF/ARJTY2lUZWdpYy5Nb2xlY3VsZQAAAQFkAv5qAQAAAAIAAjwYAAAA/PwA/AACAAAAAAAA8L8CArwFEhQ/9T8C0m9fB84Zob8AAAAAGAAAAPz8APwAAgAAAAAAAPC/AgFvgQTFj90/AgYSFD/G3N0/AAAAABwAAAD8/AD8AAIAAAAAAADwvwIGEhQ/xtzZvwKx4emVsgyhvwAAAAAYAAAA/PwA/AACAAAAAAAA8L8CIo51cRuNAUACysNCrWne3T8AAAAAGAAAAPz8APwAAgAAAAAAAPC/Aru4jQbwFgHAArHh6ZWyDKG/AAAAABgAAAD8/AD8AAIAAAAAAADwvwI0ETY8vVL0vwLKw0Ktad7dPwAAAAAYAAAA/PwA/AACAAAAAAAA8L8CArwFEhQ/9T8CDk+vlGWI8L8AAAAAGAAAAPz8APwAAgAAAAAAAPC/AgYSFD/G3Nm/Ag5Pr5RliPC/AAAAACAAAAD8/AD8AAIAAAAAAADwvwIBb4EExY/dPwKCBMWPMXf3PwAAAAAYAAAA/PwA/AACAAAAAAAA8L8CAW+BBMWP3T8CDk+vlGWI+L8AAAAAIAAAAPz8APwAAgAAAAAAAPC/AiKOdXEbjQFAAvOwUGuad/c/AAAAACQAAAD8/AD8AAIAAAAAAADwvwJ2cRsN4C36vwKBt0CC4sfsvwAAAAAkAAAA/PwA/AACAAAAAAAA8L8C3GgAb4EECMACG55eKcsQ4b8AAAAAJAAAAPz8APwAAgAAAAAAAPC/Aru4jQbwFgXAAmgibHh6peo/AAAAACAAAAD8/AD8AAIAAAAAAADwvwJDPujZrHoIQAKx4emVsgyhvwAAAAA8BAABZQQAAAAAAAAAAAgEAWUEAAAAAAAAAAAMAAFlBAAAAAAAAAAAEBQBZQQAAAAAAAAAABQIAWUEAAAAAAAAAAAYAAFlCAgAAAAAAAAAHCQBZQgIAAAAAAAAACAEAWUIAAAAAAAAAAAkGAFlBAAAAAAAAAAAKAwBZQgAAAAAAAAAACwQAWUEAAAAAAAAAAAwEAFlBAAAAAAAAAAANBABZQQAAAAAAAAAADgMAWUEAAAAAAAAAAAcCAFlBAAAAAAAAAAAAAAAAA==</t>
        </r>
      </text>
    </comment>
    <comment ref="A818" authorId="0" shapeId="0" xr:uid="{CF82E4D9-C9DC-4ECF-9795-DD83F86A333A}">
      <text>
        <r>
          <rPr>
            <sz val="9"/>
            <color indexed="81"/>
            <rFont val="MS P ゴシック"/>
            <family val="3"/>
            <charset val="128"/>
          </rPr>
          <t>Insight iXlW00001C0000818R0585476093S00001634P00984LAocjBAQBF1NjaVRlZ2ljLmRhdGEuTW9sZWN1bGUBbwF/ARJTY2lUZWdpYy5Nb2xlY3VsZQAAAQFkAv5qAQAAAAIAAjQYAAAA/PwA/AACAAAAAAAA8L8AAjerPldbsdM/AAAAABgAAAD8/AD8AAIAAAAAAADwvwKDwMqhRbbrPwKTqYJRSZ3IvwAAAAAcAAAA/PwA/AACAAAAAAAA8L8Cg8DKoUW2678Ck6mCUUmdyL8AAAAAGAAAAPz8APwAAgAAAAAAAPC/AoPAyqFFtvs/AjerPldbsdM/AAAAABgAAAD8/AD8AAIAAAAAAADwvwKDwMqhRbbrPwIzVTAqqRPzvwAAAAAYAAAA/PwA/AACAAAAAAAA8L8Cg8DKoUW2678CM1UwKqkT878AAAAAIAAAAPz8APwAAgAAAAAAAPC/AALOqs/VVuz0PwAAAAAYAAAA/PwA/AACAAAAAAAA8L8AAjNVMCqpE/u/AAAAACAAAAD8/AD8AAIAAAAAAADwvwKDwMqhRbb7PwLOqs/VVuz0PwAAAAAYAAAA/PwA/AACAAAAAAAA8L8Cg8DKoUW2+78CN6s+V1ux0z8AAAAAIAAAAPz8APwAAgAAAAAAAPC/ApvmHafoyARAApOpglFJnci/AAAAABgAAAD8/AD8AAIAAAAAAADwvwKb5h2n6MgEwAKTqYJRSZ3IvwAAAAAYAAAA/PwA/AACAAAAAAAA8L8Cg8DKoUW2+78CzqrP1Vbs9D8AAAAANAQAAWUEAAAAAAAAAAAIAAFlBAAAAAAAAAAADAQBZQQAAAAAAAAAABAEAWUICAAAAAAAAAAUCAFlBAAAAAAAAAAAGAABZQgAAAAAAAAAABwUAWUICAAAAAAAAAAgDAFlCAAAAAAAAAAAJAgBZQQAAAAAAAAAACgMAWUEAAAAAAAAAAAsJAFlBAAAAAAAAAAAMCQBZQQAAAAAAAAAABAcAWUEAAAAAAAAAAAAAAAA</t>
        </r>
      </text>
    </comment>
    <comment ref="A819" authorId="0" shapeId="0" xr:uid="{B32DFF40-BB2A-432C-BAFD-CDF805113428}">
      <text>
        <r>
          <rPr>
            <sz val="9"/>
            <color indexed="81"/>
            <rFont val="MS P ゴシック"/>
            <family val="3"/>
            <charset val="128"/>
          </rPr>
          <t>Insight iXlW00001C0000819R0585476093S00001636P01072LAocjBAQBF1NjaVRlZ2ljLmRhdGEuTW9sZWN1bGUBbwF/ARJTY2lUZWdpYy5Nb2xlY3VsZQAAAQFkAv5qAQAAAAIAAjgYAAAA/PwA/AACAAAAAAAA8L8CnFWfq63YBcACH4XrUbge8j8AAAAAIAAAAPz8APwAAgAAAAAAAPC/AjerPldbsfu/Ah+F61G4HvI/AAAAABgAAAD8/AD8AAIAAAAAAADwvwLG/rJ78rDzvwJ1kxgEVg7RPwAAAAAYAAAA/PwA/AACAAAAAAAA8L8Cxv6ye/Kw+78Cq8/VVuwv478AAAAAGAAAAPz8APwAAgAAAAAAAPC/AjerPldbsfO/AhdIUPwYc/e/AAAAABgAAAD8/AD8AAIAAAAAAADwvwK0WfW52orNvwIXSFD8GHP3vwAAAAAYAAAA/PwA/AACAAAAAAAA8L8CJlMFo5I60T8CyXa+nxov478AAAAAGAAAAPz8APwAAgAAAAAAAPC/AspUwaikTvQ/Asl2vp8aL+O/AAAAABgAAAD8/AD8AAIAAAAAAADwvwLKVMGopE78PwJ1kxgEVg7RPwAAAAAYAAAA/PwA/AACAAAAAAAA8L8CEOm3rwPn7D8Cu0kMAiuH6D8AAAAAGAAAAPz8APwAAgAAAAAAAPC/AmWqYFRSJwJAAh+F61G4HvI/AAAAABwAAAD8/AD8AAIAAAAAAADwvwKGWtO84xQFQAIX2c73U+PNvwAAAAAYAAAA/PwA/AACAAAAAAAA8L8CtFn1udqKzb8CdZMYBFYO0T8AAAAAAREAAAD8/AD8AAIAAAAAAADwvwLswDkjSnsLQAIdWmQ730/FvwAAAAA0AAQBZQQAAAAAAAAAAAQIAWUEAAAAAAAAAAAIDAFlCAwAAAAAAAAADBABZQQAAAAAAAAAABAUAWUICAAAAAAAAAAUGAFlBAAAAAAAAAAAGBwBZQQAAAAAAAAAABwgAWUEAAAAAAAAAAAgJAFlBAAAAAAAAAAAICgBZQQAAAAAAAAAACAsAWUEAAAAAAAAAAAYMAFlCAgAAAAAAAAAMAgBZQQAAAAAAAAAAAAAAAA=</t>
        </r>
      </text>
    </comment>
    <comment ref="A820" authorId="0" shapeId="0" xr:uid="{E2B983AC-83E6-45EC-9073-C65A3906CA19}">
      <text>
        <r>
          <rPr>
            <sz val="9"/>
            <color indexed="81"/>
            <rFont val="MS P ゴシック"/>
            <family val="3"/>
            <charset val="128"/>
          </rPr>
          <t>Insight iXlW00001C0000820R0585476093S00001638P01088LAocjBAQBF1NjaVRlZ2ljLmRhdGEuTW9sZWN1bGUBbwF/ARJTY2lUZWdpYy5Nb2xlY3VsZQAAAQFkAv5qAQAAAAIAAjgYAAAA/PwA/AACAAAAAAAA8L8CPSzUmuYdBsACoBov3SQG8j8AAAAAIAAAAPz8APwAAgAAAAAAAPC/AnpYqDXNO/y/AqAaL90kBvI/AAAAABgAAAD8/AD8AAIAAAAAAADwvwJ6WKg1zTv0vwJ56SYxCKzQPwAAAAAYAAAA/PwA/AACAAAAAAAA8L8CelioNc07/L8Cx0s3iUFg478AAAAAGAAAAPz8APwAAgAAAAAAAPC/AnpYqDXNO/S/AiUGgZVDi/e/AAAAABgAAAD8/AD8AAIAAAAAAADwvwLlYaHWNO/QvwIlBoGVQ4v3vwAAAAAYAAAA/PwA/AACAAAAAAAA8L8CNjy9UpYhzj8Cx0s3iUFg478AAAAAGAAAAPz8APwAAgAAAAAAAPC/AoenV8oyxPM/AsdLN4lBYOO/AAAAABgAAAD8/AD8AAIAAAAAAADwvwKHp1fKMsT7PwJ56SYxCKzQPwAAAAAcAAAA/PwA/AACAAAAAAAA8L8CvsEXJlMF7z8C8kHPZtXn7D8AAAAAGAAAAPz8APwAAgAAAAAAAPC/Ap88LNSaZgVAAne+nxov3bS/AAAAABgAAAD8/AD8AAIAAAAAAADwvwIYt9EA3gIEQALyQc9m1efsPwAAAAAYAAAA/PwA/AACAAAAAAAA8L8C5WGh1jTv0L8CeekmMQis0D8AAAAAAREAAAD8/AD8AAIAAAAAAADwvwIGo5I6Ac0LQAIVrkfhehTGvwAAAAA4AAQBZQQAAAAAAAAAAAQIAWUEAAAAAAAAAAAIDAFlCAwAAAAAAAAADBABZQQAAAAAAAAAABAUAWUICAAAAAAAAAAUGAFlBAAAAAAAAAAAGBwBZQQAAAAAAAAAABwgAWUEAAAAAAAAAAAgJAFlBAAAAAAAAAAAICgBZQQAAAAAAAAAACgsAWUEAAAAAAAAAAAsIAFlBAAAAAAAAAAAGDABZQgIAAAAAAAAADAIAWUEAAAAAAAAAAAAAAAA</t>
        </r>
      </text>
    </comment>
    <comment ref="A821" authorId="0" shapeId="0" xr:uid="{62F26304-71EE-4D3D-A047-79AD10A44A50}">
      <text>
        <r>
          <rPr>
            <sz val="9"/>
            <color indexed="81"/>
            <rFont val="MS P ゴシック"/>
            <family val="3"/>
            <charset val="128"/>
          </rPr>
          <t>Insight iXlW00001C0000821R0585476093S00001640P01160LAocjBAQBF1NjaVRlZ2ljLmRhdGEuTW9sZWN1bGUBbwF/ARJTY2lUZWdpYy5Nb2xlY3VsZQAAAQFkAv5qAQAAAAIAAjwYAAAA/PwA/AACAAAAAAAA8L8CfIMvTKaKA0ACx7q4jQbw9L8AAAAAGAAAAPz8APwAAgAAAAAAAPC/AjzfT42Xbvc/ArFQa5p3nPG/AAAAABgAAAD8/AD8AAIAAAAAAADwvwL5oGez6nPpPwI51sVtNID9vwAAAAAYAAAA/PwA/AACAAAAAAAA8L8CsHJoke188j8CEqW9wRcmw78AAAAAHAAAAPz8APwAAgAAAAAAAPC/AmrecYqO5Ps/AtJvXwfOGeU/AAAAABwAAAD8/AD8AAIAAAAAAADwvwKwcmiR7XzyPwJ1JJf/kH73PwAAAAAYAAAA/PwA/AACAAAAAAAA8L8CC7Wmeccpyj8C6bevA+eM8j8AAAAAGAAAAPz8APwAAgAAAAAAAPC/AkETYcPTK+W/Aum3rwPnjPo/AAAAABgAAAD8/AD8AAIAAAAAAADwvwLi6ZWyDHH4vwLpt68D54zyPwAAAAAYAAAA/PwA/AACAAAAAAAA8L8C4umVsgxx+L8CSb99HThnxD8AAAAAGAAAAPz8APwAAgAAAAAAAPC/AhKlvcEXJgPAAlwgQfFjzNW/AAAAABwAAAD8/AD8AAIAAAAAAADwvwISpb3BFyYDwAIXSFD8GHP1vwAAAAAYAAAA/PwA/AACAAAAAAAA8L8CQRNhw9Mr5b8CXCBB8WPM1b8AAAAAHAAAAPz8APwAAgAAAAAAAPC/Agu1pnnHKco/Akm/fR04Z8Q/AAAAAAERAAAA/PwA/AACAAAAAAAA8L8C4umVsgzxCUACfPKwUGuat78AAAAAPAAEAWUEAAAAAAAAAAAECAFlBAAAAAAAAAAABAwBZQQAAAAAAAAAAAwQAWUIDAAAAAAAAAAQFAFlBAAAAAAAAAAAFBgBZQgMAAAAAAAAABgcAWUEAAAAAAAAAAAcIAFlCAgAAAAAAAAAICQBZQQAAAAAAAAAACQoAWUEAAAAAAAAAAAoLAFlBAAAAAAAAAAAJDABZQgIAAAAAAAAADA0AWUEAAAAAAAAAAA0DAFlBAAAAAAAAAAANBgBZQQAAAAAAAAAAAAAAAA=</t>
        </r>
      </text>
    </comment>
    <comment ref="A822" authorId="0" shapeId="0" xr:uid="{482E0DCF-E2C1-476E-971B-33BBE9D4BAB7}">
      <text>
        <r>
          <rPr>
            <sz val="9"/>
            <color indexed="81"/>
            <rFont val="MS P ゴシック"/>
            <family val="3"/>
            <charset val="128"/>
          </rPr>
          <t>Insight iXlW00001C0000822R0585476093S00001642P01252LAocjBAQBF1NjaVRlZ2ljLmRhdGEuTW9sZWN1bGUBbwF/ARJTY2lUZWdpYy5Nb2xlY3VsZQAAAQFkAv5qAQAAAAIAAgEQGAAAAPz8APwAAgAAAAAAAPC/AjerPldbsds/AhPyQc9m1dc/AAAAABgAAAD8/AD8AAIAAAAAAADwvwJq3nGKjuTKvwJR2ht8YTLZvwAAAAAYAAAA/PwA/AACAAAAAAAA8L8CaZHtfD818T8CUdobfGEy2b8AAAAAGAAAAPz8APwAAgAAAAAAAPC/Aq7YX3ZPHvO/Ailcj8L1KMy/AAAAACAAAAD8/AD8AAIAAAAAAADwvwIll/+QfnsAQAIpXI/C9SjMvwAAAAAgAAAA/PwA/AACAAAAAAAA8L8CN6s+V1ux2z8CQz7o2az6AkAAAAAAIAAAAPz8APwAAgAAAAAAAPC/AobrUbgehe0/Anl6pSxDHPa/AAAAAAERAAAA/PwA/AACAAAAAAAA8L8C9I5TdCSX+L8CZMxdS8gH5z8AAAAAGAAAAPz8APwAAgAAAAAAAPC/AtDVVuwvu9u/Agr5oGez6us/AAAAABgAAAD8/AD8AAIAAAAAAADwvwIPC7Wmecf0PwIK+aBns+rrPwAAAAAYAAAA/PwA/AACAAAAAAAA8L8CxNMrZRniwD8C2xt8YTJV9b8AAAAAGAAAAPz8APwAAgAAAAAAAPC/AtDVVuwvu9u/AoV80LNZ9f0/AAAAABgAAAD8/AD8AAIAAAAAAADwvwIPC7Wmecf0PwKFfNCzWfX9PwAAAAAYAAAA/PwA/AACAAAAAAAA8L8CSb99HThn/b8CPb1SliGO778AAAAAGAAAAPz8APwAAgAAAAAAAPC/AkXY8PRKWeC/AnrHKTqSywDAAAAAABgAAAD8/AD8AAIAAAAAAADwvwIDCYofY+73vwJWMCqpE9D+vwAAAAABEQQAAWUEAAAAAAAAAAAIAAFlBAAAAAAAAAAADAQBZQQAAAAAAAAAABAIAWUIAAAAAAAAAAAUMAFlBAAAAAAAAAAAGAgBZQQAAAAAAAAAABwMAWUEAAAAAAAAAAAgAAFlBAAAAAAAAAAAJAABZQQAAAAAAAAAACgEAWUIDAAAAAAAAAAsIAFlBAAAAAAAAAAAMCQBZQQAAAAAAAAAADQMAWUICAAAAAAAAAA4KAFlBAAAAAAAAAAAPDgBZQgIAAAAAAAAACwUAWUEAAAAAAAAAAA0PAFlBAAAAAAAAAAAAAAAAA==</t>
        </r>
      </text>
    </comment>
    <comment ref="A823" authorId="0" shapeId="0" xr:uid="{BA2F66CD-5460-451A-B842-4A3B98126C5E}">
      <text>
        <r>
          <rPr>
            <sz val="9"/>
            <color indexed="81"/>
            <rFont val="MS P ゴシック"/>
            <family val="3"/>
            <charset val="128"/>
          </rPr>
          <t>Insight iXlW00001C0000823R0585476093S00001644P01088LAocjBAQBF1NjaVRlZ2ljLmRhdGEuTW9sZWN1bGUBbwF/ARJTY2lUZWdpYy5Nb2xlY3VsZQAAAQFkAv5qAQAAAAIAAjgYAAAA/PwA/AACAAAAAAAA8L8COIlBYOXQ8T8CyzLEsS5uyz8AAAAAGAAAAPz8APwAAgAAAAAAAPC/AnnpJjEIrP8/ApvmHafoSNK/AAAAABgAAAD8/AD8AAIAAAAAAADwvwIm5IOezarPPwKzDHGsi9vmPwAAAAAYAAAA/PwA/AACAAAAAAAA8L8CescpOpLL478CyzLEsS5uyz8AAAAAIAAAAPz8APwAAgAAAAAAAPC/At0kBoGVwwZAAssyxLEubss/AAAAABgAAAD8/AD8AAIAAAAAAADwvwL/Q/rt68D3vwKzDHGsi9vmPwAAAAAgAAAA/PwA/AACAAAAAAAA8L8CeekmMQis/z8Cp3nHKTqS9L8AAAAAJAAAAPz8APwAAgAAAAAAAPC/Av9D+u3rwPe/AlqGONbFbfs/AAAAABgAAAD8/AD8AAIAAAAAAADwvwI4iUFg5dD5PwKb5h2n6EjxPwAAAAAYAAAA/PwA/AACAAAAAAAA8L8CbxKDwMqh4z8C0bNZ9bna5L8AAAAAGAAAAPz8APwAAgAAAAAAAPC/AnrHKTqSy+O/Ak7zjlN0JOm/AAAAABgAAAD8/AD8AAIAAAAAAADwvwIg0m9fB84CwALLMsSxLm7LPwAAAAAYAAAA/PwA/AACAAAAAAAA8L8C/0P67evA978Cp3nHKTqS9L8AAAAAGAAAAPz8APwAAgAAAAAAAPC/AiDSb18HzgLAAk7zjlN0JOm/AAAAADgEAAFlBAAAAAAAAAAACAABZQQAAAAAAAAAAAwIAWUEAAAAAAAAAAAQBAFlCAAAAAAAAAAAFAwBZQQAAAAAAAAAABgEAWUEAAAAAAAAAAAcFAFlBAAAAAAAAAAAIAABZQQAAAAAAAAAACQAAWUEAAAAAAAAAAAoDAFlCAwAAAAAAAAALBQBZQgIAAAAAAAAADAoAWUEAAAAAAAAAAA0MAFlCAgAAAAAAAAALDQBZQQAAAAAAAAAAAAAAAA=</t>
        </r>
      </text>
    </comment>
    <comment ref="A824" authorId="0" shapeId="0" xr:uid="{68433E93-8274-4A7A-878D-C3EBC4694965}">
      <text>
        <r>
          <rPr>
            <sz val="9"/>
            <color indexed="81"/>
            <rFont val="MS P ゴシック"/>
            <family val="3"/>
            <charset val="128"/>
          </rPr>
          <t>Insight iXlW00001C0000824R0585476093S00001646P01160LAocjBAQBF1NjaVRlZ2ljLmRhdGEuTW9sZWN1bGUBbwF/ARJTY2lUZWdpYy5Nb2xlY3VsZQAAAQFkAv5qAQAAAAIAAjwYAAAA/PwA/AACAAAAAAAA8L8Cj+TyH9LvAsACseHplbIMob8AAAAAGAAAAPz8APwAAgAAAAAAAPC/AtxoAG+BBPi/AsrDQq1p3t0/AAAAABgAAAD8/AD8AAIAAAAAAADwvwI0ETY8vVLkvwLlYaHWNO/uPwAAAAAgAAAA/PwA/AACAAAAAAAA8L8Cj+TyH9LvAsACDk+vlGWI8L8AAAAAGAAAAPz8APwAAgAAAAAAAPC/Aj29UpYhjs0/AgYSFD/G3N0/AAAAACAAAAD8/AD8AAIAAAAAAADwvwLoaiv2l90JwALKw0Ktad7dPwAAAAAYAAAA/PwA/AACAAAAAAAA8L8CnMQgsHJo/z8CG55eKcsQ4b8AAAAAGAAAAPz8APwAAgAAAAAAAPC/Aj29UpYhjs0/AhueXinLEOG/AAAAABgAAAD8/AD8AAIAAAAAAADwvwJaZDvfT43xPwIDCYofY+7uPwAAAAAYAAAA/PwA/AACAAAAAAAA8L8CnMQgsHJo/z8CysNCrWne3T8AAAAAGAAAAPz8APwAAgAAAAAAAPC/AlpkO99PjfE/Ag5Pr5RliPC/AAAAACAAAAD8/AD8AAIAAAAAAADwvwJvEoPAyqEGQAIOT6+UZYjwvwAAAAAYAAAA/PwA/AACAAAAAAAA8L8C3GgAb4EE8L8CAW+BBMWP2b8AAAAAGAAAAPz8APwAAgAAAAAAAPC/Am40gLdAAgDAAjQRNjy9UvU/AAAAABgAAAD8/AD8AAIAAAAAAADwvwKQwvUoXI8NQAIbnl4pyxDhvwAAAAA8BAABZQQAAAAAAAAAAAgEAWUEAAAAAAAAAAAMAAFlCAAAAAAAAAAAEAgBZQQAAAAAAAAAABQAAWUEAAAAAAAAAAAYJAFlCAwAAAAAAAAAHBABZQQAAAAAAAAAACAQAWUIDAAAAAAAAAAkIAFlBAAAAAAAAAAAKBwBZQgIAAAAAAAAACwYAWUEAAAAAAAAAAAwBAFlBAAAAAAAAAAANAQBZQQAAAAAAAAAADgsAWUEAAAAAAAAAAAoGAFlBAAAAAAAAAAAAAAAAA==</t>
        </r>
      </text>
    </comment>
    <comment ref="A825" authorId="0" shapeId="0" xr:uid="{DFDE76E7-FBCC-49C9-95C6-4AA1E28B2D28}">
      <text>
        <r>
          <rPr>
            <sz val="9"/>
            <color indexed="81"/>
            <rFont val="MS P ゴシック"/>
            <family val="3"/>
            <charset val="128"/>
          </rPr>
          <t>Insight iXlW00001C0000825R0585476093S00001648P01324LAocjBAQBF1NjaVRlZ2ljLmRhdGEuTW9sZWN1bGUBbwF/ARJTY2lUZWdpYy5Nb2xlY3VsZQAAAQFkAv5qAQAAAAIAAgERGAAAAPz8APwAAgAAAAAAAPC/AuQUHcnlP/G/AsTTK2UZ4pg/AAAAABgAAAD8/AD8AAIAAAAAAADwvwJ/+zpwzoj7vwKyLm6jAbznvwAAAAAYAAAA/PwA/AACAAAAAAAA8L8CJLn8h/Tb278Csi5uowG8578AAAAAIAAAAPz8APwAAgAAAAAAAPC/AjlFR3L5D/a/AhDpt68D5/q/AAAAACAAAAD8/AD8AAIAAAAAAADwvwLkFB3J5T/xvwKoV8oyxDEAQAAAAAAYAAAA/PwA/AACAAAAAAAA8L8CL90kBoGV4T8ClBgEVg4t4r8AAAAAIAAAAPz8APwAAgAAAAAAAPC/AjBMpgpGpQXAApQYBFYOLeK/AAAAABgAAAD8/AD8AAIAAAAAAADwvwIt1JrmHScEQALkFB3J5T/MvwAAAAABEQAAAPz8APwAAgAAAAAAAPC/Ap2iI7n8BwxAAsx/SL99Hai/AAAAABgAAAD8/AD8AAIAAAAAAADwvwIzVTAqqRPzPwJjf9k9eVj1vwAAAAAYAAAA/PwA/AACAAAAAAAA8L8Cu0kMAiuH7D8CthX7y+7J1z8AAAAAGAAAAPz8APwAAgAAAAAAAPC/Ar7BFyZTBf4/AhdIUPwYc+E/AAAAABgAAAD8/AD8AAIAAAAAAADwvwLRItv5fmoBQAJUdCSX/5DyvwAAAAAYAAAA/PwA/AACAAAAAAAA8L8CEqW9wRcmy78Cnl4pyxDH4D8AAAAAGAAAAPz8APwAAgAAAAAAAPC/AiZ1ApoIG/+/Ap5eKcsQx+A/AAAAABgAAAD8/AD8AAIAAAAAAADwvwImdQKaCBv/vwJPr5RliGP4PwAAAAAYAAAA/PwA/AACAAAAAAAA8L8CEqW9wRcmy78CT6+UZYhj+D8AAAAAARIEAAFlBAAAAAAAAAAACAABZQQAAAAAAAAAAAwEAWUIAAAAAAAAAAAQPAFlBAAAAAAAAAAAFAgBZQQAAAAAAAAAABgEAWUEAAAAAAAAAAAcLAFlBAAAAAAAAAAAIBwBZQQAAAAAAAAAACQUAWUIDAAAAAAAAAAoFAFlBAAAAAAAAAAALCgBZQgIAAAAAAAAADAkAWUEAAAAAAAAAAA0AAFlBAAAAAAAAAAAOAABZQQAAAAAAAAAADw4AWUEAAAAAAAAAAABEDQBZQQAAAAAAAAAAAEQEAFlBAAAAAAAAAAAMBwBZQgIAAAAAAAAAAAAAAA=</t>
        </r>
      </text>
    </comment>
    <comment ref="A826" authorId="0" shapeId="0" xr:uid="{D1E2DF61-0DE3-4B65-BE5D-C1BD0B5037E9}">
      <text>
        <r>
          <rPr>
            <sz val="9"/>
            <color indexed="81"/>
            <rFont val="MS P ゴシック"/>
            <family val="3"/>
            <charset val="128"/>
          </rPr>
          <t>Insight iXlW00001C0000826R0585476093S00001650P01104LAocjBAQBF1NjaVRlZ2ljLmRhdGEuTW9sZWN1bGUBbwF/ARJTY2lUZWdpYy5Nb2xlY3VsZQAAAQFkAv5qAQAAAAIAAjgYAAAA/PwA/AACAAAAAAAA8L8CzTtO0ZFc9b8CzqrP1Vbsvz8AAAAAGAAAAPz8APwAAgAAAAAAAPC/At1GA3gLJPi/Ao6XbhKDwPE/AAAAABgAAAD8/AD8AAIAAAAAAADwvwLChqdXyjICwAKPdXEbDeDdPwAAAAAYAAAA/PwA/AACAAAAAAAA8L8C3UYDeAsk+L8CaERpb/CF678AAAAAGAAAAPz8APwAAgAAAAAAAPC/AjXvOEVHctW/As6qz9VW7L8/AAAAABwAAAD8/AD8AAIAAAAAAADwvwIOvjCZKhjFPwIqyxDHurjnvwAAAAAgAAAA/PwA/AACAAAAAAAA8L8Ch6dXyjLE578Cz4jS3uAL+L8AAAAAGAAAAPz8APwAAgAAAAAAAPC/ApchjnVxG8U/Ar8OnDOitO8/AAAAABgAAAD8/AD8AAIAAAAAAADwvwLCFyZTBaPyPwIqyxDHurjnvwAAAAAgAAAA/PwA/AACAAAAAAAA8L8CSgwCK4eWA8ACelioNc07878AAAAAGAAAAPz8APwAAgAAAAAAAPC/AsIXJlMFo/o/At9xio7k8r8/AAAAABgAAAD8/AD8AAIAAAAAAADwvwLCFyZTBaPyPwK/DpwzorTvPwAAAAAgAAAA/PwA/AACAAAAAAAA8L8C4QuTqYJRBUAC33GKjuTyvz8AAAAAGAAAAPz8APwAAgAAAAAAAPC/AuELk6mCUQlAAr8OnDOitO8/AAAAADwEAAFlBAAAAAAAAAAACAABZQQAAAAAAAAAAAwAAWUEAAAAAAAAAAAQAAFlBAAAAAAAAAAAFBABZQQAAAAAAAAAABgMAWUIAAAAAAAAAAAcEAFlCAwAAAAAAAAAIBQBZQgIAAAAAAAAACQMAWUEAAAAAAAAAAAoLAFlCAwAAAAAAAAALBwBZQQAAAAAAAAAADAoAWUEAAAAAAAAAAA0MAFlBAAAAAAAAAAABAgBZQQAAAAAAAAAACggAWUEAAAAAAAAAAAAAAAA</t>
        </r>
      </text>
    </comment>
    <comment ref="A827" authorId="0" shapeId="0" xr:uid="{B4A400D6-8197-4730-A288-08E231C467BE}">
      <text>
        <r>
          <rPr>
            <sz val="9"/>
            <color indexed="81"/>
            <rFont val="MS P ゴシック"/>
            <family val="3"/>
            <charset val="128"/>
          </rPr>
          <t>Insight iXlW00001C0000827R0585476093S00001652P01396LAocjBAQBF1NjaVRlZ2ljLmRhdGEuTW9sZWN1bGUBbwF/ARJTY2lUZWdpYy5Nb2xlY3VsZQAAAQFkAv5qAQAAAAIAAgESJAAAAPz8APwAAgAAAAAAAPC/Av2H9NvXAQZAAq7YX3ZPHt6/AAAAABgAAAD8/AD8AAIAAAAAAADwvwK4rwPnjCj+PwJX7C+7Jw/vvwAAAAAYAAAA/PwA/AACAAAAAAAA8L8CuK8D54wo/j8CLPaX3ZOH/78AAAAAGAAAAPz8APwAAgAAAAAAAPC/AndPHhZqTfA/Ahb7y+7JwwPAAAAAABgAAAD8/AD8AAIAAAAAAADwvwKneccpOpLDPwIs9pfdk4f/vwAAAAAYAAAA/PwA/AACAAAAAAAA8L8Cp3nHKTqSwz8CV+wvuycP778AAAAAGAAAAPz8APwAAgAAAAAAAPC/Avw6cM6I0ua/Aq7YX3ZPHt6/AAAAABgAAAD8/AD8AAIAAAAAAADwvwL8OnDOiNLmvwKpE9BE2PDgPwAAAAAYAAAA/PwA/AACAAAAAAAA8L8CwH0dOGdE+b8CJnUCmggbnj8AAAAAGAAAAPz8APwAAgAAAAAAAPC/AgFvgQTFjwPAAqkT0ETY8OA/AAAAABwAAAD8/AD8AAIAAAAAAADwvwI5RUdy+Y8DwALVCWgibHj4PwAAAAAYAAAA/PwA/AACAAAAAAAA8L8CMSqpE9BE+b8C6wQ0ETY8AEAAAAAAGAAAAPz8APwAAgAAAAAAAPC/Avw6cM6I0ua/AtUJaCJsePg/AAAAABgAAAD8/AD8AAIAAAAAAADwvwIfFmpN847DPwLVCWgibHjwPwAAAAAgAAAA/PwA/AACAAAAAAAA8L8CHxZqTfOOwz8C6wQ0ETY8AEAAAAAAHAAAAPz8APwAAgAAAAAAAPC/AgajkjoBTfA/AqkT0ETY8OA/AAAAABgAAAD8/AD8AAIAAAAAAADwvwJ3Tx4Wak3wPwKu2F92Tx7evwAAAAABEQAAAPz8APwAAgAAAAAAAPC/AmTuWkI+aAxAAlyxv+yePMy/AAAAAAETAAQBZQQAAAAAAAAAAAQIAWUEAAAAAAAAAAAIDAFlCAgAAAAAAAAADBABZQQAAAAAAAAAABAUAWUIDAAAAAAAAAAUGAFlBAAAAAAAAAAAGBwBZQQAAAAAAAAAABwgAWUEAAAAAAAAAAAgJAFlBAAAAAAAAAAAJCgBZQQAAAAAAAAAACgsAWUEAAAAAAAAAAAsMAFlBAAAAAAAAAAAMBwBZQQAAAAAAAAAABw0AWUEAAAAAAAAAAA0OAFlCAAAAAAAAAAANDwBZQQAAAAAAAAAADwBEAFlBAAAAAAAAAAAARAEAWUICAAAAAAAAAABEBQBZQQAAAAAAAAAAAAAAAA=</t>
        </r>
      </text>
    </comment>
    <comment ref="A828" authorId="0" shapeId="0" xr:uid="{54B6899C-F7C1-4DF3-9C1C-0AD9D4B52C46}">
      <text>
        <r>
          <rPr>
            <sz val="9"/>
            <color indexed="81"/>
            <rFont val="MS P ゴシック"/>
            <family val="3"/>
            <charset val="128"/>
          </rPr>
          <t>Insight iXlW00001C0000828R0585476093S00001654P01104LAocjBAQBF1NjaVRlZ2ljLmRhdGEuTW9sZWN1bGUBbwF/ARJTY2lUZWdpYy5Nb2xlY3VsZQAAAQFkAv5qAQAAAAIAAjgcAAAA/PwA/AACAAAAAAAA8L8Cj1N0JJf/kL8CN6s+V1uxr78AAAAAGAAAAPz8APwAAgAAAAAAAPC/Aucdp+hILus/ArTqc7UV++G/AAAAABgAAAD8/AD8AAIAAAAAAADwvwIgY+5aQj7svwK06nO1FfvhvwAAAAAYAAAA/PwA/AACAAAAAAAA8L8CppvEILBy+z8CN6s+V1uxr78AAAAAGAAAAPz8APwAAgAAAAAAAPC/Ao9TdCSX/5C/Ak0VjErqBO4/AAAAABgAAAD8/AD8AAIAAAAAAADwvwIgY+5aQj7svwKnCkYldQL3PwAAAAAYAAAA/PwA/AACAAAAAAAA8L8C5x2n6Egu6z8CWvW52or9+L8AAAAAGAAAAPz8APwAAgAAAAAAAPC/ApAxdy0hH/a/AnS1FfvLbgJAAAAAABgAAAD8/AD8AAIAAAAAAADwvwKQMXctIR/+vwIYt9EA3gL3PwAAAAAYAAAA/PwA/AACAAAAAAAA8L8Cj1N0JJf/kL8CrfpcbcV+AMAAAAAAGAAAAPz8APwAAgAAAAAAAPC/AiBj7lpCPuy/Alr1udqK/fi/AAAAACAAAAD8/AD8AAIAAAAAAADwvwLSkVz+Q/r7vwI3qz5XW7GvvwAAAAAgAAAA/PwA/AACAAAAAAAA8L8CppvEILBy+z8CTRWMSuoE7j8AAAAAIAAAAPz8APwAAgAAAAAAAPC/AvT91HjppgRAArTqc7UV++G/AAAAADwEAAFlBAAAAAAAAAAACAABZQQAAAAAAAAAAAwEAWUEAAAAAAAAAAAQAAFlBAAAAAAAAAAAFBABZQQAAAAAAAAAABgEAWUICAAAAAAAAAAcFAFlBAAAAAAAAAAAIBQBZQQAAAAAAAAAACQoAWUICAAAAAAAAAAoCAFlBAAAAAAAAAAALAgBZQgAAAAAAAAAADAMAWUIAAAAAAAAAAA0DAFlBAAAAAAAAAAAIBwBZQQAAAAAAAAAACQYAWUEAAAAAAAAAAAAAAAA</t>
        </r>
      </text>
    </comment>
    <comment ref="A829" authorId="0" shapeId="0" xr:uid="{03C6A2B7-C99C-4123-AE32-7ABF51297A10}">
      <text>
        <r>
          <rPr>
            <sz val="9"/>
            <color indexed="81"/>
            <rFont val="MS P ゴシック"/>
            <family val="3"/>
            <charset val="128"/>
          </rPr>
          <t>Insight iXlW00001C0000829R0585476093S00001656P01000LAocjBAQBF1NjaVRlZ2ljLmRhdGEuTW9sZWN1bGUBbwF/ARJTY2lUZWdpYy5Nb2xlY3VsZQAAAQFkAv5qAQAAAAIAAjQYAAAA/PwA/AACAAAAAAAA8L8COrTIdr4fAEACg8DKoUW27z8AAAAAGAAAAPz8APwAAgAAAAAAAPC/AnNoke18P/g/AgAAAAAAAMA/AAAAABgAAAD8/AD8AAIAAAAAAADwvwKTOgFNhA0DQAIAAAAAAADYvwAAAAAcAAAA/PwA/AACAAAAAAAA8L8Cc2iR7Xw/8D8Cg8DKoUW2578AAAAAGAAAAPz8APwAAgAAAAAAAPC/AmMQWDm0yOQ/AgAAAAAAAOQ/AAAAABgAAAD8/AD8AAIAAAAAAADwvwKDwMqhRbbLvwIAAAAAAADAPwAAAAAYAAAA/PwA/AACAAAAAAAA8L8Cg8DKoUW2y78CAAAAAAAA7L8AAAAAGAAAAPz8APwAAgAAAAAAAPC/AlK4HoXrUfG/AgAAAAAAAPa/AAAAABgAAAD8/AD8AAIAAAAAAADwvwIFxY8xdy3/vwIAAAAAAADsvwAAAAAYAAAA/PwA/AACAAAAAAAA8L8ClBgEVg4t/78CAAAAAAAAwD8AAAAAGAAAAPz8APwAAgAAAAAAAPC/AlK4HoXrUfG/AgAAAAAAAOQ/AAAAACQAAAD8/AD8AAIAAAAAAADwvwJSuB6F61HxvwIAAAAAAAD6PwAAAAABEQAAAPz8APwAAgAAAAAAAPC/AvmgZ7PqcwlAAgAAAAAAAMA/AAAAADAABAFlBAAAAAAAAAAABAgBZQQAAAAAAAAAAAQMAWUEAAAAAAAAAAAEEAFlBAAAAAAAAAAAEBQBZQQAAAAAAAAAABQYAWUIDAAAAAAAAAAYHAFlBAAAAAAAAAAAHCABZQgIAAAAAAAAACAkAWUEAAAAAAAAAAAkKAFlCAgAAAAAAAAAKBQBZQQAAAAAAAAAACgsAWUEAAAAAAAAAAAAAAAA</t>
        </r>
      </text>
    </comment>
    <comment ref="A830" authorId="0" shapeId="0" xr:uid="{A6FEAF3E-B540-4F7C-B1EB-4218D17889DF}">
      <text>
        <r>
          <rPr>
            <sz val="9"/>
            <color indexed="81"/>
            <rFont val="MS P ゴシック"/>
            <family val="3"/>
            <charset val="128"/>
          </rPr>
          <t>Insight iXlW00001C0000830R0585476093S00001658P01000LAocjBAQBF1NjaVRlZ2ljLmRhdGEuTW9sZWN1bGUBbwF/ARJTY2lUZWdpYy5Nb2xlY3VsZQAAAQFkAv5qAQAAAAIAAjQYAAAA/PwA/AACAAAAAAAA8L8CHxZqTfOO8j8Cz4jS3uAL5T8AAAAAGAAAAPz8APwAAgAAAAAAAPC/Ah8Wak3zjvo/AtPe4AuTqcq/AAAAABgAAAD8/AD8AAIAAAAAAADwvwIwuycPCzUEQAKXkA96NqvSPwAAAAAcAAAA/PwA/AACAAAAAAAA8L8CDwu1pnlHAUACHHxhMlUw8b8AAAAAGAAAAPz8APwAAgAAAAAAAPC/AtgS8kHPZuk/ArU3+MJkqua/AAAAABgAAAD8/AD8AAIAAAAAAADwvwJdbcX+snuyvwLT3uALk6nKvwAAAAAYAAAA/PwA/AACAAAAAAAA8L8CXW3F/rJ7sr8CTMgHPZtV6T8AAAAAGAAAAPz8APwAAgAAAAAAAPC/Ai9uowG8Be6/Aibkg57NqvQ/AAAAABgAAAD8/AD8AAIAAAAAAADwvwJZF7fRAN78vwJMyAc9m1XpPwAAAAAYAAAA/PwA/AACAAAAAAAA8L8CWRe30QDe/L8C097gC5Opyr8AAAAAJAAAAPz8APwAAgAAAAAAAPC/As07TtGRXAXAArU3+MJkqua/AAAAABgAAAD8/AD8AAIAAAAAAADwvwIvbqMBvAXuvwK1N/jCZKrmvwAAAAABEQAAAPz8APwAAgAAAAAAAPC/ApchjnVxmwpAAk9AE2HD07s/AAAAADAABAFlBAAAAAAAAAAABAgBZQQAAAAAAAAAAAQMAWUEAAAAAAAAAAAEEAFlBAAAAAAAAAAAEBQBZQQAAAAAAAAAABQYAWUIDAAAAAAAAAAYHAFlBAAAAAAAAAAAHCABZQgIAAAAAAAAACAkAWUEAAAAAAAAAAAkKAFlBAAAAAAAAAAAJCwBZQgIAAAAAAAAACwUAWUEAAAAAAAAAAAAAAAA</t>
        </r>
      </text>
    </comment>
    <comment ref="A831" authorId="0" shapeId="0" xr:uid="{FCB8D45C-56C8-4FAC-8518-672BBD78EF49}">
      <text>
        <r>
          <rPr>
            <sz val="9"/>
            <color indexed="81"/>
            <rFont val="MS P ゴシック"/>
            <family val="3"/>
            <charset val="128"/>
          </rPr>
          <t>Insight iXlW00001C0000831R0585476093S00001660P01020LAocjBAQBF1NjaVRlZ2ljLmRhdGEuTW9sZWN1bGUBbwF/ARJTY2lUZWdpYy5Nb2xlY3VsZQAAAQFkAv5qAQAAAAIAAjQcAAAA/PwA/AACAAAAAAAA8L8CSp2AJsKG9D8CmbuWkA964j8AAAAAGAAAAPz8APwAAgAAAAAAAPC/Ao9TdCSX//k/AqvP1VbsL9e/AAAAABgAAAD8/AD8AAIAAAAAAADwvwKb5h2n6EjoPwLW52or9pfrvwAAAAAYAAAA/PwA/AACAAAAAAAA8L8CQs9m1edqu78Cq8/VVuwv178AAAAAGAAAAPz8APwAAgAAAAAAAPC/Ak7zjlN0JO+/Atbnaiv2l+u/AAAAABgAAAD8/AD8AAIAAAAAAADwvwLp2az6XG39vwKrz9VW7C/XvwAAAAAYAAAA/PwA/AACAAAAAAAA8L8C6dms+lxt/b8CKxiV1Alo5D8AAAAAJAAAAPz8APwAAgAAAAAAAPC/AhUdyeU/pAXAAhaMSuoENPI/AAAAABgAAAD8/AD8AAIAAAAAAADwvwJsmnecoiPvvwIWjErqBDTyPwAAAAAYAAAA/PwA/AACAAAAAAAA8L8CQs9m1edqu78CKxiV1Alo5D8AAAAAGAAAAPz8APwAAgAAAAAAAPC/AhUdyeU/JAJAApM6AU2EDfK/AAAAABgAAAD8/AD8AAIAAAAAAADwvwI4+MJkquAEQALdRgN4CyTIvwAAAAABEQAAAPz8APwAAgAAAAAAAPC/Ap5eKcsQRwtAAlXBqKROQHM/AAAAADQABAFlBAAAAAAAAAAABAgBZQQAAAAAAAAAAAgMAWUEAAAAAAAAAAAMEAFlCAwAAAAAAAAAEBQBZQQAAAAAAAAAABQYAWUIDAAAAAAAAAAYHAFlBAAAAAAAAAAAGCABZQQAAAAAAAAAACAkAWUICAAAAAAAAAAkDAFlBAAAAAAAAAAABCgBZQQAAAAAAAAAACgsAWUEAAAAAAAAAAAsBAFlBAAAAAAAAAAAAAAAAA==</t>
        </r>
      </text>
    </comment>
    <comment ref="A832" authorId="0" shapeId="0" xr:uid="{4CD8E22C-A4B3-4256-A6E0-C2B45058906A}">
      <text>
        <r>
          <rPr>
            <sz val="9"/>
            <color indexed="81"/>
            <rFont val="MS P ゴシック"/>
            <family val="3"/>
            <charset val="128"/>
          </rPr>
          <t>Insight iXlW00001C0000832R0585476093S00001662P01088LAocjBAQBF1NjaVRlZ2ljLmRhdGEuTW9sZWN1bGUBbwF/ARJTY2lUZWdpYy5Nb2xlY3VsZQAAAQFkAv5qAQAAAAIAAjgYAAAA/PwA/AACAAAAAAAA8L8CrBxaZDtfCkACZvfkYaHW4r8AAAAAIAAAAPz8APwAAgAAAAAAAPC/Aoxs5/upcQNAAkLPZtXnavG/AAAAABgAAAD8/AD8AAIAAAAAAADwvwLVeOkmMQj5PwKEns2qz9XivwAAAAAYAAAA/PwA/AACAAAAAAAA8L8CRdjw9EpZ5j8CQs9m1edq8b8AAAAAGAAAAPz8APwAAgAAAAAAAPC/AvmgZ7Pqc8W/Amb35GGh1uK/AAAAABgAAAD8/AD8AAIAAAAAAADwvwL5oGez6nPFvwI0ETY8vVLaPwAAAAAYAAAA/PwA/AACAAAAAAAA8L8CYVRSJ6CJ8L8Cmggbnl4p7T8AAAAAGAAAAPz8APwAAgAAAAAAAPC/AqO0N/jCZP6/AjQRNjy9Uto/AAAAABwAAAD8/AD8AAIAAAAAAADwvwJd/kP67ev4vwLUmuYdp+jgvwAAAAAYAAAA/PwA/AACAAAAAAAA8L8Cn82qz9VWBMAC9UpZhjjW8j8AAAAAGAAAAPz8APwAAgAAAAAAAPC/AsKopE5AEwfAAngtIR/0bM4/AAAAABgAAAD8/AD8AAIAAAAAAADwvwInMQisHFrmPwKaCBueXintPwAAAAAYAAAA/PwA/AACAAAAAAAA8L8C1XjpJjEI+T8CNBE2PL1S2j8AAAAAAREAAAD8/AD8AAIAAAAAAADwvwKJQWDl0GIQQAIf9GxWfa6mPwAAAAA4AAQBZQQAAAAAAAAAAAQIAWUEAAAAAAAAAAAIDAFlCAwAAAAAAAAADBABZQQAAAAAAAAAABAUAWUIDAAAAAAAAAAUGAFlBAAAAAAAAAAAGBwBZQQAAAAAAAAAABwgAWUEAAAAAAAAAAAcJAFlBAAAAAAAAAAAJCgBZQQAAAAAAAAAACgcAWUEAAAAAAAAAAAULAFlBAAAAAAAAAAALDABZQgIAAAAAAAAADAIAWUEAAAAAAAAAAAAAAAA</t>
        </r>
      </text>
    </comment>
    <comment ref="A833" authorId="0" shapeId="0" xr:uid="{EAACF49F-4026-488E-86B8-07ED37382D1C}">
      <text>
        <r>
          <rPr>
            <sz val="9"/>
            <color indexed="81"/>
            <rFont val="MS P ゴシック"/>
            <family val="3"/>
            <charset val="128"/>
          </rPr>
          <t>Insight iXlW00001C0000833R0585476093S00001664P01016LAocjBAQBF1NjaVRlZ2ljLmRhdGEuTW9sZWN1bGUBbwF/ARJTY2lUZWdpYy5Nb2xlY3VsZQAAAQFkAv5qAQAAAAIAAjQYAAAA/PwA/AACAAAAAAAA8L8CTYQNT6+U6T8CN6s+V1ux078AAAAAGAAAAPz8APwAAgAAAAAAAPC/AmgibHh6pfo/ApxVn6ut2Om/AAAAABgAAAD8/AD8AAIAAAAAAADwvwKx4emVsgyxvwKTqYJRSZ3IPwAAAAAYAAAA/PwA/AACAAAAAAAA8L8CuvyH9NvX7b8CN6s+V1ux078AAAAAIAAAAPz8APwAAgAAAAAAAPC/AlXBqKROQARAAjerPldbsdO/AAAAACAAAAD8/AD8AAIAAAAAAADwvwJoImx4eqX6PwLOqs/VVuz8vwAAAAAYAAAA/PwA/AACAAAAAAAA8L8Cnl4pyxDH/L8Ck6mCUUmdyD8AAAAAGAAAAPz8APwAAgAAAAAAAPC/ArHh6ZWyDLG/AjNVMCqpE/M/AAAAABgAAAD8/AD8AAIAAAAAAADwvwInwoanV8r0PwLoaiv2l93hPwAAAAAYAAAA/PwA/AACAAAAAAAA8L8Cmggbnl4p0z8CDwu1pnnH8r8AAAAAGAAAAPz8APwAAgAAAAAAAPC/Arr8h/Tb1+2/AjNVMCqpE/s/AAAAABgAAAD8/AD8AAIAAAAAAADwvwKeXinLEMf8vwIzVTAqqRPzPwAAAAAYAAAA/PwA/AACAAAAAAAA8L8CqTXNO05RBcACN6s+V1ux078AAAAANAQAAWUEAAAAAAAAAAAIAAFlBAAAAAAAAAAADAgBZQQAAAAAAAAAABAEAWUIAAAAAAAAAAAUBAFlBAAAAAAAAAAAGAwBZQgMAAAAAAAAABwIAWUIDAAAAAAAAAAgAAFlBAAAAAAAAAAAJAABZQQAAAAAAAAAACgcAWUEAAAAAAAAAAAsKAFlCAgAAAAAAAAAMBgBZQQAAAAAAAAAABgsAWUEAAAAAAAAAAAAAAAA</t>
        </r>
      </text>
    </comment>
    <comment ref="A834" authorId="0" shapeId="0" xr:uid="{421AFFDF-F2F6-43E8-A29C-67D318ABAC03}">
      <text>
        <r>
          <rPr>
            <sz val="9"/>
            <color indexed="81"/>
            <rFont val="MS P ゴシック"/>
            <family val="3"/>
            <charset val="128"/>
          </rPr>
          <t>Insight iXlW00001C0000834R0585476093S00001666P01104LAocjBAQBF1NjaVRlZ2ljLmRhdGEuTW9sZWN1bGUBbwF/ARJTY2lUZWdpYy5Nb2xlY3VsZQAAAQFkAv5qAQAAAAIAAjgYAAAA/PwA/AACAAAAAAAA8L8C6dms+lxt6T8Cn14pyxDH3r8AAAAAGAAAAPz8APwAAgAAAAAAAPC/AvRsVn2utvQ/Ai3UmuYdp9g/AAAAABgAAAD8/AD8AAIAAAAAAADwvwLXNO84RUeyvwIfFmpN846TPwAAAAAYAAAA/PwA/AACAAAAAAAA8L8CHqfoSC7/7b8Cn14pyxDH3r8AAAAAIAAAAPz8APwAAgAAAAAAAPC/AunZrPpcbek/Ak0VjErqBPQ/AAAAACAAAAD8/AD8AAIAAAAAAADwvwJ6Nqs+V1sCQAIt1JrmHafYPwAAAAAYAAAA/PwA/AACAAAAAAAA8L8C0bNZ9bna/L8CHxZqTfOOkz8AAAAAGAAAAPz8APwAAgAAAAAAAPC/AjbNO07Rkfo/Ak+vlGWIY++/AAAAABgAAAD8/AD8AAIAAAAAAADwvwLRs1n1udrSPwLpt68D54z1vwAAAAAYAAAA/PwA/AACAAAAAAAA8L8C1zTvOEVHsr8CWag1zTtO8D8AAAAAGAAAAPz8APwAAgAAAAAAAPC/Ah6n6Egu/+2/AlmoNc07Tvg/AAAAABgAAAD8/AD8AAIAAAAAAADwvwI2zTtO0ZHyPwLpt68D54z9vwAAAAAYAAAA/PwA/AACAAAAAAAA8L8C0bNZ9bna/L8CWag1zTtO8D8AAAAAGAAAAPz8APwAAgAAAAAAAPC/AkJg5dAiWwXAAp9eKcsQx96/AAAAADwEAAFlBAAAAAAAAAAACAABZQQAAAAAAAAAAAwIAWUEAAAAAAAAAAAQBAFlCAAAAAAAAAAAFAQBZQQAAAAAAAAAABgMAWUIDAAAAAAAAAAcAAFlBAAAAAAAAAAAIAABZQQAAAAAAAAAACQIAWUIDAAAAAAAAAAoJAFlBAAAAAAAAAAALCABZQQAAAAAAAAAADAoAWUICAAAAAAAAAA0GAFlBAAAAAAAAAAAHCwBZQQAAAAAAAAAABgwAWUEAAAAAAAAAAAAAAAA</t>
        </r>
      </text>
    </comment>
    <comment ref="A835" authorId="0" shapeId="0" xr:uid="{C551F234-DB31-4AE7-B7E2-FB1622A57EB5}">
      <text>
        <r>
          <rPr>
            <sz val="9"/>
            <color indexed="81"/>
            <rFont val="MS P ゴシック"/>
            <family val="3"/>
            <charset val="128"/>
          </rPr>
          <t>Insight iXlW00001C0000835R0585476093S00001668P01088LAocjBAQBF1NjaVRlZ2ljLmRhdGEuTW9sZWN1bGUBbwF/ARJTY2lUZWdpYy5Nb2xlY3VsZQAAAQFkAv5qAQAAAAIAAjgYAAAA/PwA/AACAAAAAAAA8L8C3pOHhVrTAEACyzLEsS5uyz8AAAAAGAAAAPz8APwAAgAAAAAAAPC/AnrHKTqSy/M/ApvmHafoSNK/AAAAABgAAAD8/AD8AAIAAAAAAADwvwId6+I2GsDXPwJO845TdCTpvwAAAAAgAAAA/PwA/AACAAAAAAAA8L8C3pOHhVrTAEACWoY41sVt8z8AAAAAGAAAAPz8APwAAgAAAAAAAPC/AuqVsgxxrN+/ApvmHafoSNK/AAAAABgAAAD8/AD8AAIAAAAAAADwvwK8BRIUP8b1vwJO845TdCTpvwAAAAAgAAAA/PwA/AACAAAAAAAA8L8C/0P67evAB0ACm+Ydp+hI0r8AAAAAGAAAAPz8APwAAgAAAAAAAPC/Av+ye/Kw0AHAApvmHafoSNK/AAAAACQAAAD8/AD8AAIAAAAAAADwvwIgY+5aQr4IwAJO845TdCTpvwAAAAAYAAAA/PwA/AACAAAAAAAA8L8C9I5TdCSX5z8CNs07TtGR4j8AAAAAGAAAAPz8APwAAgAAAAAAAPC/AnrHKTqSy/s/AujZrPpcbfK/AAAAABgAAAD8/AD8AAIAAAAAAADwvwK8BRIUP8b1vwJahjjWxW3zPwAAAAAYAAAA/PwA/AACAAAAAAAA8L8C6pWyDHGs378CswxxrIvb5j8AAAAAGAAAAPz8APwAAgAAAAAAAPC/Av+ye/Kw0AHAArMMcayL2+Y/AAAAADgEAAFlBAAAAAAAAAAACAQBZQQAAAAAAAAAAAwAAWUIAAAAAAAAAAAQCAFlBAAAAAAAAAAAFBABZQQAAAAAAAAAABgAAWUEAAAAAAAAAAAcFAFlCAwAAAAAAAAAIBwBZQQAAAAAAAAAACQEAWUEAAAAAAAAAAAoBAFlBAAAAAAAAAAALDABZQQAAAAAAAAAADAQAWUIDAAAAAAAAAA0LAFlCAgAAAAAAAAAHDQBZQQAAAAAAAAAAAAAAAA=</t>
        </r>
      </text>
    </comment>
    <comment ref="A836" authorId="0" shapeId="0" xr:uid="{F98CB601-5EBE-4376-81DB-B92BEDAA981D}">
      <text>
        <r>
          <rPr>
            <sz val="9"/>
            <color indexed="81"/>
            <rFont val="MS P ゴシック"/>
            <family val="3"/>
            <charset val="128"/>
          </rPr>
          <t>Insight iXlW00001C0000836R0585476093S00001670P00664LAocjBAQBF1NjaVRlZ2ljLmRhdGEuTW9sZWN1bGUBbwF/ARJTY2lUZWdpYy5Nb2xlY3VsZQAAAQFkAv5qAQAAAAIAAiAYAAAA/PwA/AACAAAAAAAA8L8CAAAAAAAA6L8CAAAAAAAAwL8AAAAAGAAAAPz8APwAAgAAAAAAAPC/AgAAAAAAANA/AgAAAAAAAMC/AAAAACAAAAD8/AD8AAIAAAAAAADwvwIAAAAAAAD0vwKDwMqhRbbvvwAAAAAgAAAA/PwA/AACAAAAAAAA8L8CAAAAAAAA9L8Cg8DKoUW25z8AAAAAGAAAAPz8APwAAgAAAAAAAPC/AgAAAAAAANA/AgAAAAAAAOw/AAAAABgAAAD8/AD8AAIAAAAAAADwvwIAAAAAAAD0PwIAAAAAAADAvwAAAAAYAAAA/PwA/AACAAAAAAAA8L8CAAAAAAAA0D8CAAAAAAAA8r8AAAAAGAAAAPz8APwAAgAAAAAAAPC/AgAAAAAAAPQ/AgAAAAAAAOw/AAAAACAEAAFlBAAAAAAAAAAACAABZQgAAAAAAAAAAAwAAWUEAAAAAAAAAAAQBAFlBAAAAAAAAAAAFAQBZQQAAAAAAAAAABgEAWUEAAAAAAAAAAAcFAFlBAAAAAAAAAAAEBwBZQQAAAAAAAAAAAAAAAA=</t>
        </r>
      </text>
    </comment>
    <comment ref="A837" authorId="0" shapeId="0" xr:uid="{387D6680-1242-4FA9-8269-EE0B0728ADF2}">
      <text>
        <r>
          <rPr>
            <sz val="9"/>
            <color indexed="81"/>
            <rFont val="MS P ゴシック"/>
            <family val="3"/>
            <charset val="128"/>
          </rPr>
          <t>Insight iXlW00001C0000837R0585476093S00001672P00860LAocjBAQBF1NjaVRlZ2ljLmRhdGEuTW9sZWN1bGUBbwF/ARJTY2lUZWdpYy5Nb2xlY3VsZQAAAQFkAv5qAQAAAAIAAiwYAAAA/PwA/AACAAAAAAAA8L8CnMQgsHJosT8Cg+LHmLuW6D8AAAAAGAAAAPz8APwAAgAAAAAAAPC/Aq8l5IOezeg/Am1Wfa62Yq8/AAAAABgAAAD8/AD8AAIAAAAAAADwvwJlGeJYF7f3PwK1N/jCZKrkvwAAAAAYAAAA/PwA/AACAAAAAAAA8L8CZRniWBe39z8Cg+LHmLuW6D8AAAAAHAAAAPz8APwAAgAAAAAAAPC/Amiz6nO1lQNAAspUwaikTuA/AAAAABgAAAD8/AD8AAIAAAAAAADwvwKcxCCwcmixPwK1N/jCZKrkvwAAAAAYAAAA/PwA/AACAAAAAAAA8L8CQYLix5i77L8C+FPjpZvE2L8AAAAAGAAAAPz8APwAAgAAAAAAAPC/AmKh1jTvOPy/Avyp8dJNYuy/AAAAABgAAAD8/AD8AAIAAAAAAADwvwKxUGuadxwCwAIbL90kBoGVvwAAAAAYAAAA/PwA/AACAAAAAAAA8L8CIUHxY8xd9r8CDy2yne+n3j8AAAAAAREAAAD8/AD8AAIAAAAAAADwvwLOGVHaG/wJQALOO07RkVyuvwAAAAAoAAQBZQQAAAAAAAAAAAQIAWUEAAAAAAAAAAAEDAFlBAAAAAAAAAAADBABZQQAAAAAAAAAAAQUAWUEAAAAAAAAAAAUGAFlBAAAAAAAAAAAGBwBZQQAAAAAAAAAABwgAWUEAAAAAAAAAAAgJAFlBAAAAAAAAAAAJBgBZQQAAAAAAAAAAAAAAAA=</t>
        </r>
      </text>
    </comment>
    <comment ref="A838" authorId="0" shapeId="0" xr:uid="{E99EC724-67A8-45EA-B6FE-4A3C06E1B17E}">
      <text>
        <r>
          <rPr>
            <sz val="9"/>
            <color indexed="81"/>
            <rFont val="MS P ゴシック"/>
            <family val="3"/>
            <charset val="128"/>
          </rPr>
          <t>Insight iXlW00001C0000838R0585476093S00001674P01088LAocjBAQBF1NjaVRlZ2ljLmRhdGEuTW9sZWN1bGUBbwF/ARJTY2lUZWdpYy5Nb2xlY3VsZQAAAQFkAv5qAQAAAAIAAjgcAAAA/PwA/AACAAAAAAAA8L8C4umVsgxx/D8CSFD8GHPX8z8AAAAAGAAAAPz8APwAAgAAAAAAAPC/AkcDeAskKPI/AoEmwoanV94/AAAAABgAAAD8/AD8AAIAAAAAAADwvwKNuWsJ+aD3PwJcIEHxY8zdvwAAAAAYAAAA/PwA/AACAAAAAAAA8L8ClrIMcayL4z8CLpCg+DHm7r8AAAAAGAAAAPz8APwAAgAAAAAAAPC/Ap/Nqs/VVtC/AlwgQfFjzN2/AAAAABgAAAD8/AD8AAIAAAAAAADwvwKpE9BE2PDxvwIukKD4MebuvwAAAAAYAAAA/PwA/AACAAAAAAAA8L8C63O1FfvL/78CXCBB8WPM3b8AAAAAGAAAAPz8APwAAgAAAAAAAPC/AutztRX7y/+/AtJvXwfOGeE/AAAAACQAAAD8/AD8AAIAAAAAAADwvwIWak3zjtMGwALpt68D54zwPwAAAAAYAAAA/PwA/AACAAAAAAAA8L8CqRPQRNjw8b8C6bevA+eM8D8AAAAAGAAAAPz8APwAAgAAAAAAAPC/Ap/Nqs/VVtC/AtJvXwfOGeE/AAAAABgAAAD8/AD8AAIAAAAAAADwvwIU0ETY8PQAQAK/DpwzorTzvwAAAAAYAAAA/PwA/AACAAAAAAAA8L8CN6s+V1uxA0AC5KWbxCCw0r8AAAAAAREAAAD8/AD8AAIAAAAAAADwvwKdEaW9wRcKQAIWjErqBDRxPwAAAAA4AAQBZQQAAAAAAAAAAAQIAWUEAAAAAAAAAAAIDAFlBAAAAAAAAAAADBABZQQAAAAAAAAAABAUAWUIDAAAAAAAAAAUGAFlBAAAAAAAAAAAGBwBZQgMAAAAAAAAABwgAWUEAAAAAAAAAAAcJAFlBAAAAAAAAAAAJCgBZQgIAAAAAAAAACgQAWUEAAAAAAAAAAAILAFlBAAAAAAAAAAALDABZQQAAAAAAAAAADAIAWUEAAAAAAAAAAAAAAAA</t>
        </r>
      </text>
    </comment>
    <comment ref="A839" authorId="0" shapeId="0" xr:uid="{6E2766C4-2147-4573-989E-E3EC02DE42AC}">
      <text>
        <r>
          <rPr>
            <sz val="9"/>
            <color indexed="81"/>
            <rFont val="MS P ゴシック"/>
            <family val="3"/>
            <charset val="128"/>
          </rPr>
          <t>Insight iXlW00001C0000839R0585476093S00001676P01160LAocjBAQBF1NjaVRlZ2ljLmRhdGEuTW9sZWN1bGUBbwF/ARJTY2lUZWdpYy5Nb2xlY3VsZQAAAQFkAv5qAQAAAAIAAjwYAAAA/PwA/AACAAAAAAAA8L8CaLPqc7UV178CC0YldQKaAMAAAAAAIAAAAPz8APwAAgAAAAAAAPC/Ao25awn5oPO/AhaMSuoENPm/AAAAABgAAAD8/AD8AAIAAAAAAADwvwKNuWsJ+aDzvwIrGJXUCWjivwAAAAAYAAAA/PwA/AACAAAAAAAA8L8C54wo7Q2+AMACVcGopE5As78AAAAAGAAAAPz8APwAAgAAAAAAAPC/AueMKO0NvgDAAtbnaiv2l+0/AAAAABgAAAD8/AD8AAIAAAAAAADwvwKNuWsJ+aDzvwLrc7UV+8v2PwAAAAAYAAAA/PwA/AACAAAAAAAA8L8CLGUZ4lgX178C1udqK/aX7T8AAAAAGAAAAPz8APwAAgAAAAAAAPC/AixlGeJYF9e/AlXBqKROQLO/AAAAABgAAAD8/AD8AAIAAAAAAADwvwLPZtXnaivgPwIrGJXUCWjivwAAAAAYAAAA/PwA/AACAAAAAAAA8L8CqRPQRNjw9T8CVcGopE5As78AAAAAGAAAAPz8APwAAgAAAAAAAPC/AmRd3EYDePA/AkSLbOf7qes/AAAAABwAAAD8/AD8AAIAAAAAAADwvwL/Q/rt68D6PwJKDAIrhxb6PwAAAAAYAAAA/PwA/AACAAAAAAAA8L8CIv32deAcAEACe6UsQxzr6r8AAAAAGAAAAPz8APwAAgAAAAAAAPC/AkXY8PRK2QJAAo0o7Q2+MLk/AAAAAAERAAAA/PwA/AACAAAAAAAA8L8CrD5XW7E/CUAC87BQa5p3zL8AAAAAPAAEAWUEAAAAAAAAAAAECAFlBAAAAAAAAAAACAwBZQgMAAAAAAAAAAwQAWUEAAAAAAAAAAAQFAFlCAgAAAAAAAAAFBgBZQQAAAAAAAAAABgcAWUICAAAAAAAAAAcCAFlBAAAAAAAAAAAHCABZQQAAAAAAAAAACAkAWUEAAAAAAAAAAAkKAFlBAAAAAAAAAAAKCwBZQQAAAAAAAAAACQwAWUEAAAAAAAAAAAwNAFlBAAAAAAAAAAANCQBZQQAAAAAAAAAAAAAAAA=</t>
        </r>
      </text>
    </comment>
    <comment ref="A840" authorId="0" shapeId="0" xr:uid="{59B9752E-6BEE-4A76-B621-F31B775CB168}">
      <text>
        <r>
          <rPr>
            <sz val="9"/>
            <color indexed="81"/>
            <rFont val="MS P ゴシック"/>
            <family val="3"/>
            <charset val="128"/>
          </rPr>
          <t>Insight iXlW00001C0000840R0585476093S00001678P01232LAocjBAQBF1NjaVRlZ2ljLmRhdGEuTW9sZWN1bGUBbwF/ARJTY2lUZWdpYy5Nb2xlY3VsZQAAAQFkAv5qAQAAAAIAAgEQGAAAAPz8APwAAgAAAAAAAPC/AiNseHqlrAhAAs+I0t7gC+U/AAAAACAAAAD8/AD8AAIAAAAAAADwvwICvAUSFL8BQAI6I0p7gy/EPwAAAAAYAAAA/PwA/AACAAAAAAAA8L8CwhcmUwWj9T8Cz4jS3uAL5T8AAAAAGAAAAPz8APwAAgAAAAAAAPC/AsIXJlMFo/U/AmhEaW/whfo/AAAAABgAAAD8/AD8AAIAAAAAAADwvwIB3gIJih/fPwI0orQ3+EIBQAAAAAAYAAAA/PwA/AACAAAAAAAA8L8CBqOSOgFN2L8CaERpb/CF+j8AAAAAGAAAAPz8APwAAgAAAAAAAPC/AgajkjoBTdi/As+I0t7gC+U/AAAAABgAAAD8/AD8AAIAAAAAAADwvwJ0tRX7y+7zvwI6I0p7gy/EPwAAAAAYAAAA/PwA/AACAAAAAAAA8L8CdLUV+8vu878CMnctIR/06r8AAAAAGAAAAPz8APwAAgAAAAAAAPC/AqCrrdhfds+/AjJ3LSEf9Oq/AAAAABwAAAD8/AD8AAIAAAAAAADwvwIxKqkT0ETQPwLbG3xhMlX7vwAAAAAYAAAA/PwA/AACAAAAAAAA8L8CdLUV+8vu878CmbuWkA96/b8AAAAAGAAAAPz8APwAAgAAAAAAAPC/Arraiv1l9wHAApm7lpAPev2/AAAAABgAAAD8/AD8AAIAAAAAAADwvwK62or9ZfcBwAIydy0hH/TqvwAAAAAYAAAA/PwA/AACAAAAAAAA8L8CAd4CCYof3z8COiNKe4MvxD8AAAAAAREAAAD8/AD8AAIAAAAAAADwvwKJ0t7gCxMPQAI6I0p7gy/EPwAAAAABEAAEAWUEAAAAAAAAAAAECAFlBAAAAAAAAAAACAwBZQgMAAAAAAAAAAwQAWUEAAAAAAAAAAAQFAFlCAgAAAAAAAAAFBgBZQQAAAAAAAAAABgcAWUEAAAAAAAAAAAcIAFlBAAAAAAAAAAAICQBZQQAAAAAAAAAACQoAWUEAAAAAAAAAAAgLAFlBAAAAAAAAAAALDABZQQAAAAAAAAAADA0AWUEAAAAAAAAAAA0IAFlBAAAAAAAAAAAGDgBZQgIAAAAAAAAADgIAWUEAAAAAAAAAAAAAAAA</t>
        </r>
      </text>
    </comment>
    <comment ref="A841" authorId="0" shapeId="0" xr:uid="{47F895A1-9001-4FDC-861B-A33837FBCE8D}">
      <text>
        <r>
          <rPr>
            <sz val="9"/>
            <color indexed="81"/>
            <rFont val="MS P ゴシック"/>
            <family val="3"/>
            <charset val="128"/>
          </rPr>
          <t>Insight iXlW00001C0000841R0585476093S00001680P00964LAocjBAQBF1NjaVRlZ2ljLmRhdGEuTW9sZWN1bGUBbwF/ARJTY2lUZWdpYy5Nb2xlY3VsZQAAAQFkAv5qAQAAAAIAAjAgAAAA/PwA/AACAAAAAAAA8L8CfPKwUGua8D8CB/AWSFD85r8AAAAAHAAAAPz8APwAAgAAAAAAAPC/AnzysFBrmvA/AifChqdXyuw/AAAAABgAAAD8/AD8AAIAAAAAAADwvwIJG55eKcvcPwKASL99HTi3PwAAAAAcAAAA/PwA/AACAAAAAAAA8L8Ci47k8h/S/z8CLpCg+DHm4j8AAAAAGAAAAPz8APwAAgAAAAAAAPC/AhriWBe30f8/AqXfvg6cM9q/AAAAABgAAAD8/AD8AAIAAAAAAADwvwJ88rBQa5rhvwKASL99HTi3PwAAAAAcAAAA/PwA/AACAAAAAAAA8L8CUyegibBhBkACKKCJsOHp778AAAAAIAAAAPz8APwAAgAAAAAAAPC/Ap88LNSaZgTAAoBIv30dOLc/AAAAABgAAAD8/AD8AAIAAAAAAADwvwKfPCzUmmYAwAJz1xLyQc/ovwAAAAAYAAAA/PwA/AACAAAAAAAA8L8Cnzws1JpmAMACk6mCUUmd7j8AAAAAGAAAAPz8APwAAgAAAAAAAPC/Aj55WKg1zfC/AnPXEvJBz+i/AAAAABgAAAD8/AD8AAIAAAAAAADwvwI+eVioNc3wvwKTqYJRSZ3uPwAAAAA0BAgBZQgIAAAAAAAAAAgAAWUEAAAAAAAAAAAMEAFlCAgAAAAAAAAAEAABZQQAAAAAAAAAABQIAWUEAAAAAAAAAAAYEAFlBAAAAAAAAAAAHCQBZQQAAAAAAAAAACAoAWUEAAAAAAAAAAAkLAFlBAAAAAAAAAAAKBQBZQQAAAAAAAAAACwUAWUEAAAAAAAAAAAEDAFlBAAAAAAAAAAAIBwBZQQAAAAAAAAAAAAAAAA=</t>
        </r>
      </text>
    </comment>
    <comment ref="A842" authorId="0" shapeId="0" xr:uid="{1C21E233-A3D2-404B-8EA0-AE9BCEEC28A2}">
      <text>
        <r>
          <rPr>
            <sz val="9"/>
            <color indexed="81"/>
            <rFont val="MS P ゴシック"/>
            <family val="3"/>
            <charset val="128"/>
          </rPr>
          <t>Insight iXlW00001C0000842R0585476093S00001682P01088LAocjBAQBF1NjaVRlZ2ljLmRhdGEuTW9sZWN1bGUBbwF/ARJTY2lUZWdpYy5Nb2xlY3VsZQAAAQFkAv5qAQAAAAIAAjgYAAAA/PwA/AACAAAAAAAA8L8C6pWyDHGs378CGCZTBaOS5D8AAAAAGAAAAPz8APwAAgAAAAAAAPC/AuGcEaW9wdc/Al+YTBWMSsI/AAAAABgAAAD8/AD8AAIAAAAAAADwvwK8BRIUP8b1vwKb5h2n6EjyPwAAAAAcAAAA/PwA/AACAAAAAAAA8L8CescpOpLL8z8CGCZTBaOS5D8AAAAAGAAAAPz8APwAAgAAAAAAAPC/AuGcEaW9wdc/AunZrPpcbeu/AAAAACAAAAD8/AD8AAIAAAAAAADwvwL/snvysNABwAI2zTtO0ZHkPwAAAAAgAAAA/PwA/AACAAAAAAAA8L8CvAUSFD/G9b8CTvOOU3QkAUAAAAAAGAAAAPz8APwAAgAAAAAAAPC/AvVKWYY41u+/AjbNO07Rkcy/AAAAABgAAAD8/AD8AAIAAAAAAADwvwKIhVrTvON0PwJO845TdCT4PwAAAAAgAAAA/PwA/AACAAAAAAAA8L8C6pWyDHGs378C9GxWfa629b8AAAAAGAAAAPz8APwAAgAAAAAAAPC/At6Th4Va0wBAAl+YTBWMSsI/AAAAABgAAAD8/AD8AAIAAAAAAADwvwJ6xyk6ksvzPwL0bFZ9rrb1vwAAAAAYAAAA/PwA/AACAAAAAAAA8L8C6pWyDHGs378CejarPlfbAsAAAAAAGAAAAPz8APwAAgAAAAAAAPC/At6Th4Va0wBAAunZrPpcbeu/AAAAADgEAAFlBAAAAAAAAAAACAABZQQAAAAAAAAAAAwEAWUEAAAAAAAAAAAQBAFlCAgAAAAAAAAAFAgBZQgAAAAAAAAAABgIAWUEAAAAAAAAAAAcAAFlBAAAAAAAAAAAIAABZQQAAAAAAAAAACQQAWUEAAAAAAAAAAAoDAFlCAgAAAAAAAAALBABZQQAAAAAAAAAADAkAWUEAAAAAAAAAAA0LAFlCAgAAAAAAAAANCgBZQQAAAAAAAAAAAAAAAA=</t>
        </r>
      </text>
    </comment>
    <comment ref="A843" authorId="0" shapeId="0" xr:uid="{FC57E9B4-FD94-466F-AF8A-26D0541B7916}">
      <text>
        <r>
          <rPr>
            <sz val="9"/>
            <color indexed="81"/>
            <rFont val="MS P ゴシック"/>
            <family val="3"/>
            <charset val="128"/>
          </rPr>
          <t>Insight iXlW00001C0000843R0585476093S00001684P01104LAocjBAQBF1NjaVRlZ2ljLmRhdGEuTW9sZWN1bGUBbwF/ARJTY2lUZWdpYy5Nb2xlY3VsZQAAAQFkAv5qAQAAAAIAAjgcAAAA/PwA/AACAAAAAAAA8L8CTRWMSuoE5r8CSnuDL0ym2j8AAAAAGAAAAPz8APwAAgAAAAAAAPC/AjNVMCqpE8i/ArwFEhQ/xty/AAAAABgAAAD8/AD8AAIAAAAAAADwvwJa9bnaiv30PwJKe4MvTKbaPwAAAAAYAAAA/PwA/AACAAAAAAAA8L8CtOpztRX76T8CvAUSFD/G3L8AAAAAGAAAAPz8APwAAgAAAAAAAPC/AjNVMCqpE8i/AhQ/xty1hPQ/AAAAABgAAAD8/AD8AAIAAAAAAADwvwK06nO1FfvpPwIUP8bctYT0PwAAAAAYAAAA/PwA/AACAAAAAAAA8L8CrfpcbcV+AkACSnuDL0ym2j8AAAAAGAAAAPz8APwAAgAAAAAAAPC/AqcKRiV1Avu/Akp7gy9Mpto/AAAAABgAAAD8/AD8AAIAAAAAAADwvwJTBaOSOoEBwAK8BRIUP8bcvwAAAAAYAAAA/PwA/AACAAAAAAAA8L8CdLUV+8tuCMAC3gIJih9j7r8AAAAAGAAAAPz8APwAAgAAAAAAAPC/AlMFo5I6gQHAAm+BBMWPMfe/AAAAACAAAAD8/AD8AAIAAAAAAADwvwJNFYxK6gTmvwKx4emVsgz1vwAAAAAgAAAA/PwA/AACAAAAAAAA8L8CrfpcbcV+BkAChetRuB6F9D8AAAAAIAAAAPz8APwAAgAAAAAAAPC/Aq36XG3FfgZAArwFEhQ/xty/AAAAADwEAAFlBAAAAAAAAAAACBQBZQQAAAAAAAAAAAwEAWUEAAAAAAAAAAAQAAFlBAAAAAAAAAAAFBABZQgIAAAAAAAAABgIAWUEAAAAAAAAAAAcAAFlBAAAAAAAAAAAIBwBZQQAAAAAAAAAACQgAWUEAAAAAAAAAAAoIAFlBAAAAAAAAAAALAQBZQgAAAAAAAAAADAYAWUIAAAAAAAAAAA0GAFlBAAAAAAAAAAADAgBZQgIAAAAAAAAACgkAWUEAAAAAAAAAAAAAAAA</t>
        </r>
      </text>
    </comment>
    <comment ref="A844" authorId="0" shapeId="0" xr:uid="{9F26A1E2-1F05-42C8-A815-0BA24423BE0A}">
      <text>
        <r>
          <rPr>
            <sz val="9"/>
            <color indexed="81"/>
            <rFont val="MS P ゴシック"/>
            <family val="3"/>
            <charset val="128"/>
          </rPr>
          <t>Insight iXlW00001C0000844R0585476093S00001686P01016LAocjBAQBF1NjaVRlZ2ljLmRhdGEuTW9sZWN1bGUBbwF/ARJTY2lUZWdpYy5Nb2xlY3VsZQAAAQFkAv5qAQAAAAIAAjQYAAAA/PwA/AACAAAAAAAA8L8CpAG8BRIU278CF0hQ/Bhz578AAAAAHAAAAPz8APwAAgAAAAAAAPC/AtIA3gIJiu2/ArHh6ZWyDME/AAAAABgAAAD8/AD8AAIAAAAAAADwvwKX/5B++zrxPwKx4emVsgzBPwAAAAAYAAAA/PwA/AACAAAAAAAA8L8CL/8h/fZ14j8CF0hQ/Bhz578AAAAAGAAAAPz8APwAAgAAAAAAAPC/AqQBvAUSFNu/AvA4RUdy+e8/AAAAABgAAAD8/AD8AAIAAAAAAADwvwIv/yH99nXiPwLwOEVHcvnvPwAAAAAYAAAA/PwA/AACAAAAAAAA8L8CzH9Iv32dAEACseHplbIMwT8AAAAAIAAAAPz8APwAAgAAAAAAAPC/AtIA3gIJiu2/Ak2EDU+vlPm/AAAAACAAAAD8/AD8AAIAAAAAAADwvwLMf0i/fZ0EQALSkVz+Q/rvPwAAAAAYAAAA/PwA/AACAAAAAAAA8L8CaQBvgQTF/r8CseHplbIMwT8AAAAAIAAAAPz8APwAAgAAAAAAAPC/Asx/SL99nQRAAhdIUPwYc+e/AAAAABgAAAD8/AD8AAIAAAAAAADwvwI1gLdAgmIDwAIXSFD8GHPnvwAAAAAYAAAA/PwA/AACAAAAAAAA8L8CNYC3QIJiA8AC0pFc/kP67z8AAAAANAQAAWUEAAAAAAAAAAAIDAFlCAgAAAAAAAAADAABZQQAAAAAAAAAABAEAWUEAAAAAAAAAAAUCAFlBAAAAAAAAAAAGAgBZQQAAAAAAAAAABwAAWUIAAAAAAAAAAAgGAFlCAAAAAAAAAAAJAQBZQQAAAAAAAAAACgYAWUEAAAAAAAAAAAsJAFlBAAAAAAAAAAAMCQBZQQAAAAAAAAAABQQAWUICAAAAAAAAAAAAAAA</t>
        </r>
      </text>
    </comment>
    <comment ref="A845" authorId="0" shapeId="0" xr:uid="{860FB281-076D-4373-B833-E88FCAAFC272}">
      <text>
        <r>
          <rPr>
            <sz val="9"/>
            <color indexed="81"/>
            <rFont val="MS P ゴシック"/>
            <family val="3"/>
            <charset val="128"/>
          </rPr>
          <t>Insight iXlW00001C0000845R0585476093S00001688P00948LAocjBAQBF1NjaVRlZ2ljLmRhdGEuTW9sZWN1bGUBbwF/ARJTY2lUZWdpYy5Nb2xlY3VsZQAAAQFkAv5qAQAAAAIAAjAcAAAA/PwA/AACAAAAAAAA8L8Cg8DKoUW22z8CAAAAAAAA0D8AAAAAGAAAAPz8APwAAgAAAAAAAPC/AoPAyqFFttu/AgAAAAAAANC/AAAAABgAAAD8/AD8AAIAAAAAAADwvwJjEFg5tMj0PwIAAAAAAADQvwAAAAAYAAAA/PwA/AACAAAAAAAA8L8CYxBYObTI9L8CAAAAAAAA0D8AAAAAGAAAAPz8APwAAgAAAAAAAPC/AoPAyqFFttu/AgAAAAAAAPS/AAAAABgAAAD8/AD8AAIAAAAAAADwvwKDwMqhRbbbPwIAAAAAAAD8vwAAAAAYAAAA/PwA/AACAAAAAAAA8L8CYxBYObTI9D8CAAAAAAAA9L8AAAAAIAAAAPz8APwAAgAAAAAAAPC/AlK4HoXrUQFAAgAAAAAAANA/AAAAACAAAAD8/AD8AAIAAAAAAADwvwJSuB6F61EBwAIAAAAAAADQvwAAAAAgAAAA/PwA/AACAAAAAAAA8L8CYxBYObTI9L8CAAAAAAAA9D8AAAAAGAAAAPz8APwAAgAAAAAAAPC/AoPAyqFFtts/AgAAAAAAAPQ/AAAAABgAAAD8/AD8AAIAAAAAAADwvwKDwMqhRbbbvwIAAAAAAAD8PwAAAAAwBAABZQQAAAAAAAAAAAgAAWUEAAAAAAAAAAAMBAFlBAAAAAAAAAAAEAQBZQgIAAAAAAAAABQYAWUICAAAAAAAAAAYCAFlBAAAAAAAAAAAHAgBZQgAAAAAAAAAACAMAWUIAAAAAAAAAAAkDAFlBAAAAAAAAAAAKAABZQQAAAAAAAAAACwoAWUEAAAAAAAAAAAUEAFlBAAAAAAAAAAAAAAAAA==</t>
        </r>
      </text>
    </comment>
    <comment ref="A846" authorId="0" shapeId="0" xr:uid="{BF9F11F5-658B-4AB4-9241-7A7B3FCACCEE}">
      <text>
        <r>
          <rPr>
            <sz val="9"/>
            <color indexed="81"/>
            <rFont val="MS P ゴシック"/>
            <family val="3"/>
            <charset val="128"/>
          </rPr>
          <t>Insight iXlW00001C0000846R0585476093S00001690P01104LAocjBAQBF1NjaVRlZ2ljLmRhdGEuTW9sZWN1bGUBbwF/ARJTY2lUZWdpYy5Nb2xlY3VsZQAAAQFkAv5qAQAAAAIAAjgYAAAA/PwA/AACAAAAAAAA8L8CrK3YX3ZPzj8CS+oENBE2zD8AAAAAGAAAAPz8APwAAgAAAAAAAPC/Avd14JwRpfE/AtuK/WX35NG/AAAAABwAAAD8/AD8AAIAAAAAAADwvwIYldQJaCLkvwLbiv1l9+TRvwAAAAAYAAAA/PwA/AACAAAAAAAA8L8CqoJRSZ2A/z8CS+oENBE2zD8AAAAAGAAAAPz8APwAAgAAAAAAAPC/AmgibHh6pfE/Ardif9k9efS/AAAAABgAAAD8/AD8AAIAAAAAAADwvwIYldQJaCLkvwK3Yn/ZPXn0vwAAAAAgAAAA/PwA/AACAAAAAAAA8L8CrK3YX3ZPzj8CSp2AJsKG8z8AAAAAGAAAAPz8APwAAgAAAAAAAPC/Aqyt2F92T84/Ardif9k9efy/AAAAABgAAAD8/AD8AAIAAAAAAADwvwLOqs/VVuz3vwJL6gQ0ETbMPwAAAAAgAAAA/PwA/AACAAAAAAAA8L8CqoJRSZ2A/z8CSp2AJsKG8z8AAAAAIAAAAPz8APwAAgAAAAAAAPC/AnZxGw3grQZAAtuK/WX35NG/AAAAABgAAAD8/AD8AAIAAAAAAADwvwLD9Shcj8IFwAKuR+F6FK7tPwAAAAAYAAAA/PwA/AACAAAAAAAA8L8CVVInoImwA8ACYjJVMCqpo78AAAAAGAAAAPz8APwAAgAAAAAAAPC/Aqrx0k1iEPy/ArTqc7UV+/I/AAAAADwEAAFlBAAAAAAAAAAACAABZQQAAAAAAAAAAAwEAWUEAAAAAAAAAAAQBAFlCAgAAAAAAAAAFAgBZQQAAAAAAAAAABgAAWUIAAAAAAAAAAAcFAFlCAgAAAAAAAAAIAgBZQQAAAAAAAAAACQMAWUIAAAAAAAAAAAoDAFlBAAAAAAAAAAALDQBZQQAAAAAAAAAADAgAWUEAAAAAAAAAAA0IAFlBAAAAAAAAAAAMCwBZQQAAAAAAAAAABAcAWUEAAAAAAAAAAAAAAAA</t>
        </r>
      </text>
    </comment>
    <comment ref="A847" authorId="0" shapeId="0" xr:uid="{56755791-D951-4E7C-8AB3-7DEA1390A6CB}">
      <text>
        <r>
          <rPr>
            <sz val="9"/>
            <color indexed="81"/>
            <rFont val="MS P ゴシック"/>
            <family val="3"/>
            <charset val="128"/>
          </rPr>
          <t>Insight iXlW00001C0000847R0585476093S00001692P01088LAocjBAQBF1NjaVRlZ2ljLmRhdGEuTW9sZWN1bGUBbwF/ARJTY2lUZWdpYy5Nb2xlY3VsZQAAAQFkAv5qAQAAAAIAAjgcAAAA/PwA/AACAAAAAAAA8L8CJuSDns2q7T8CL/8h/fZ15j8AAAAAGAAAAPz8APwAAgAAAAAAAPC/AhPyQc9m1fY/AlMFo5I6AcW/AAAAABgAAAD8/AD8AAIAAAAAAADwvwKjI7n8h/ThPwI3GsBbIEHlvwAAAAAYAAAA/PwA/AACAAAAAAAA8L8CwTkjSnuD078C3GgAb4EExb8AAAAAGAAAAPz8APwAAgAAAAAAAPC/AsE5I0p7g9O/AsnlP6Tfvuo/AAAAABgAAAD8/AD8AAIAAAAAAADwvwKyLm6jAbzyvwLl8h/Sb1/1PwAAAAAYAAAA/PwA/AACAAAAAAAA8L8CescpOpJLAMACyeU/pN++6j8AAAAAGAAAAPz8APwAAgAAAAAAAPC/AnrHKTqSSwDAAtxoAG+BBMW/AAAAACQAAAD8/AD8AAIAAAAAAADwvwLTTWIQWDkHwAI3GsBbIEHlvwAAAAAYAAAA/PwA/AACAAAAAAAA8L8Csi5uowG88r8CNxrAWyBB5b8AAAAAGAAAAPz8APwAAgAAAAAAAPC/AiqpE9BEWAJAAld9rrZif9U/AAAAABgAAAD8/AD8AAIAAAAAAADwvwIqqRPQRFgGQAK62or9ZffgvwAAAAAYAAAA/PwA/AACAAAAAAAA8L8CE/JBz2bV/j8CXW3F/rJ78L8AAAAAAREAAAD8/AD8AAIAAAAAAADwvwKRD3o2q74MQAIfFmpN847DPwAAAAA4AAQBZQQAAAAAAAAAAAQIAWUEAAAAAAAAAAAIDAFlBAAAAAAAAAAADBABZQgMAAAAAAAAABAUAWUEAAAAAAAAAAAUGAFlCAgAAAAAAAAAGBwBZQQAAAAAAAAAABwgAWUEAAAAAAAAAAAcJAFlCAgAAAAAAAAAJAwBZQQAAAAAAAAAAAQoAWUEAAAAAAAAAAAoLAFlBAAAAAAAAAAALDABZQQAAAAAAAAAADAEAWUEAAAAAAAAAAAAAAAA</t>
        </r>
      </text>
    </comment>
    <comment ref="A848" authorId="0" shapeId="0" xr:uid="{856C008D-5ADD-48B8-9458-2D311C0F3003}">
      <text>
        <r>
          <rPr>
            <sz val="9"/>
            <color indexed="81"/>
            <rFont val="MS P ゴシック"/>
            <family val="3"/>
            <charset val="128"/>
          </rPr>
          <t>Insight iXlW00001C0000848R0585476093S00001694P01192LAocjBAQBF1NjaVRlZ2ljLmRhdGEuTW9sZWN1bGUBbwF/ARJTY2lUZWdpYy5Nb2xlY3VsZQAAAQFkAv5qAQAAAAIAAgEQGAAAAPz8APwAAgAAAAAAAPC/AoPAyqFFtvM/AgHeAgmKH/I/AAAAABgAAAD8/AD8AAIAAAAAAADwvwKDwMqhRbb7PwL99nXgnBHRPwAAAAAYAAAA/PwA/AACAAAAAAAA8L8Cm+Ydp+jIBEACf/s6cM6I6D8AAAAAHAAAAPz8APwAAgAAAAAAAPC/AkJg5dAi2wFAAgXFjzF3LeO/AAAAABgAAAD8/AD8AAIAAAAAAADwvwKDwMqhRbbrPwIGEhQ/xtzNvwAAAAAYAAAA/PwA/AACAAAAAAAA8L8AAv32deCcEdE/AAAAABgAAAD8/AD8AAIAAAAAAADwvwACwH0dOGdE9D8AAAAAGAAAAPz8APwAAgAAAAAAAPC/AoPAyqFFtuu/AsB9HThnRPw/AAAAABgAAAD8/AD8AAIAAAAAAADwvwKDwMqhRbb7vwLAfR04Z0T0PwAAAAAYAAAA/PwA/AACAAAAAAAA8L8Cg8DKoUW2+78C/fZ14JwR0T8AAAAAGAAAAPz8APwAAgAAAAAAAPC/AoPAyqFFtuu/AgYSFD/G3M2/AAAAABgAAAD8/AD8AAIAAAAAAADwvwKDwMqhRbbrvwJBguLHmLvzvwAAAAAkAAAA/PwA/AACAAAAAAAA8L8C9P3UeOkmwT8CQYLix5i7878AAAAAJAAAAPz8APwAAgAAAAAAAPC/AoPAyqFFtuu/AiFB8WPM3QHAAAAAACQAAAD8/AD8AAIAAAAAAADwvwJCYOXQItv9vwJBguLHmLvzvwAAAAABEQAAAPz8APwAAgAAAAAAAPC/AgJNhA1PLwtAAgYSFD/G3M2/AAAAADwABAFlBAAAAAAAAAAABAgBZQQAAAAAAAAAAAQMAWUEAAAAAAAAAAAEEAFlBAAAAAAAAAAAEBQBZQQAAAAAAAAAABQYAWUIDAAAAAAAAAAYHAFlBAAAAAAAAAAAHCABZQgIAAAAAAAAACAkAWUEAAAAAAAAAAAkKAFlCAgAAAAAAAAAKBQBZQQAAAAAAAAAACgsAWUEAAAAAAAAAAAsMAFlBAAAAAAAAAAALDQBZQQAAAAAAAAAACw4AWUEAAAAAAAAAAAAAAAA</t>
        </r>
      </text>
    </comment>
    <comment ref="A849" authorId="0" shapeId="0" xr:uid="{782378E9-9DEB-4165-84B7-5E874E8D30BE}">
      <text>
        <r>
          <rPr>
            <sz val="9"/>
            <color indexed="81"/>
            <rFont val="MS P ゴシック"/>
            <family val="3"/>
            <charset val="128"/>
          </rPr>
          <t>Insight iXlW00001C0000849R0585476093S00001696P01036LAocjBAQBF1NjaVRlZ2ljLmRhdGEuTW9sZWN1bGUBbwF/ARJTY2lUZWdpYy5Nb2xlY3VsZQAAAQFkAv5qAQAAAAIAAjwYAAAA/PwA/AACAAAAAAAA8L8CAAAAAAAAAMACAAAAAAAA8L8AAAAAGAAAAPz8APwAAgAAAAAAAPC/AgAAAAAAAADAAAAAAAAYAAAA/PwA/AACAAAAAAAA8L8CAAAAAAAACMAAAAAAABwAAAD8/AD8AAIAAAAAAADwvwIAAAAAAAAAwAEAAAAAGAAAAPz8APwAAgAAAAAAAPC/AgAAAAAAAPC/AAAAAAAYAAAA/PwA/AACAAAAAAAA8L8CAAAAAAAA4L8Cg8DKoUW2678AAAAAGAAAAPz8APwAAgAAAAAAAPC/AgAAAAAAAOA/AoPAyqFFtuu/AAAAABgAAAD8/AD8AAIAAAAAAADwvwEAAAAAABgAAAD8/AD8AAIAAAAAAADwvwIAAAAAAADgPwKDwMqhRbbrPwAAAAAYAAAA/PwA/AACAAAAAAAA8L8CAAAAAAAA4L8Cg8DKoUW26z8AAAAAGAAAAPz8APwAAgAAAAAAAPC/AgAAAAAAAABAAAAAAAAkAAAA/PwA/AACAAAAAAAA8L8CAAAAAAAAAEABAAAAACQAAAD8/AD8AAIAAAAAAADwvwIAAAAAAAAIQAAAAAAAJAAAAPz8APwAAgAAAAAAAPC/AgAAAAAAAABAAgAAAAAAAPC/AAAAAAERAAAA/PwA/AACAAAAAAAA8L8CZ2ZmZmZmDkAAAAAAADgABAFlBAAAAAAAAAAABAgBZQQAAAAAAAAAAAQMAWUEAAAAAAAAAAAEEAFlBAAAAAAAAAAAEBQBZQgMAAAAAAAAABQYAWUEAAAAAAAAAAAYHAFlCAgAAAAAAAAAHCABZQQAAAAAAAAAACAkAWUICAAAAAAAAAAkEAFlBAAAAAAAAAAAHCgBZQQAAAAAAAAAACgsAWUEAAAAAAAAAAAoMAFlBAAAAAAAAAAAKDQBZQQAAAAAAAAAAAAAAAA=</t>
        </r>
      </text>
    </comment>
    <comment ref="A850" authorId="0" shapeId="0" xr:uid="{5B3828D6-46BE-4ACF-BCC6-5BD9530DA250}">
      <text>
        <r>
          <rPr>
            <sz val="9"/>
            <color indexed="81"/>
            <rFont val="MS P ゴシック"/>
            <family val="3"/>
            <charset val="128"/>
          </rPr>
          <t>Insight iXlW00001C0000850R0585476093S00001698P01232LAocjBAQBF1NjaVRlZ2ljLmRhdGEuTW9sZWN1bGUBbwF/ARJTY2lUZWdpYy5Nb2xlY3VsZQAAAQFkAv5qAQAAAAIAAgEQHAAAAPz8APwAAgAAAAAAAPC/As3MzMzMzPw/AoxK6gQ0EfE/AAAAABgAAAD8/AD8AAIAAAAAAADwvwLNzMzMzMz8PwLCqKROQBOxPwAAAAAYAAAA/PwA/AACAAAAAAAA8L8CZ2ZmZmZmBkACwqikTkATsT8AAAAAGAAAAPz8APwAAgAAAAAAAPC/AmdmZmZmZgZAAuhqK/aX3e2/AAAAABgAAAD8/AD8AAIAAAAAAADwvwLNzMzMzMz8PwLoaiv2l93tvwAAAAAYAAAA/PwA/AACAAAAAAAA8L8CmpmZmZmZ6T8CwqikTkATsT8AAAAAGAAAAPz8APwAAgAAAAAAAPC/AjMzMzMzM9M/Amsr9pfdk+m/AAAAABgAAAD8/AD8AAIAAAAAAADwvwJnZmZmZmbmvwJNhA1Pr5TpvwAAAAAYAAAA/PwA/AACAAAAAAAA8L8CMzMzMzMz878CwqikTkATsT8AAAAAGAAAAPz8APwAAgAAAAAAAPC/AmdmZmZmZua/ApxVn6ut2O0/AAAAABgAAAD8/AD8AAIAAAAAAADwvwIzMzMzMzPTPwKcVZ+rrdjtPwAAAAAYAAAA/PwA/AACAAAAAAAA8L8CmpmZmZmZAcACwqikTkATsT8AAAAAJAAAAPz8APwAAgAAAAAAAPC/ApqZmZmZmQHAAuhqK/aX3e2/AAAAACQAAAD8/AD8AAIAAAAAAADwvwKamZmZmZkJwALCqKROQBOxPwAAAAAkAAAA/PwA/AACAAAAAAAA8L8CmpmZmZmZAcACjErqBDQR8T8AAAAAAREAAAD8/AD8AAIAAAAAAADwvwLNzMzMzMwMQALCqKROQBOxPwAAAAABEAAEAWUEAAAAAAAAAAAECAFlBAAAAAAAAAAACAwBZQQAAAAAAAAAAAwQAWUEAAAAAAAAAAAQBAFlBAAAAAAAAAAABBQBZQQAAAAAAAAAABQYAWUIDAAAAAAAAAAYHAFlBAAAAAAAAAAAHCABZQgIAAAAAAAAACAkAWUEAAAAAAAAAAAkKAFlCAgAAAAAAAAAKBQBZQQAAAAAAAAAACAsAWUEAAAAAAAAAAAsMAFlBAAAAAAAAAAALDQBZQQAAAAAAAAAACw4AWUEAAAAAAAAAAAAAAAA</t>
        </r>
      </text>
    </comment>
    <comment ref="A851" authorId="0" shapeId="0" xr:uid="{45A5908D-3A4D-4CCB-B183-326F407ED75F}">
      <text>
        <r>
          <rPr>
            <sz val="9"/>
            <color indexed="81"/>
            <rFont val="MS P ゴシック"/>
            <family val="3"/>
            <charset val="128"/>
          </rPr>
          <t>Insight iXlW00001C0000851R0585476093S00001700P01304LAocjBAQBF1NjaVRlZ2ljLmRhdGEuTW9sZWN1bGUBbwF/ARJTY2lUZWdpYy5Nb2xlY3VsZQAAAQFkAv5qAQAAAAIAAgERGAAAAPz8APwAAgAAAAAAAPC/AgFvgQTFj/O/AmgibHh6pfW/AAAAABgAAAD8/AD8AAIAAAAAAADwvwLEsS5uowH2PwLA7J48LNTCPwAAAAAYAAAA/PwA/AACAAAAAAAA8L8CAW+BBMWP878CoImw4emV1r8AAAAAGAAAAPz8APwAAgAAAAAAAPC/AjzfT42X7gFAAjC7Jw8LteQ/AAAAABgAAAD8/AD8AAIAAAAAAADwvwL8OnDOiNLWvwLA7J48LNTCPwAAAAAYAAAA/PwA/AACAAAAAAAA8L8CBqOSOgFN4D8CoImw4emV1r8AAAAAIAAAAPz8APwAAgAAAAAAAPC/AjzfT42X7gFAApjdk4eFWvo/AAAAACQAAAD8/AD8AAIAAAAAAADwvwIEeAskKH7MvwJoImx4eqX1vwAAAAAkAAAA/PwA/AACAAAAAAAA8L8CAW+BBMWP878CNBE2PL3SAsAAAAAAJAAAAPz8APwAAgAAAAAAAPC/AoC3QILixwHAAmgibHh6pfW/AAAAACAAAAD8/AD8AAIAAAAAAADwvwJcj8L1KNwIQALA7J48LNTCPwAAAAAYAAAA/PwA/AACAAAAAAAA8L8CiWNd3EYD7D8C2j15WKg18D8AAAAAGAAAAPz8APwAAgAAAAAAAPC/AsWxLm6jAf4/AjZeukkMAue/AAAAABgAAAD8/AD8AAIAAAAAAADwvwL8OnDOiNLWvwKY3ZOHhVryPwAAAAAYAAAA/PwA/AACAAAAAAAA8L8CoWez6nO1AMACwOyePCzUwj8AAAAAGAAAAPz8APwAAgAAAAAAAPC/AgFvgQTFj/O/Apjdk4eFWvo/AAAAABgAAAD8/AD8AAIAAAAAAADwvwKhZ7Pqc7UAwAKY3ZOHhVryPwAAAAABEQQUAWUEAAAAAAAAAAAIAAFlBAAAAAAAAAAADAQBZQQAAAAAAAAAABAIAWUEAAAAAAAAAAAUEAFlBAAAAAAAAAAAGAwBZQgAAAAAAAAAABwAAWUEAAAAAAAAAAAgAAFlBAAAAAAAAAAAJAABZQQAAAAAAAAAACgMAWUEAAAAAAAAAAAsBAFlBAAAAAAAAAAAMAQBZQQAAAAAAAAAADQQAWUICAAAAAAAAAA4CAFlCAwAAAAAAAAAPAEQAWUICAAAAAAAAAABEDgBZQQAAAAAAAAAADQ8AWUEAAAAAAAAAAAAAAAA</t>
        </r>
      </text>
    </comment>
    <comment ref="A852" authorId="0" shapeId="0" xr:uid="{3950CB36-0B4E-403A-A646-AB6BC3EF9D0A}">
      <text>
        <r>
          <rPr>
            <sz val="9"/>
            <color indexed="81"/>
            <rFont val="MS P ゴシック"/>
            <family val="3"/>
            <charset val="128"/>
          </rPr>
          <t>Insight iXlW00001C0000852R0585476093S00001702P01304LAocjBAQBF1NjaVRlZ2ljLmRhdGEuTW9sZWN1bGUBbwF/ARJTY2lUZWdpYy5Nb2xlY3VsZQAAAQFkAv5qAQAAAAIAAgERGAAAAPz8APwAAgAAAAAAAPC/AkVpb/CFyf8/AqkT0ETY8NA/AAAAABgAAAD8/AD8AAIAAAAAAADwvwLCFyZTBaP3vwIW+8vuycP7vwAAAAAYAAAA/PwA/AACAAAAAAAA8L8CwhcmUwWj978CLPaX3ZOH578AAAAAGAAAAPz8APwAAgAAAAAAAPC/AgMJih9j7vE/AtUJaCJseOg/AAAAABgAAAD8/AD8AAIAAAAAAADwvwLCFyZTBaP3vwKpE9BE2PDQPwAAAAAYAAAA/PwA/AACAAAAAAAA8L8CBqOSOgFN0D8CqRPQRNjw0D8AAAAAIAAAAPz8APwAAgAAAAAAAPC/AgFvgQTFj+O/Aov9Zffk4QHAAAAAABgAAAD8/AD8AAIAAAAAAADwvwIBb4EExY/jvwLVCWgibHjoPwAAAAAkAAAA/PwA/AACAAAAAAAA8L8CorQ3+MLkA0ACLGUZ4lgX8j8AAAAAJAAAAPz8APwAAgAAAAAAAPC/Avw6cM6I0gZAAq7YX3ZPHs6/AAAAACQAAAD8/AD8AAIAAAAAAADwvwJFaW/whcn3PwKvtmJ/2T3jvwAAAAAgAAAA/PwA/AACAAAAAAAA8L8COpLLf0i/AsACi/1l9+ThAcAAAAAAGAAAAPz8APwAAgAAAAAAAPC/AgdfmEwVjN6/Aiz2l92Th+e/AAAAABgAAAD8/AD8AAIAAAAAAADwvwLhC5OpgtEDwAIs9pfdk4fnvwAAAAAYAAAA/PwA/AACAAAAAAAA8L8CAwmKH2Pu8T8C6wQ0ETY8/D8AAAAAGAAAAPz8APwAAgAAAAAAAPC/AgajkjoBTdA/AnUCmggbHgJAAAAAABgAAAD8/AD8AAIAAAAAAADwvwIBb4EExY/jvwLrBDQRNjz8PwAAAAABEQQIAWUEAAAAAAAAAAAIEAFlBAAAAAAAAAAADAABZQQAAAAAAAAAABAcAWUEAAAAAAAAAAAUDAFlBAAAAAAAAAAAGAQBZQgAAAAAAAAAABwUAWUIDAAAAAAAAAAgAAFlBAAAAAAAAAAAJAABZQQAAAAAAAAAACgAAWUEAAAAAAAAAAAsBAFlBAAAAAAAAAAAMAgBZQQAAAAAAAAAADQIAWUEAAAAAAAAAAA4DAFlCAwAAAAAAAAAPDgBZQQAAAAAAAAAAAEQPAFlCAgAAAAAAAAAHAEQAWUEAAAAAAAAAAAAAAAA</t>
        </r>
      </text>
    </comment>
    <comment ref="A853" authorId="0" shapeId="0" xr:uid="{180D118D-5C70-4FD2-A528-ED966DE14603}">
      <text>
        <r>
          <rPr>
            <sz val="9"/>
            <color indexed="81"/>
            <rFont val="MS P ゴシック"/>
            <family val="3"/>
            <charset val="128"/>
          </rPr>
          <t>Insight iXlW00001C0000853R0585476093S00001704P01016LAocjBAQBF1NjaVRlZ2ljLmRhdGEuTW9sZWN1bGUBbwF/ARJTY2lUZWdpYy5Nb2xlY3VsZQAAAQFkAv5qAQAAAAIAAjQYAAAA/PwA/AACAAAAAAAA8L8CK6kT0ETY/b8Cc/kP6bevw78AAAAAGAAAAPz8APwAAgAAAAAAAPC/AtKRXP5D+u+/AoNRSZ2AJtY/AAAAABgAAAD8/AD8AAIAAAAAAADwvwKx4emVsgzBvwLCqKROQBPrPwAAAAAcAAAA/PwA/AACAAAAAAAA8L8CF0hQ/Bhz5z8CXf5D+u3r5L8AAAAAIAAAAPz8APwAAgAAAAAAAPC/AiupE9BE2P2/Ai//If32dfK/AAAAABgAAAD8/AD8AAIAAAAAAADwvwIXSFD8GHPnPwKDUUmdgCbWPwAAAAAgAAAA/PwA/AACAAAAAAAA8L8CtoR80LPZBcACRwN4CyQo1j8AAAAAGAAAAPz8APwAAgAAAAAAAPC/AqMjufyH9N+/AsIXJlMFo+C/AAAAABgAAAD8/AD8AAIAAAAAAADwvwJ4nKIjufz3vwIUYcPTK2XzPwAAAAAYAAAA/PwA/AACAAAAAAAA8L8CTYQNT6+U+T8CL/8h/fZ18r8AAAAAGAAAAPz8APwAAgAAAAAAAPC/Ak2EDU+vlPk/AsKopE5AE+s/AAAAABgAAAD8/AD8AAIAAAAAAADwvwJIcvkP6bcDQAJd/kP67evkvwAAAAAYAAAA/PwA/AACAAAAAAAA8L8CSHL5D+m3A0ACRwN4CyQo1j8AAAAANAQAAWUEAAAAAAAAAAAIBAFlBAAAAAAAAAAADBQBZQQAAAAAAAAAABAAAWUIAAAAAAAAAAAUCAFlBAAAAAAAAAAAGAABZQQAAAAAAAAAABwEAWUEAAAAAAAAAAAgBAFlBAAAAAAAAAAAJAwBZQgIAAAAAAAAACgUAWUICAAAAAAAAAAsMAFlCAgAAAAAAAAAMCgBZQQAAAAAAAAAACQsAWUEAAAAAAAAAAAAAAAA</t>
        </r>
      </text>
    </comment>
    <comment ref="A854" authorId="0" shapeId="0" xr:uid="{58B248F6-CD23-4FC6-B3ED-F8A40A282889}">
      <text>
        <r>
          <rPr>
            <sz val="9"/>
            <color indexed="81"/>
            <rFont val="MS P ゴシック"/>
            <family val="3"/>
            <charset val="128"/>
          </rPr>
          <t>Insight iXlW00001C0000854R0585476093S00001706P01148LAocjBAQBF1NjaVRlZ2ljLmRhdGEuTW9sZWN1bGUBbwF/ARJTY2lUZWdpYy5Nb2xlY3VsZQAAAQFkAv5qAQAAAAIAAgEQGAAAAPz8APwAAgAAAAAAAPC/AgAAAAAAgANAAAAAAAAYAAAA/PwA/AACAAAAAAAA8L8CAAAAAAAA+b8AAAAAABgAAAD8/AD8AAIAAAAAAADwvwIAAAAAAIAEwAAAAAAAGAAAAPz8APwAAgAAAAAAAPC/AgAAAAAAAPc/AAAAAAAYAAAA/PwA/AACAAAAAAAA8L8CAAAAAAAA4r8AAAAAACAAAAD8/AD8AAIAAAAAAADwvwIAAAAAAIAIwAKDwMqhRbbrvwAAAAAYAAAA/PwA/AACAAAAAAAA8L8CAAAAAAAA7j8Cg8DKoUW2678AAAAAGAAAAPz8APwAAgAAAAAAAPC/AgAAAAAAAO4/AoPAyqFFtus/AAAAABgAAAD8/AD8AAIAAAAAAADwvwIAAAAAAACwvwKDwMqhRbbrvwAAAAAYAAAA/PwA/AACAAAAAAAA8L8CAAAAAAAAsL8Cg8DKoUW26z8AAAAAJAAAAPz8APwAAgAAAAAAAPC/AgAAAAAAgANAAQAAAAAkAAAA/PwA/AACAAAAAAAA8L8CAAAAAACAC0AAAAAAACQAAAD8/AD8AAIAAAAAAADwvwIAAAAAAIADQAIAAAAAAADwvwAAAAAgAAAA/PwA/AACAAAAAAAA8L8CAAAAAACACMACg8DKoUW26z8AAAAAGAAAAPz8APwAAgAAAAAAAPC/AgAAAAAAAPm/AgAAAAAAAPC/AAAAABgAAAD8/AD8AAIAAAAAAADwvwIAAAAAAAD5vwEAAAAAARAEEAFlBAAAAAAAAAAACAQBZQQAAAAAAAAAAAwAAWUEAAAAAAAAAAAQJAFlCAwAAAAAAAAAFAgBZQgAAAAAAAAAABgMAWUEAAAAAAAAAAAcDAFlCAwAAAAAAAAAIBgBZQgIAAAAAAAAACQcAWUEAAAAAAAAAAAoAAFlBAAAAAAAAAAALAABZQQAAAAAAAAAADAAAWUEAAAAAAAAAAA0CAFlBAAAAAAAAAAAOAQBZQQAAAAAAAAAADwEAWUEAAAAAAAAAAAQIAFlBAAAAAAAAAAAAAAAAA==</t>
        </r>
      </text>
    </comment>
    <comment ref="A855" authorId="0" shapeId="0" xr:uid="{36CE9C49-62AA-445E-A2AD-A3935F501DD8}">
      <text>
        <r>
          <rPr>
            <sz val="9"/>
            <color indexed="81"/>
            <rFont val="MS P ゴシック"/>
            <family val="3"/>
            <charset val="128"/>
          </rPr>
          <t>Insight iXlW00001C0000855R0585476093S00001708P01248LAocjBAQBF1NjaVRlZ2ljLmRhdGEuTW9sZWN1bGUBbwF/ARJTY2lUZWdpYy5Nb2xlY3VsZQAAAQFkAv5qAQAAAAIAAgEQGAAAAPz8APwAAgAAAAAAAPC/Av7UeOkmMfs/AhDpt68D58S/AAAAABgAAAD8/AD8AAIAAAAAAADwvwKcM6K0N/j9PwIDmggbnl7yvwAAAAAYAAAA/PwA/AACAAAAAAAA8L8CW9O84xQdBUACz2bV52or4L8AAAAAGAAAAPz8APwAAgAAAAAAAPC/AoGVQ4tsZwLAAhDpt68D58S/AAAAABgAAAD8/AD8AAIAAAAAAADwvwKcM6K0N/j9PwJ9PzVeuknqPwAAAAAYAAAA/PwA/AACAAAAAAAA8L8C/Knx0k1i5j8CEOm3rwPnxL8AAAAAGAAAAPz8APwAAgAAAAAAAPC/AgIrhxbZzvS/AhDpt68D58S/AAAAACAAAAD8/AD8AAIAAAAAAADwvwL0bFZ9rrbxPwJahjjWxW33PwAAAAAYAAAA/PwA/AACAAAAAAAA8L8C8KfGSzeJyT8CP8bctYR85j8AAAAAGAAAAPz8APwAAgAAAAAAAPC/AvCnxks3ick/AmRd3EYDePC/AAAAABgAAAD8/AD8AAIAAAAAAADwvwIEVg4tsp3pvwJkXdxGA3jwvwAAAAAYAAAA/PwA/AACAAAAAAAA8L8CBFYOLbKd6b8CP8bctYR85j8AAAAAJAAAAPz8APwAAgAAAAAAAPC/AoGVQ4tsZwLAAiL99nXgnPK/AAAAACQAAAD8/AD8AAIAAAAAAADwvwKBlUOLbGcKwAIQ6bevA+fEvwAAAAAkAAAA/PwA/AACAAAAAAAA8L8CgZVDi2xnAsACvAUSFD/G6j8AAAAAIAAAAPz8APwAAgAAAAAAAPC/AqqCUUmdgAZAAgRWDi2ynfI/AAAAAAERBAABZQQAAAAAAAAAAAgAAWUEAAAAAAAAAAAMGAFlBAAAAAAAAAAAEAABZQQAAAAAAAAAABQAAWUEAAAAAAAAAAAYKAFlBAAAAAAAAAAAHBABZQgAAAAAAAAAACAUAWUIDAAAAAAAAAAkFAFlBAAAAAAAAAAAKCQBZQgIAAAAAAAAACwgAWUEAAAAAAAAAAAwDAFlBAAAAAAAAAAANAwBZQQAAAAAAAAAADgMAWUEAAAAAAAAAAA8EAFlBAAAAAAAAAAABAgBZQQAAAAAAAAAACwYAWUIDAAAAAAAAAAAAAAA</t>
        </r>
      </text>
    </comment>
    <comment ref="A856" authorId="0" shapeId="0" xr:uid="{A64A7EAF-6EFF-4214-BB95-9F89B6D16991}">
      <text>
        <r>
          <rPr>
            <sz val="9"/>
            <color indexed="81"/>
            <rFont val="MS P ゴシック"/>
            <family val="3"/>
            <charset val="128"/>
          </rPr>
          <t>Insight iXlW00001C0000856R0585476093S00001710P00576LAocjBAQBF1NjaVRlZ2ljLmRhdGEuTW9sZWN1bGUBbwF/ARJTY2lUZWdpYy5Nb2xlY3VsZQAAAQFkAv5qAQAAAAIAAhwYAAAA/PwA/AACAAAAAAAA8L8CLiEf9GxWxb8CJuSDns2q8r8AAAAAGAAAAPz8APwAAgAAAAAAAPC/Ai4hH/RsVsW/Ai4hH/RsVsW/AAAAABwAAAD8/AD8AAIAAAAAAADwvwIm5IOezaryvwIuIR/0bFbFvwAAAAAYAAAA/PwA/AACAAAAAAAA8L8CLiEf9GxWxb8CtTf4wmSq6j8AAAAAGAAAAPz8APwAAgAAAAAAAPC/ArU3+MJkquo/ArU3+MJkquo/AAAAABgAAAD8/AD8AAIAAAAAAADwvwK1N/jCZKrqPwIuIR/0bFbFvwAAAAABEQAAAPz8APwAAgAAAAAAAPC/AqfoSC7/Ifo/Ai4hH/RsVsW/AAAAABgABAFlBAAAAAAAAAAABAgBZQQAAAAAAAAAAAQMAWUEAAAAAAAAAAAMEAFlBAAAAAAAAAAAEBQBZQQAAAAAAAAAABQEAWUEAAAAAAAAAAAAAAAA</t>
        </r>
      </text>
    </comment>
    <comment ref="A857" authorId="0" shapeId="0" xr:uid="{F95C6C8C-40C0-499A-9FB0-C0E0E76043F9}">
      <text>
        <r>
          <rPr>
            <sz val="9"/>
            <color indexed="81"/>
            <rFont val="MS P ゴシック"/>
            <family val="3"/>
            <charset val="128"/>
          </rPr>
          <t>Insight iXlW00001C0000857R0585476093S00001712P01072LAocjBAQBF1NjaVRlZ2ljLmRhdGEuTW9sZWN1bGUBbwF/ARJTY2lUZWdpYy5Nb2xlY3VsZQAAAQFkAv5qAQAAAAIAAjgYAAAA/PwA/AACAAAAAAAA8L8C+FPjpZvE7D8CwhcmUwWj4D8AAAAAGAAAAPz8APwAAgAAAAAAAPC/Avyp8dJNYvY/AoNRSZ2AJta/AAAAABgAAAD8/AD8AAIAAAAAAADwvwL8qfHSTWL+PwIUYcPTK2XzvwAAAAAYAAAA/PwA/AACAAAAAAAA8L8CH4XrUbgeAkAC+1xtxf6ywz8AAAAAHAAAAPz8APwAAgAAAAAAAPC/AkA1XrpJDAlAAkcDeAskKNa/AAAAABgAAAD8/AD8AAIAAAAAAADwvwKTOgFNhA3hPwLCqKROQBPrvwAAAAAYAAAA/PwA/AACAAAAAAAA8L8C4QuTqYJR1b8Cg1FJnYAm1r8AAAAAGAAAAPz8APwAAgAAAAAAAPC/AjojSnuDL/O/AsKopE5AE+u/AAAAABgAAAD8/AD8AAIAAAAAAADwvwK+wRcmU4UAwAJHA3gLJCjWvwAAAAAYAAAA/PwA/AACAAAAAAAA8L8CvsEXJlOFAMACXf5D+u3r5D8AAAAAJAAAAPz8APwAAgAAAAAAAPC/At9xio7kcgfAAi//If32dfI/AAAAABgAAAD8/AD8AAIAAAAAAADwvwI6I0p7gy/zvwIv/yH99nXyPwAAAAAYAAAA/PwA/AACAAAAAAAA8L8C4QuTqYJR1b8CXf5D+u3r5D8AAAAAAREAAAD8/AD8AAIAAAAAAADwvwKmm8QgsHIPQAKfPCzUmuadvwAAAAA0AAQBZQQAAAAAAAAAAAQIAWUEAAAAAAAAAAAEDAFlBAAAAAAAAAAADBABZQQAAAAAAAAAAAQUAWUEAAAAAAAAAAAUGAFlBAAAAAAAAAAAGBwBZQgMAAAAAAAAABwgAWUEAAAAAAAAAAAgJAFlCAwAAAAAAAAAJCgBZQQAAAAAAAAAACQsAWUEAAAAAAAAAAAsMAFlCAgAAAAAAAAAMBgBZQQAAAAAAAAAAAAAAAA=</t>
        </r>
      </text>
    </comment>
    <comment ref="A858" authorId="0" shapeId="0" xr:uid="{E0EB3ADC-D13A-4780-8DFB-6A6224B01091}">
      <text>
        <r>
          <rPr>
            <sz val="9"/>
            <color indexed="81"/>
            <rFont val="MS P ゴシック"/>
            <family val="3"/>
            <charset val="128"/>
          </rPr>
          <t>Insight iXlW00001C0000858R0585476093S00001714P01288LAocjBAQBF1NjaVRlZ2ljLmRhdGEuTW9sZWN1bGUBbwF/ARJTY2lUZWdpYy5Nb2xlY3VsZQAAAQFkAv5qAQAAAAIAAgERGAAAAPz8APwAAgAAAAAAAPC/AobJVMGopPK/AhI2PL1Slu+/AAAAABgAAAD8/AD8AAIAAAAAAADwvwLkFB3J5T8AwAIjbHh6pSzfvwAAAAAYAAAA/PwA/AACAAAAAAAA8L8CPZtVn6stB8ACs3vysFBrij8AAAAAGAAAAPz8APwAAgAAAAAAAPC/AuQUHcnlPwTAArsnDwu1pvW/AAAAABwAAAD8/AD8AAIAAAAAAADwvwLkFB3J5T8MwAK7Jw8Ltab1vwAAAAAYAAAA/PwA/AACAAAAAAAA8L8CyCk6kst/+L8C5BQdyeU/2D8AAAAAGAAAAPz8APwAAgAAAAAAAPC/Ao9TdCSX/+C/AuQUHcnlP9g/AAAAABgAAAD8/AD8AAIAAAAAAADwvwLfcYqO5PKfvwIjbHh6pSzfvwAAAAAYAAAA/PwA/AACAAAAAAAA8L8Cj1N0JJf/7j8CI2x4eqUs378AAAAAGAAAAPz8APwAAgAAAAAAAPC/AsgpOpLLf/c/AuQUHcnlP9g/AAAAABgAAAD8/AD8AAIAAAAAAADwvwKPU3Qkl//uPwJ7pSxDHOvzPwAAAAAYAAAA/PwA/AACAAAAAAAA8L8C33GKjuTyn78Ce6UsQxzr8z8AAAAAGAAAAPz8APwAAgAAAAAAAPC/AuQUHcnlvwNAAuQUHcnlP9g/AAAAACQAAAD8/AD8AAIAAAAAAADwvwLkFB3J5b8DQAI5RUdy+Q/2PwAAAAAkAAAA/PwA/AACAAAAAAAA8L8C5BQdyeW/C0AC5BQdyeU/2D8AAAAAJAAAAPz8APwAAgAAAAAAAPC/AuQUHcnlvwNAAo51cRsN4OO/AAAAAAERAAAA/PwA/AACAAAAAAAA8L8Cpb3BFyYTEUACs3vysFBrij8AAAAAARAABAFlBAAAAAAAAAAABAgBZQQAAAAAAAAAAAQMAWUEAAAAAAAAAAAMEAFlBAAAAAAAAAAABBQBZQQAAAAAAAAAABQYAWUEAAAAAAAAAAAYHAFlCAwAAAAAAAAAHCABZQQAAAAAAAAAACAkAWUICAAAAAAAAAAkKAFlBAAAAAAAAAAAKCwBZQgIAAAAAAAAACwYAWUEAAAAAAAAAAAkMAFlBAAAAAAAAAAAMDQBZQQAAAAAAAAAADA4AWUEAAAAAAAAAAAwPAFlBAAAAAAAAAAAAAAAAA==</t>
        </r>
      </text>
    </comment>
    <comment ref="A859" authorId="0" shapeId="0" xr:uid="{82562942-D5BB-4B8B-BE54-9D17EF77CF6F}">
      <text>
        <r>
          <rPr>
            <sz val="9"/>
            <color indexed="81"/>
            <rFont val="MS P ゴシック"/>
            <family val="3"/>
            <charset val="128"/>
          </rPr>
          <t>Insight iXlW00001C0000859R0585476093S00001716P00720LAocjBAQBF1NjaVRlZ2ljLmRhdGEuTW9sZWN1bGUBbwF/ARJTY2lUZWdpYy5Nb2xlY3VsZQAAAQFkAv5qAQAAAAIAAiQYAAAA/PwA/AACAAAAAAAA8L8CxSCwcmiR1T8C5BQdyeU/6D8AAAAAGAAAAPz8APwAAgAAAAAAAPC/AmMQWDm0yOo/AvtcbcX+sru/AAAAABgAAAD8/AD8AAIAAAAAAADwvwJzaJHtfD/7PwLCqKROQBPZPwAAAAAcAAAA/PwA/AACAAAAAAAA8L8CMQisHFpk9T8CBcWPMXct778AAAAAGAAAAPz8APwAAgAAAAAAAPC/AhkEVg4tsp2/AoIExY8xd+O/AAAAABgAAAD8/AD8AAIAAAAAAADwvwKkcD0K16PsvwIMJCh+jLm7vwAAAAAYAAAA/PwA/AACAAAAAAAA8L8CUrgehetR9r8CArwFEhQ/6D8AAAAAGAAAAPz8APwAAgAAAAAAAPC/AlK4HoXrUf6/AgwkKH6Mubu/AAAAAAERAAAA/PwA/AACAAAAAAAA8L8CoBov3SQGBEAC+1xtxf6yu78AAAAAIAAEAWUEAAAAAAAAAAAECAFlBAAAAAAAAAAABAwBZQQAAAAAAAAAAAQQAWUEAAAAAAAAAAAQFAFlBAAAAAAAAAAAFBgBZQQAAAAAAAAAABgcAWUEAAAAAAAAAAAcFAFlBAAAAAAAAAAAAAAAAA==</t>
        </r>
      </text>
    </comment>
    <comment ref="A860" authorId="0" shapeId="0" xr:uid="{E6AF5560-A6D2-44A9-AA6A-BC18EE7C7962}">
      <text>
        <r>
          <rPr>
            <sz val="9"/>
            <color indexed="81"/>
            <rFont val="MS P ゴシック"/>
            <family val="3"/>
            <charset val="128"/>
          </rPr>
          <t>Insight iXlW00001C0000860R0585476093S00001718P01232LAocjBAQBF1NjaVRlZ2ljLmRhdGEuTW9sZWN1bGUBbwF/ARJTY2lUZWdpYy5Nb2xlY3VsZQAAAQFkAv5qAQAAAAIAAgEQGAAAAPz8APwAAgAAAAAAAPC/AjerPldbsd+/AmfV52ordgDAAAAAACAAAAD8/AD8AAIAAAAAAADwvwIPC7Wmecf1vwLOqs/VVuz4vwAAAAAYAAAA/PwA/AACAAAAAAAA8L8CDwu1pnnH9b8Cm1Wfq63Y4b8AAAAAGAAAAPz8APwAAgAAAAAAAPC/Aqk1zTtO0QHAArRZ9bnaiq2/AAAAABgAAAD8/AD8AAIAAAAAAADwvwKpNc07TtEBwAJlqmBUUifuPwAAAAAYAAAA/PwA/AACAAAAAAAA8L8CDwu1pnnH9b8CM1UwKqkT9z8AAAAAGAAAAPz8APwAAgAAAAAAAPC/AjerPldbsd+/AmWqYFRSJ+4/AAAAABgAAAD8/AD8AAIAAAAAAADwvwI3qz5XW7HfvwK0WfW52oqtvwAAAAAYAAAA/PwA/AACAAAAAAAA8L8C0NVW7C+71z8Cm1Wfq63Y4b8AAAAAGAAAAPz8APwAAgAAAAAAAPC/ArYV+8vuyfM/ArRZ9bnaiq2/AAAAABgAAAD8/AD8AAIAAAAAAADwvwJrK/aX3ZPnPwLoaiv2l93pPwAAAAAcAAAA/PwA/AACAAAAAAAA8L8CthX7y+7J8z8CthX7y+7J+j8AAAAAGAAAAPz8APwAAgAAAAAAAPC/Avw6cM6I0gBAAspUwaikTtw/AAAAABgAAAD8/AD8AAIAAAAAAADwvwI0ETY8vdIEQAI9LNSa5h3bvwAAAAAYAAAA/PwA/AACAAAAAAAA8L8CthX7y+7J+z8CAW+BBMWP7b8AAAAAAREAAAD8/AD8AAIAAAAAAADwvwKbd5yiIzkLQAJhVFInoInIvwAAAAABEAAEAWUEAAAAAAAAAAAECAFlBAAAAAAAAAAACAwBZQgMAAAAAAAAAAwQAWUEAAAAAAAAAAAQFAFlCAgAAAAAAAAAFBgBZQQAAAAAAAAAABgcAWUICAAAAAAAAAAcCAFlBAAAAAAAAAAAHCABZQQAAAAAAAAAACAkAWUEAAAAAAAAAAAkKAFlBAAAAAAAAAAAKCwBZQQAAAAAAAAAACQwAWUEAAAAAAAAAAAwNAFlBAAAAAAAAAAANDgBZQQAAAAAAAAAADgkAWUEAAAAAAAAAAAAAAAA</t>
        </r>
      </text>
    </comment>
    <comment ref="A861" authorId="0" shapeId="0" xr:uid="{EAB25F45-FE57-4FAB-AE19-8664C816E307}">
      <text>
        <r>
          <rPr>
            <sz val="9"/>
            <color indexed="81"/>
            <rFont val="MS P ゴシック"/>
            <family val="3"/>
            <charset val="128"/>
          </rPr>
          <t>Insight iXlW00001C0000861R0585476093S00001720P00752LAocjBAQBF1NjaVRlZ2ljLmRhdGEuTW9sZWN1bGUBbwF/ARJTY2lUZWdpYy5Nb2xlY3VsZQAAAQFkAv5qAQAAAAIAAiQgAAAA/PwA/AACAAAAAAAA8L8CdEaU9gZf4r8C5x2n6Egu4T8AAAAAGAAAAPz8APwAAgAAAAAAAPC/AoxK6gQ0Ec4/AqcKRiV1Aqq/AAAAABwAAAD8/AD8AAIAAAAAAADwvwKcM6K0N/iyvwJkzF1LyAfwvwAAAAAcAAAA/PwA/AACAAAAAAAA8L8COiNKe4Mv8b8CZMxdS8gH8L8AAAAAGAAAAPz8APwAAgAAAAAAAPC/AsWPMXctIfa/AqcKRiV1Aqq/AAAAABgAAAD8/AD8AAIAAAAAAADwvwLvOEVHcvnyPwKdoiO5/IfQPwAAAAAYAAAA/PwA/AACAAAAAAAA8L8CHVpkO99PAUACINJvXwfOqT8AAAAAGAAAAPz8APwAAgAAAAAAAPC/Aq5H4XoUrv0/Ai9uowG8BfA/AAAAABwAAAD8/AD8AAIAAAAAAADwvwLqlbIMcawCwAKdoiO5/IfQPwAAAAAoBAABZQQAAAAAAAAAAAgEAWUICAAAAAAAAAAMEAFlCAgAAAAAAAAAEAABZQQAAAAAAAAAABQEAWUEAAAAAAAAAAAYFAFlBAAAAAAAAAAAHBQBZQQAAAAAAAAAACAQAWUEAAAAAAAAAAAIDAFlBAAAAAAAAAAAHBgBZQQAAAAAAAAAAAAAAAA=</t>
        </r>
      </text>
    </comment>
    <comment ref="A862" authorId="0" shapeId="0" xr:uid="{8ABA14F3-8A69-4C8E-B917-85591083AC30}">
      <text>
        <r>
          <rPr>
            <sz val="9"/>
            <color indexed="81"/>
            <rFont val="MS P ゴシック"/>
            <family val="3"/>
            <charset val="128"/>
          </rPr>
          <t>Insight iXlW00001C0000862R0585476093S00001722P00788LAocjBAQBF1NjaVRlZ2ljLmRhdGEuTW9sZWN1bGUBbwF/ARJTY2lUZWdpYy5Nb2xlY3VsZQAAAQFkAv5qAQAAAAIAAigcAAAA/PwA/AACAAAAAAAA8L8CAwmKH2PuAsACz/dT46Wb0L8AAAAAGAAAAPz8APwAAgAAAAAAAPC/Ag3gLZCg+Pm/Ai1DHOviNto/AAAAABgAAAD8/AD8AAIAAAAAAADwvwLf4AuTqYLlvwIQC7Wmece5PwAAAAAYAAAA/PwA/AACAAAAAAAA8L8CzV1LyAc9178C2j15WKg1678AAAAAGAAAAPz8APwAAgAAAAAAAPC/Ajj4wmSqYOQ/AryWkA96Nuu/AAAAABgAAAD8/AD8AAIAAAAAAADwvwIxKqkT0ETuPwIQC7Wmece5PwAAAAAkAAAA/PwA/AACAAAAAAAA8L8CGJXUCWgi9z8C5WGh1jTv7j8AAAAAJAAAAPz8APwAAgAAAAAAAPC/Ah3r4jYawP0/Ai/dJAaBldO/AAAAABgAAAD8/AD8AAIAAAAAAADwvwJnRGlv8IXBPwLVeOkmMQjmPwAAAAABEQAAAPz8APwAAgAAAAAAAPC/AvXb14FzRgVAAlwgQfFjzK0/AAAAACQABAFlBAAAAAAAAAAACAQBZQQAAAAAAAAAAAgMAWUEAAAAAAAAAAAMEAFlBAAAAAAAAAAAEBQBZQQAAAAAAAAAABQYAWUEAAAAAAAAAAAUHAFlBAAAAAAAAAAAFCABZQQAAAAAAAAAACAIAWUEAAAAAAAAAAAAAAAA</t>
        </r>
      </text>
    </comment>
    <comment ref="A863" authorId="0" shapeId="0" xr:uid="{FB330D03-A300-4E3B-9ABD-724E2FDF9AF1}">
      <text>
        <r>
          <rPr>
            <sz val="9"/>
            <color indexed="81"/>
            <rFont val="MS P ゴシック"/>
            <family val="3"/>
            <charset val="128"/>
          </rPr>
          <t>Insight iXlW00001C0000863R0585476093S00001724P01324LAocjBAQBF1NjaVRlZ2ljLmRhdGEuTW9sZWN1bGUBbwF/ARJTY2lUZWdpYy5Nb2xlY3VsZQAAAQFkAv5qAQAAAAIAAgERHAAAAPz8APwAAgAAAAAAAPC/Asx/SL99HfA/AvLSTWIQWLm/AAAAABgAAAD8/AD8AAIAAAAAAADwvwJ1kxgEVg73PwJEi2zn+6npPwAAAAAYAAAA/PwA/AACAAAAAAAA8L8C4umVsgzxB8AC8tJNYhBYub8AAAAAGAAAAPz8APwAAgAAAAAAAPC/ApPLf0i/fX0/AvLSTWIQWLm/AAAAABgAAAD8/AD8AAIAAAAAAADwvwLE0ytlGeL/vwLy0k1iEFi5vwAAAAAgAAAA/PwA/AACAAAAAAAA8L8CKVyPwvUo6j8CEHo2qz5X+T8AAAAAIAAAAPz8APwAAgAAAAAAAPC/AuLplbIM8QvAAuJ6FK5H4e6/AAAAABgAAAD8/AD8AAIAAAAAAADwvwLSAN4CCYrfvwLiehSuR+HuvwAAAAAYAAAA/PwA/AACAAAAAAAA8L8CDk+vlGWI378CJQaBlUOL6D8AAAAAGAAAAPz8APwAAgAAAAAAAPC/AsTTK2UZ4ve/AuJ6FK5H4e6/AAAAABgAAAD8/AD8AAIAAAAAAADwvwLE0ytlGeL3vwIlBoGVQ4voPwAAAAAgAAAA/PwA/AACAAAAAAAA8L8C4umVsgzxC8ACJQaBlUOL6D8AAAAAGAAAAPz8APwAAgAAAAAAAPC/AnWTGARWDvc/AgAAAAAAAPC/AAAAABgAAAD8/AD8AAIAAAAAAADwvwKHFtnO91MDQAIxCKwcWmTwPwAAAAAYAAAA/PwA/AACAAAAAAAA8L8ChxbZzvdTA0ACkML1KFyP878AAAAAGAAAAPz8APwAAgAAAAAAAPC/Ar4wmSoYlQlAAkSLbOf7qdk/AAAAABgAAAD8/AD8AAIAAAAAAADwvwK+MJkqGJUJQAJeukkMAivjvwAAAAABEgQAAWUEAAAAAAAAAAAIEAFlBAAAAAAAAAAADAABZQQAAAAAAAAAABAoAWUEAAAAAAAAAAAUBAFlCAAAAAAAAAAAGAgBZQgAAAAAAAAAABwMAWUIDAAAAAAAAAAgDAFlBAAAAAAAAAAAJBwBZQQAAAAAAAAAACggAWUICAAAAAAAAAAsCAFlBAAAAAAAAAAAMAABZQQAAAAAAAAAADQEAWUEAAAAAAAAAAA4MAFlBAAAAAAAAAAAPDQBZQQAAAAAAAAAAAEQOAFlBAAAAAAAAAAAPAEQAWUEAAAAAAAAAAAkEAFlCAwAAAAAAAAAAAAAAA==</t>
        </r>
      </text>
    </comment>
    <comment ref="A864" authorId="0" shapeId="0" xr:uid="{D7F5816C-73FE-4ECF-A4B0-655DD2B8BBFB}">
      <text>
        <r>
          <rPr>
            <sz val="9"/>
            <color indexed="81"/>
            <rFont val="MS P ゴシック"/>
            <family val="3"/>
            <charset val="128"/>
          </rPr>
          <t>Insight iXlW00001C0000864R0585476093S00001726P01324LAocjBAQBF1NjaVRlZ2ljLmRhdGEuTW9sZWN1bGUBbwF/ARJTY2lUZWdpYy5Nb2xlY3VsZQAAAQFkAv5qAQAAAAIAAgERGAAAAPz8APwAAgAAAAAAAPC/AsB9HThnRAlAAmU730+Nl8Y/AAAAABgAAAD8/AD8AAIAAAAAAADwvwKfzarP1VYCQAJOYhBYObTUvwAAAAAYAAAA/PwA/AACAAAAAAAA8L8CdLUV+8vu4T8CTmIQWDm01L8AAAAAHAAAAPz8APwAAgAAAAAAAPC/AnS1FfvL7uE/ApQYBFYOLfW/AAAAABgAAAD8/AD8AAIAAAAAAADwvwL8OnDOiNL2PwJlO99PjZfGPwAAAAAcAAAA/PwA/AACAAAAAAAA8L8CHxZqTfOO078CZTvfT42Xxj8AAAAAIAAAAPz8APwAAgAAAAAAAPC/AsB9HThnRAlAAm3n+6nx0vI/AAAAACAAAAD8/AD8AAIAAAAAAADwvwK4rwPnjCgOwAJt5/up8dLyPwAAAAAgAAAA/PwA/AACAAAAAAAA8L8CDQIrhxYZEEACTmIQWDm01L8AAAAAGAAAAPz8APwAAgAAAAAAAPC/AjqSy39Iv/K/Ak5iEFg5tNS/AAAAABgAAAD8/AD8AAIAAAAAAADwvwL8OnDOiNL2PwKUGARWDi39vwAAAAAYAAAA/PwA/AACAAAAAAAA8L8Cn82qz9VWAkAClBgEVg4t9b8AAAAAGAAAAPz8APwAAgAAAAAAAPC/Aj55WKg1TQDAAmU730+Nl8Y/AAAAABgAAAD8/AD8AAIAAAAAAADwvwKA2T15WCgOwAJlO99PjZfGPwAAAAAYAAAA/PwA/AACAAAAAAAA8L8CXynLEMc6B8AC/DpwzojS+j8AAAAAGAAAAPz8APwAAgAAAAAAAPC/Al8pyxDHOgfAAk5iEFg5tNS/AAAAABgAAAD8/AD8AAIAAAAAAADwvwI+eVioNU0AwAL8OnDOiNLyPwAAAAABEgQAAWUEAAAAAAAAAAAIEAFlCAwAAAAAAAAADCgBZQgIAAAAAAAAABAEAWUEAAAAAAAAAAAUCAFlBAAAAAAAAAAAGAABZQgAAAAAAAAAABw4AWUEAAAAAAAAAAAgAAFlBAAAAAAAAAAAJBQBZQQAAAAAAAAAACgsAWUEAAAAAAAAAAAsBAFlCAwAAAAAAAAAMCQBZQQAAAAAAAAAADQ8AWUEAAAAAAAAAAA4ARABZQQAAAAAAAAAADwwAWUEAAAAAAAAAAABEDABZQQAAAAAAAAAAAgMAWUEAAAAAAAAAAA0HAFlBAAAAAAAAAAAAAAAAA==</t>
        </r>
      </text>
    </comment>
    <comment ref="A865" authorId="0" shapeId="0" xr:uid="{2BE9DED3-7853-413F-BB02-D643D1BC2490}">
      <text>
        <r>
          <rPr>
            <sz val="9"/>
            <color indexed="81"/>
            <rFont val="MS P ゴシック"/>
            <family val="3"/>
            <charset val="128"/>
          </rPr>
          <t>Insight iXlW00001C0000865R0585476093S00001728P01248LAocjBAQBF1NjaVRlZ2ljLmRhdGEuTW9sZWN1bGUBbwF/ARJTY2lUZWdpYy5Nb2xlY3VsZQAAAQFkAv5qAQAAAAIAAgEQGAAAAPz8APwAAgAAAAAAAPC/AuQUHcnlPwBAAhQ/xty1hOY/AAAAABgAAAD8/AD8AAIAAAAAAADwvwIRx7q4jQagPwJqTfOOU3TwvwAAAAAYAAAA/PwA/AACAAAAAAAA8L8CyCk6kst/+D8CRWlv8IXJxL8AAAAAHAAAAPz8APwAAgAAAAAAAPC/Ao9TdCSX/+A/Aqyt2F92T/6/AAAAABwAAAD8/AD8AAIAAAAAAADwvwKPU3Qkl//uvwJqTfOOU3TwvwAAAAAYAAAA/PwA/AACAAAAAAAA8L8CcayL22gA4T8CRWlv8IXJxL8AAAAAIAAAAPz8APwAAgAAAAAAAPC/AsgpOpLLf/g/Asx/SL99Hfk/AAAAACAAAAD8/AD8AAIAAAAAAADwvwLkFB3J5b8DwALMf0i/fR35PwAAAAAYAAAA/PwA/AACAAAAAAAA8L8CyCk6kst/978CRWlv8IXJxL8AAAAAIAAAAPz8APwAAgAAAAAAAPC/AuQUHcnlPwhAAhQ/xty1hOY/AAAAABgAAAD8/AD8AAIAAAAAAADwvwLIKTqSy3/4PwKsrdhfdk/+vwAAAAAYAAAA/PwA/AACAAAAAAAA8L8CcayL22gA778CMuauJeSD5j8AAAAAGAAAAPz8APwAAgAAAAAAAPC/AuQUHcnlvwPAAkVpb/CFycS/AAAAABgAAAD8/AD8AAIAAAAAAADwvwLkFB3J5T8AQAJqTfOOU3TwvwAAAAAYAAAA/PwA/AACAAAAAAAA8L8C5BQdyeW/B8ACMuauJeSD5j8AAAAAGAAAAPz8APwAAgAAAAAAAPC/AjnWxW00gPe/AlvTvOMUHfk/AAAAAAERBBQBZQgMAAAAAAAAAAgAAWUEAAAAAAAAAAAMKAFlCAgAAAAAAAAAEAQBZQQAAAAAAAAAABQIAWUEAAAAAAAAAAAYAAFlCAAAAAAAAAAAHDgBZQQAAAAAAAAAACAQAWUEAAAAAAAAAAAkAAFlBAAAAAAAAAAAKDQBZQQAAAAAAAAAACwgAWUEAAAAAAAAAAAwIAFlBAAAAAAAAAAANAgBZQgMAAAAAAAAADgwAWUEAAAAAAAAAAA8LAFlBAAAAAAAAAAABAwBZQQAAAAAAAAAADwcAWUEAAAAAAAAAAAAAAAA</t>
        </r>
      </text>
    </comment>
    <comment ref="A866" authorId="0" shapeId="0" xr:uid="{B055233B-1BDA-47EF-9C86-2D245A486753}">
      <text>
        <r>
          <rPr>
            <sz val="9"/>
            <color indexed="81"/>
            <rFont val="MS P ゴシック"/>
            <family val="3"/>
            <charset val="128"/>
          </rPr>
          <t>Insight iXlW00001C0000866R0585476093S00001730P01396LAocjBAQBF1NjaVRlZ2ljLmRhdGEuTW9sZWN1bGUBbwF/ARJTY2lUZWdpYy5Nb2xlY3VsZQAAAQFkAv5qAQAAAAIAAgESGAAAAPz8APwAAgAAAAAAAPC/AvOwUGuad/o/ArFQa5p3nNY/AAAAABwAAAD8/AD8AAIAAAAAAADwvwJfmEwVjEriPwJBE2HD0yvrvwAAAAAcAAAA/PwA/AACAAAAAAAA8L8Cw/UoXI/C9z8CnRGlvcEX9L8AAAAAGAAAAPz8APwAAgAAAAAAAPC/Am8Sg8DKoeU/ArFQa5p3nMI/AAAAABgAAAD8/AD8AAIAAAAAAADwvwJ5WKg1zTsBQAIrGJXUCWjgvwAAAAAYAAAA/PwA/AACAAAAAAAA8L8CeJyiI7l8AEACotY07zhF9D8AAAAAGAAAAPz8APwAAgAAAAAAAPC/Ag0CK4cW2dK/AqCJsOHplfW/AAAAACAAAAD8/AD8AAIAAAAAAADwvwI2zTtO0ZH3PwKXIY51cZsAQAAAAAAYAAAA/PwA/AACAAAAAAAA8L8CxSCwcmiR8r8CQRNhw9Mr678AAAAAIAAAAPz8APwAAgAAAAAAAPC/AlOWIY51cQhAAhvAWyBB8fU/AAAAABgAAAD8/AD8AAIAAAAAAADwvwIFxY8xdy2xvwKq8dJNYhDqPwAAAAAYAAAA/PwA/AACAAAAAAAA8L8CVVInoIkwCUACHeviNhrA478AAAAAGAAAAPz8APwAAgAAAAAAAPC/AqRwPQrXIwfAAv+ye/KwUMM/AAAAABgAAAD8/AD8AAIAAAAAAADwvwLFILByaJHyvwL/snvysFDDPwAAAAAYAAAA/PwA/AACAAAAAAAA8L8Cg8DKoUU2AMACoImw4emV9b8AAAAAGAAAAPz8APwAAgAAAAAAAPC/AqRwPQrXIwfAAkETYcPTK+u/AAAAABgAAAD8/AD8AAIAAAAAAADwvwKDwMqhRTYAwALA7J48LNTkPwAAAAAYAAAA/PwA/AACAAAAAAAA8L8CxSCwcmgRDsACwOyePCzU5D8AAAAAARMEDAFlBAAAAAAAAAAACBABZQgIAAAAAAAAAAwAAWUICAAAAAAAAAAQAAFlBAAAAAAAAAAAFAABZQQAAAAAAAAAABgEAWUEAAAAAAAAAAAcFAFlCAAAAAAAAAAAIBgBZQQAAAAAAAAAACQUAWUEAAAAAAAAAAAoDAFlBAAAAAAAAAAALBABZQQAAAAAAAAAADA8AWUIDAAAAAAAAAA0IAFlBAAAAAAAAAAAOCABZQgMAAAAAAAAADw4AWUEAAAAAAAAAAABEDQBZQgIAAAAAAAAAAERMAFlBAAAAAAAAAAABAgBZQQAAAAAAAAAAAEQMAFlBAAAAAAAAAAAAAAAAA==</t>
        </r>
      </text>
    </comment>
    <comment ref="A867" authorId="0" shapeId="0" xr:uid="{C838FF2E-5935-4035-B687-42BD83B81A7C}">
      <text>
        <r>
          <rPr>
            <sz val="9"/>
            <color indexed="81"/>
            <rFont val="MS P ゴシック"/>
            <family val="3"/>
            <charset val="128"/>
          </rPr>
          <t>Insight iXlW00001C0000867R0585476093S00001732P01160LAocjBAQBF1NjaVRlZ2ljLmRhdGEuTW9sZWN1bGUBbwF/ARJTY2lUZWdpYy5Nb2xlY3VsZQAAAQFkAv5qAQAAAAIAAjwYAAAA/PwA/AACAAAAAAAA8L8C++3rwDmjB8AChQ1Pr5Rl8T8AAAAAIAAAAPz8APwAAgAAAAAAAPC/AvXb14FzRv+/AoUNT6+UZfE/AAAAABgAAAD8/AD8AAIAAAAAAADwvwL129eBc0b3vwIXak3zjlPMPwAAAAAYAAAA/PwA/AACAAAAAAAA8L8C9dvXgXNG/78C/mX35GGh5L8AAAAAGAAAAPz8APwAAgAAAAAAAPC/AvXb14FzRve/ArK/7J48LPi/AAAAABgAAAD8/AD8AAIAAAAAAADwvwLTb18HzhndvwJBE2HD0yv4vwAAAAAYAAAA/PwA/AACAAAAAAAA8L8Cb4EExY8xpz8C/mX35GGh5L8AAAAAGAAAAPz8APwAAgAAAAAAAPC/AgwkKH6MufA/Av5l9+RhoeS/AAAAABgAAAD8/AD8AAIAAAAAAADwvwIMJCh+jLn4PwIXak3zjlPMPwAAAAAcAAAA/PwA/AACAAAAAAAA8L8Csi5uowG85T8ChlrTvOMU5z8AAAAAGAAAAPz8APwAAgAAAAAAAPC/AgYSFD/GXABAAoUNT6+UZfE/AAAAABgAAAD8/AD8AAIAAAAAAADwvwInwoanV0oHQAIJG55eKcviPwAAAAAYAAAA/PwA/AACAAAAAAAA8L8CJ8KGp1dKA0AC9UpZhjjW0b8AAAAAGAAAAPz8APwAAgAAAAAAAPC/AtNvXwfOGd2/AhdqTfOOU8w/AAAAAAERAAAA/PwA/AACAAAAAAAA8L8CjSjtDb6wDUACeXqlLEMcy78AAAAAPAAEAWUEAAAAAAAAAAAECAFlBAAAAAAAAAAACAwBZQgMAAAAAAAAAAwQAWUEAAAAAAAAAAAQFAFlCAgAAAAAAAAAFBgBZQQAAAAAAAAAABgcAWUEAAAAAAAAAAAcIAFlBAAAAAAAAAAAICQBZQQAAAAAAAAAACAoAWUEAAAAAAAAAAAoLAFlBAAAAAAAAAAALDABZQQAAAAAAAAAADAgAWUEAAAAAAAAAAAYNAFlCAgAAAAAAAAANAgBZQQAAAAAAAAAAAAAAAA=</t>
        </r>
      </text>
    </comment>
    <comment ref="A868" authorId="0" shapeId="0" xr:uid="{B4D23494-ADDA-4D82-ABB7-937295E7F91F}">
      <text>
        <r>
          <rPr>
            <sz val="9"/>
            <color indexed="81"/>
            <rFont val="MS P ゴシック"/>
            <family val="3"/>
            <charset val="128"/>
          </rPr>
          <t>Insight iXlW00001C0000868R0585476093S00001734P01248LAocjBAQBF1NjaVRlZ2ljLmRhdGEuTW9sZWN1bGUBbwF/ARJTY2lUZWdpYy5Nb2xlY3VsZQAAAQFkAv5qAQAAAAIAAgEQGAAAAPz8APwAAgAAAAAAAPC/AjLmriXkg/k/AoGVQ4ts59+/AAAAABwAAAD8/AD8AAIAAAAAAADwvwIy5q4l5IP5PwJh5dAi2/n3vwAAAAAcAAAA/PwA/AACAAAAAAAA8L8CWFuxv+yerD8CwcqhRbbz778AAAAAGAAAAPz8APwAAgAAAAAAAPC/AkeU9gZfmOQ/AqjGSzeJQci/AAAAABgAAAD8/AD8AAIAAAAAAADwvwJfKcsQxzoDQAKVZYhjXdy2PwAAAAAYAAAA/PwA/AACAAAAAAAA8L8CR5T2Bl+Y5D8C7FG4HoXr/L8AAAAAGAAAAPz8APwAAgAAAAAAAPC/AiZ1ApoIG/e/Am7F/rJ78sC/AAAAABgAAAD8/AD8AAIAAAAAAADwvwJL6gQ0ETbuvwLByqFFtvPvvwAAAAAYAAAA/PwA/AACAAAAAAAA8L8CS+oENBE27r8CKA8LtaZ55z8AAAAAIAAAAPz8APwAAgAAAAAAAPC/AqK0N/jCZAJAAhB6Nqs+V/E/AAAAACAAAAD8/AD8AAIAAAAAAADwvwKaKhiV1IkKQAKOBvAWSFDUvwAAAAAkAAAA/PwA/AACAAAAAAAA8L8CWFuxv+yerD8CKA8LtaZ55z8AAAAAGAAAAPz8APwAAgAAAAAAAPC/ApM6AU2EjQPAAm7F/rJ78sC/AAAAABgAAAD8/AD8AAIAAAAAAADwvwImdQKaCBv3vwLW52or9pf5PwAAAAAYAAAA/PwA/AACAAAAAAAA8L8CkzoBTYSNB8ACKA8LtaZ55z8AAAAAGAAAAPz8APwAAgAAAAAAAPC/ApM6AU2EjQPAAtbnaiv2l/k/AAAAAAERBAABZQQAAAAAAAAAAAgMAWUEAAAAAAAAAAAMAAFlCAgAAAAAAAAAEAABZQQAAAAAAAAAABQEAWUICAAAAAAAAAAYHAFlBAAAAAAAAAAAHAgBZQQAAAAAAAAAACAYAWUEAAAAAAAAAAAkEAFlCAAAAAAAAAAAKBABZQQAAAAAAAAAACwgAWUEAAAAAAAAAAAwGAFlCAwAAAAAAAAANCABZQgIAAAAAAAAADgwAWUEAAAAAAAAAAA8OAFlCAgAAAAAAAAACBQBZQQAAAAAAAAAADQ8AWUEAAAAAAAAAAAAAAAA</t>
        </r>
      </text>
    </comment>
    <comment ref="A869" authorId="0" shapeId="0" xr:uid="{DDF89F57-6CA7-4912-9CCC-7B315DFBAB20}">
      <text>
        <r>
          <rPr>
            <sz val="9"/>
            <color indexed="81"/>
            <rFont val="MS P ゴシック"/>
            <family val="3"/>
            <charset val="128"/>
          </rPr>
          <t>Insight iXlW00001C0000869R0585476093S00001736P01248LAocjBAQBF1NjaVRlZ2ljLmRhdGEuTW9sZWN1bGUBbwF/ARJTY2lUZWdpYy5Nb2xlY3VsZQAAAQFkAv5qAQAAAAIAAgEQGAAAAPz8APwAAgAAAAAAAPC/AngLJCh+jP0/ArprCfmgZ9c/AAAAABwAAAD8/AD8AAIAAAAAAADwvwK8BRIUP8YCQAKJY13cRgPgvwAAAAAcAAAA/PwA/AACAAAAAAAA8L8Cak3zjlN06D8CvAUSFD/G6r8AAAAAGAAAAPz8APwAAgAAAAAAAPC/AnrHKTqSy+s/AjojSnuDL8Q/AAAAABgAAAD8/AD8AAIAAAAAAADwvwK7SQwCKwcCQALzsFBrmnf0PwAAAAAYAAAA/PwA/AACAAAAAAAA8L8CSFD8GHPX+j8CTDeJQWDl878AAAAAIAAAAPz8APwAAgAAAAAAAPC/ArwnDwu1pvo/Ar8OnDOitABAAAAAABgAAAD8/AD8AAIAAAAAAADwvwLZX3ZPHha6vwLeAgmKH2P1vwAAAAAgAAAA/PwA/AACAAAAAAAA8L8ClkOLbOf7CUAC3UYDeAsk9j8AAAAAGAAAAPz8APwAAgAAAAAAAPC/An+MuWsJ+e6/ArwFEhQ/xuq/AAAAABgAAAD8/AD8AAIAAAAAAADwvwJhw9MrZZkFwAKIhVrTvOPEPwAAAAAkAAAA/PwA/AACAAAAAAAA8L8CgnNGlPaGDMACYqHWNO845T8AAAAAGAAAAPz8APwAAgAAAAAAAPC/AmHD0ytlmQXAAp5eKcsQx+q/AAAAABgAAAD8/AD8AAIAAAAAAADwvwKBJsKGp1f9vwJiodY07zjlPwAAAAAYAAAA/PwA/AACAAAAAAAA8L8CgSbChqdX/b8C3gIJih9j9b8AAAAAGAAAAPz8APwAAgAAAAAAAPC/An+MuWsJ+e6/AhDpt68D58Q/AAAAAAERBAABZQQAAAAAAAAAAAgMAWUEAAAAAAAAAAAMAAFlCAgAAAAAAAAAEAABZQQAAAAAAAAAABQEAWUICAAAAAAAAAAYEAFlCAAAAAAAAAAAHAgBZQQAAAAAAAAAACAQAWUEAAAAAAAAAAAkHAFlBAAAAAAAAAAAKDQBZQQAAAAAAAAAACwoAWUEAAAAAAAAAAAwOAFlBAAAAAAAAAAANDwBZQgIAAAAAAAAADgkAWUIDAAAAAAAAAA8JAFlBAAAAAAAAAAACBQBZQQAAAAAAAAAADAoAWUICAAAAAAAAAAAAAAA</t>
        </r>
      </text>
    </comment>
    <comment ref="A870" authorId="0" shapeId="0" xr:uid="{346CD4AA-0813-4D8A-AE9C-BB6C8166E8E6}">
      <text>
        <r>
          <rPr>
            <sz val="9"/>
            <color indexed="81"/>
            <rFont val="MS P ゴシック"/>
            <family val="3"/>
            <charset val="128"/>
          </rPr>
          <t>Insight iXlW00001C0000870R0585476093S00001738P01252LAocjBAQBF1NjaVRlZ2ljLmRhdGEuTW9sZWN1bGUBbwF/ARJTY2lUZWdpYy5Nb2xlY3VsZQAAAQFkAv5qAQAAAAIAAgEQGAAAAPz8APwAAgAAAAAAAPC/AjLmriXkg/k/AoGVQ4ts59+/AAAAABwAAAD8/AD8AAIAAAAAAADwvwIy5q4l5IP5PwJh5dAi2/n3vwAAAAAcAAAA/PwA/AACAAAAAAAA8L8CWFuxv+yerD8CwcqhRbbz778AAAAAGAAAAPz8APwAAgAAAAAAAPC/AkeU9gZfmOQ/AqjGSzeJQci/AAAAABgAAAD8/AD8AAIAAAAAAADwvwJfKcsQxzoDQAKVZYhjXdy2PwAAAAAYAAAA/PwA/AACAAAAAAAA8L8CR5T2Bl+Y5D8C7FG4HoXr/L8AAAAAGAAAAPz8APwAAgAAAAAAAPC/AiZ1ApoIG/e/Am7F/rJ78sC/AAAAABgAAAD8/AD8AAIAAAAAAADwvwJL6gQ0ETbuvwLByqFFtvPvvwAAAAAYAAAA/PwA/AACAAAAAAAA8L8CS+oENBE27r8CKA8LtaZ55z8AAAAAIAAAAPz8APwAAgAAAAAAAPC/AqK0N/jCZAJAAhB6Nqs+V/E/AAAAACAAAAD8/AD8AAIAAAAAAADwvwKaKhiV1IkKQAKOBvAWSFDUvwAAAAABEQAAAPz8APwAAgAAAAAAAPC/Alhbsb/snqw/AigPC7Wmeec/AAAAABgAAAD8/AD8AAIAAAAAAADwvwKTOgFNhI0DwAJuxf6ye/LAvwAAAAAYAAAA/PwA/AACAAAAAAAA8L8CJnUCmggb978C1udqK/aX+T8AAAAAGAAAAPz8APwAAgAAAAAAAPC/ApM6AU2EjQfAAigPC7Wmeec/AAAAABgAAAD8/AD8AAIAAAAAAADwvwKTOgFNhI0DwALW52or9pf5PwAAAAABEQQAAWUEAAAAAAAAAAAIDAFlBAAAAAAAAAAADAABZQgIAAAAAAAAABAAAWUEAAAAAAAAAAAUBAFlCAgAAAAAAAAAGBwBZQQAAAAAAAAAABwIAWUEAAAAAAAAAAAgGAFlBAAAAAAAAAAAJBABZQgAAAAAAAAAACgQAWUEAAAAAAAAAAAsIAFlBAAAAAAAAAAAMBgBZQgMAAAAAAAAADQgAWUICAAAAAAAAAA4MAFlBAAAAAAAAAAAPDgBZQgIAAAAAAAAAAgUAWUEAAAAAAAAAAA0PAFlBAAAAAAAAAAAAAAAAA==</t>
        </r>
      </text>
    </comment>
    <comment ref="A871" authorId="0" shapeId="0" xr:uid="{96497165-22F7-4D6E-958A-EC3DC913B483}">
      <text>
        <r>
          <rPr>
            <sz val="9"/>
            <color indexed="81"/>
            <rFont val="MS P ゴシック"/>
            <family val="3"/>
            <charset val="128"/>
          </rPr>
          <t>Insight iXlW00001C0000871R0585476093S00001740P01176LAocjBAQBF1NjaVRlZ2ljLmRhdGEuTW9sZWN1bGUBbwF/ARJTY2lUZWdpYy5Nb2xlY3VsZQAAAQFkAv5qAQAAAAIAAjwYAAAA/PwA/AACAAAAAAAA8L8CDy2yne+n9b8CIbByaJHt1L8AAAAAHAAAAPz8APwAAgAAAAAAAPC/Au4NvjCZKty/AuzAOSNKe+e/AAAAABgAAAD8/AD8AAIAAAAAAADwvwIll/+Qfvv4vwJm9+RhodbkPwAAAAAcAAAA/PwA/AACAAAAAAAA8L8CP+jZrPpc+L8CQz7o2az6/r8AAAAAGAAAAPz8APwAAgAAAAAAAPC/AgaBlUOLbOG/ArwnDwu1pvu/AAAAABgAAAD8/AD8AAIAAAAAAADwvwIf9GxWfS4AwAKQMXctIR/xvwAAAAAYAAAA/PwA/AACAAAAAAAA8L8C3iQGgZVD2z8CsAPnjCjtzb8AAAAAIAAAAPz8APwAAgAAAAAAAPC/AmHD0ytlGQTAAn3Qs1n1ue4/AAAAABgAAAD8/AD8AAIAAAAAAADwvwJ56SYxCKz0PwLswDkjSnvnvwAAAAAYAAAA/PwA/AACAAAAAAAA8L8C3iQGgZVD2z8CFD/G3LWE6D8AAAAAIAAAAPz8APwAAgAAAAAAAPC/AljKMsSxLuq/AnKKjuTyH/U/AAAAABgAAAD8/AD8AAIAAAAAAADwvwLdJAaBlUMBQAIUP8bctYToPwAAAAAYAAAA/PwA/AACAAAAAAAA8L8CeekmMQis9D8Cih9j7lpC9D8AAAAAGAAAAPz8APwAAgAAAAAAAPC/At0kBoGVQwFAArAD54wo7c2/AAAAACQAAAD8/AD8AAIAAAAAAADwvwL+1HjpJjEIQAKKH2PuWkL0PwAAAAABEAQAAWUEAAAAAAAAAAAIAAFlBAAAAAAAAAAADBQBZQQAAAAAAAAAABAEAWUEAAAAAAAAAAAUAAFlCAgAAAAAAAAAGAQBZQQAAAAAAAAAABwIAWUIAAAAAAAAAAAgGAFlBAAAAAAAAAAAJBgBZQgMAAAAAAAAACgIAWUEAAAAAAAAAAAsMAFlCAwAAAAAAAAAMCQBZQQAAAAAAAAAADQgAWUICAAAAAAAAAA4LAFlBAAAAAAAAAAAEAwBZQgIAAAAAAAAADQsAWUEAAAAAAAAAAAAAAAA</t>
        </r>
      </text>
    </comment>
    <comment ref="A872" authorId="0" shapeId="0" xr:uid="{EC5097A6-053F-439A-8B9C-EBB6B4B774AF}">
      <text>
        <r>
          <rPr>
            <sz val="9"/>
            <color indexed="81"/>
            <rFont val="MS P ゴシック"/>
            <family val="3"/>
            <charset val="128"/>
          </rPr>
          <t>Insight iXlW00001C0000872R0585476093S00001742P01248LAocjBAQBF1NjaVRlZ2ljLmRhdGEuTW9sZWN1bGUBbwF/ARJTY2lUZWdpYy5Nb2xlY3VsZQAAAQFkAv5qAQAAAAIAAgEQGAAAAPz8APwAAgAAAAAAAPC/AsB9HThnRPa/AkVpb/CFydg/AAAAABgAAAD8/AD8AAIAAAAAAADwvwI5RUdy+Q8CwALvWkI+6Nm8vwAAAAAYAAAA/PwA/AACAAAAAAAA8L8Cf/s6cM6I7L8ChslUwaik3r8AAAAAIAAAAPz8APwAAgAAAAAAAPC/AjlFR3L5DwLAAq8l5IOezfG/AAAAABgAAAD8/AD8AAIAAAAAAADwvwIMJCh+jLm7PwKGyVTBqKTevwAAAAAgAAAA/PwA/AACAAAAAAAA8L8CWvW52or9CMACRWlv8IXJ2D8AAAAAGAAAAPz8APwAAgAAAAAAAPC/AuhqK/aX3QBAAobJVMGopN6/AAAAABgAAAD8/AD8AAIAAAAAAADwvwKgq63YX3bjPwKjkjoBTYT1vwAAAAAYAAAA/PwA/AACAAAAAAAA8L8CggTFjzF34z8CgbdAguLH2D8AAAAAGAAAAPz8APwAAgAAAAAAAPC/AtDVVuwvu/k/AkVpb/CFydg/AAAAABgAAAD8/AD8AAIAAAAAAADwvwLQ1VbsL7v5PwKjkjoBTYT1vwAAAAAYAAAA/PwA/AACAAAAAAAA8L8CwH0dOGdE/r8CkzoBTYQN9D8AAAAAGAAAAPz8APwAAgAAAAAAAPC/Avw6cM6I0uC/AqO0N/jCZOw/AAAAACAAAAD8/AD8AAIAAAAAAADwvwLoaiv2l90IQAKGyVTBqKTevwAAAAAYAAAA/PwA/AACAAAAAAAA8L8Cfh04Z0Rp8L8CkzoBTYQN/D8AAAAAGAAAAPz8APwAAgAAAAAAAPC/AuhqK/aX3QxAAkVpb/CFydg/AAAAAAERBAABZQQAAAAAAAAAAAgAAWUEAAAAAAAAAAAMBAFlCAAAAAAAAAAAEAgBZQQAAAAAAAAAABQEAWUEAAAAAAAAAAAYJAFlCAwAAAAAAAAAHBABZQQAAAAAAAAAACAQAWUIDAAAAAAAAAAkIAFlBAAAAAAAAAAAKBwBZQgIAAAAAAAAACwAAWUEAAAAAAAAAAAwAAFlBAAAAAAAAAAANBgBZQQAAAAAAAAAADgwAWUEAAAAAAAAAAA8NAFlBAAAAAAAAAAALDgBZQQAAAAAAAAAACgYAWUEAAAAAAAAAAAAAAAA</t>
        </r>
      </text>
    </comment>
    <comment ref="A873" authorId="0" shapeId="0" xr:uid="{4A343F7F-57A9-4898-ABAB-7F20299B88AA}">
      <text>
        <r>
          <rPr>
            <sz val="9"/>
            <color indexed="81"/>
            <rFont val="MS P ゴシック"/>
            <family val="3"/>
            <charset val="128"/>
          </rPr>
          <t>Insight iXlW00001C0000873R0585476093S00001744P01092LAocjBAQBF1NjaVRlZ2ljLmRhdGEuTW9sZWN1bGUBbwF/ARJTY2lUZWdpYy5Nb2xlY3VsZQAAAQFkAv5qAQAAAAIAAjgcAAAA/PwA/AACAAAAAAAA8L8CcT0K16Nw/D8C6Pup8dJN9j8AAAAAGAAAAPz8APwAAgAAAAAAAPC/AkcDeAskKPI/Ap0Rpb3BF+Q/AAAAABgAAAD8/AD8AAIAAAAAAADwvwKNuWsJ+aD3PwKjI7n8h/TTvwAAAAAYAAAA/PwA/AACAAAAAAAA8L8ClrIMcayL4z8C0pFc/kP66b8AAAAAGAAAAPz8APwAAgAAAAAAAPC/Ap/Nqs/VVtC/AqMjufyH9NO/AAAAABgAAAD8/AD8AAIAAAAAAADwvwKfzarP1VbQvwIvbqMBvAXmPwAAAAAYAAAA/PwA/AACAAAAAAAA8L8CqRPQRNjw8b8CGLfRAN4C8z8AAAAAGAAAAPz8APwAAgAAAAAAAPC/AutztRX7y/+/Ai9uowG8BeY/AAAAABgAAAD8/AD8AAIAAAAAAADwvwLrc7UV+8v/vwKjI7n8h/TTvwAAAAABEQAAAPz8APwAAgAAAAAAAPC/AhZqTfOO0wbAAtKRXP5D+um/AAAAABgAAAD8/AD8AAIAAAAAAADwvwKpE9BE2PDxvwLSkVz+Q/rpvwAAAAAYAAAA/PwA/AACAAAAAAAA8L8CFNBE2PD0AEACkQ96Nqs+8b8AAAAAGAAAAPz8APwAAgAAAAAAAPC/AjerPldbsQNAAszuycNCrcG/AAAAAAERAAAA/PwA/AACAAAAAAAA8L8CnRGlvcEXCkACXLG/7J48xD8AAAAAOAAEAWUEAAAAAAAAAAAECAFlBAAAAAAAAAAACAwBZQQAAAAAAAAAAAwQAWUEAAAAAAAAAAAQFAFlCAwAAAAAAAAAFBgBZQQAAAAAAAAAABgcAWUICAAAAAAAAAAcIAFlBAAAAAAAAAAAICQBZQQAAAAAAAAAACAoAWUICAAAAAAAAAAoEAFlBAAAAAAAAAAACCwBZQQAAAAAAAAAACwwAWUEAAAAAAAAAAAwCAFlBAAAAAAAAAAAAAAAAA==</t>
        </r>
      </text>
    </comment>
    <comment ref="A874" authorId="0" shapeId="0" xr:uid="{26F52C12-9378-4DDC-A50F-88FC9ED31339}">
      <text>
        <r>
          <rPr>
            <sz val="9"/>
            <color indexed="81"/>
            <rFont val="MS P ゴシック"/>
            <family val="3"/>
            <charset val="128"/>
          </rPr>
          <t>Insight iXlW00001C0000874R0585476093S00001746P01036LAocjBAQBF1NjaVRlZ2ljLmRhdGEuTW9sZWN1bGUBbwF/ARJTY2lUZWdpYy5Nb2xlY3VsZQAAAQFkAv5qAQAAAAIAAjQYAAAA/PwA/AACAAAAAAAA8L8C7Z48LNSatr8CDJOpglFJ1b8AAAAAHAAAAPz8APwAAgAAAAAAAPC/Aj2bVZ+rrci/AnpYqDXNO/W/AAAAACAAAAD8/AD8AAIAAAAAAADwvwLzH9JvXwfwvwKcM6K0N/iyPwAAAAAcAAAA/PwA/AACAAAAAAAA8L8CI9v5fmq88r8CkML1KFyP+L8AAAAAGAAAAPz8APwAAgAAAAAAAPC/ArIubqMBvPq/ArprCfmgZ+W/AAAAABgAAAD8/AD8AAIAAAAAAADwvwKmLEMc6+LoPwLp2az6XG3FPwAAAAAcAAAA/PwA/AACAAAAAAAA8L8ClfYGX5hM+j8CPZtVn6ut+j8AAAAAGAAAAPz8APwAAgAAAAAAAPC/AqYsQxzr4ug/Aj2bVZ+rrfI/AAAAABgAAAD8/AD8AAIAAAAAAADwvwJt5/up8VIFwALmP6Tfvg7ivwAAAAAYAAAA/PwA/AACAAAAAAAA8L8ClfYGX5hM+j8CDJOpglFJ1b8AAAAAGAAAAPz8APwAAgAAAAAAAPC/Amsr9pfdEwRAAj2bVZ+rrfI/AAAAABgAAAD8/AD8AAIAAAAAAADwvwJrK/aX3RMEQALp2az6XG3FPwAAAAAYAAAA/PwA/AACAAAAAAAA8L8CM1UwKqmTCMACCYofY+5a1j8AAAAAOAQAAWUICAAAAAAAAAAIAAFlBAAAAAAAAAAADAQBZQQAAAAAAAAAABAIAWUEAAAAAAAAAAAUAAFlBAAAAAAAAAAAGBwBZQQAAAAAAAAAABwUAWUEAAAAAAAAAAAgEAFlBAAAAAAAAAAAJBQBZQQAAAAAAAAAACgsAWUEAAAAAAAAAAAsJAFlBAAAAAAAAAAAMCABZQQAAAAAAAAAABAMAWUICAAAAAAAAAAoGAFlBAAAAAAAAAAAAAAAAA==</t>
        </r>
      </text>
    </comment>
    <comment ref="A875" authorId="0" shapeId="0" xr:uid="{44B14829-FA8B-48B4-9F0B-9D91F35253C0}">
      <text>
        <r>
          <rPr>
            <sz val="9"/>
            <color indexed="81"/>
            <rFont val="MS P ゴシック"/>
            <family val="3"/>
            <charset val="128"/>
          </rPr>
          <t>Insight iXlW00001C0000875R0585476093S00001748P01088LAocjBAQBF1NjaVRlZ2ljLmRhdGEuTW9sZWN1bGUBbwF/ARJTY2lUZWdpYy5Nb2xlY3VsZQAAAQFkAv5qAQAAAAIAAjgYAAAA/PwA/AACAAAAAAAA8L8Cr0fhehSuzz8C0bNZ9bna1r8AAAAAGAAAAPz8APwAAgAAAAAAAPC/AjiJQWDl0PE/AunZrPpcbeu/AAAAABgAAAD8/AD8AAIAAAAAAADwvwI4iUFg5dDxPwL1bFZ9rrb9vwAAAAAcAAAA/PwA/AACAAAAAAAA8L8COIlBYOXQ8T8CDJOpglFJ8j8AAAAAGAAAAPz8APwAAgAAAAAAAPC/Aq9H4XoUrs8/AhgmUwWjkuQ/AAAAABwAAAD8/AD8AAIAAAAAAADwvwJ56SYxCKz/PwLRs1n1udrWvwAAAAAYAAAA/PwA/AACAAAAAAAA8L8CeekmMQis/z8CGCZTBaOS5D8AAAAAIAAAAPz8APwAAgAAAAAAAPC/AnnpJjEIrP8/Ano2qz5X2wLAAAAAACAAAAD8/AD8AAIAAAAAAADwvwJ6xyk6ksvjvwIMk6mCUUnyPwAAAAAgAAAA/PwA/AACAAAAAAAA8L8CJuSDns2qzz8CejarPlfbAsAAAAAAGAAAAPz8APwAAgAAAAAAAPC/Av9D+u3rwPe/AhgmUwWjkuQ/AAAAABgAAAD8/AD8AAIAAAAAAADwvwIg0m9fB84CwAKb5h2n6EjyPwAAAAAYAAAA/PwA/AACAAAAAAAA8L8CQYLix5i7CcACNs07TtGR5D8AAAAAGAAAAPz8APwAAgAAAAAAAPC/AiDSb18HzgLAAk7zjlN0JAFAAAAAADgEAAFlCAwAAAAAAAAACAQBZQQAAAAAAAAAAAwQAWUICAAAAAAAAAAQAAFlBAAAAAAAAAAAFAQBZQQAAAAAAAAAABgMAWUEAAAAAAAAAAAcCAFlCAAAAAAAAAAAIBABZQQAAAAAAAAAACQIAWUEAAAAAAAAAAAoIAFlBAAAAAAAAAAALCgBZQQAAAAAAAAAADAsAWUEAAAAAAAAAAA0LAFlBAAAAAAAAAAAFBgBZQgIAAAAAAAAAAAAAAA=</t>
        </r>
      </text>
    </comment>
    <comment ref="A876" authorId="0" shapeId="0" xr:uid="{CEDE02E7-2B9D-4BF8-A00B-AA39BA3A6FFC}">
      <text>
        <r>
          <rPr>
            <sz val="9"/>
            <color indexed="81"/>
            <rFont val="MS P ゴシック"/>
            <family val="3"/>
            <charset val="128"/>
          </rPr>
          <t>Insight iXlW00001C0000876R0585476093S00001750P01104LAocjBAQBF1NjaVRlZ2ljLmRhdGEuTW9sZWN1bGUBbwF/ARJTY2lUZWdpYy5Nb2xlY3VsZQAAAQFkAv5qAQAAAAIAAjgYAAAA/PwA/AACAAAAAAAA8L8CZ2ZmZmZmxj8CVAWjkjoBvb8AAAAAGAAAAPz8APwAAgAAAAAAAPC/AmdmZmZmZsY/Alafq63YX+w/AAAAABgAAAD8/AD8AAIAAAAAAADwvwIPLbKd76fwPwKrYFRSJ6DjvwAAAAAcAAAA/PwA/AACAAAAAAAA8L8CDy2yne+n8D8Cq8/VVuwv9j8AAAAAGAAAAPz8APwAAgAAAAAAAPC/Ag8tsp3vp/A/AlYwKqkT0Pm/AAAAABwAAAD8/AD8AAIAAAAAAADwvwJQjZduEoP+PwJUBaOSOgG9vwAAAAAYAAAA/PwA/AACAAAAAAAA8L8CUI2XbhKD/j8CVp+rrdhf7D8AAAAAIAAAAPz8APwAAgAAAAAAAPC/AuomMQisHOa/AqvP1VbsL/Y/AAAAACAAAAD8/AD8AAIAAAAAAADwvwJQjZduEoP+PwIrGJXUCegAwAAAAAAgAAAA/PwA/AACAAAAAAAA8L8CZ2ZmZmZmxj8CKxiV1AnoAMAAAAAAGAAAAPz8APwAAgAAAAAAAPC/AiigibDh6fi/Alafq63YX+w/AAAAABgAAAD8/AD8AAIAAAAAAADwvwI3GsBbIEEGwALpSC7/If3GPwAAAAAYAAAA/PwA/AACAAAAAAAA8L8CBOeMKO0N/b8C9dvXgXNGtL8AAAAAGAAAAPz8APwAAgAAAAAAAPC/Asl2vp8aLwTAAocW2c73U/I/AAAAADwEAAFlCAgAAAAAAAAACAABZQQAAAAAAAAAAAwEAWUEAAAAAAAAAAAQCAFlBAAAAAAAAAAAFAgBZQgIAAAAAAAAABgUAWUEAAAAAAAAAAAcBAFlBAAAAAAAAAAAIBABZQgAAAAAAAAAACQQAWUEAAAAAAAAAAAoHAFlBAAAAAAAAAAALDQBZQQAAAAAAAAAADAoAWUEAAAAAAAAAAA0KAFlBAAAAAAAAAAAGAwBZQgIAAAAAAAAADAsAWUEAAAAAAAAAAAAAAAA</t>
        </r>
      </text>
    </comment>
    <comment ref="A877" authorId="0" shapeId="0" xr:uid="{0935FB49-66F6-4F27-92A4-AD4083C7E8E4}">
      <text>
        <r>
          <rPr>
            <sz val="9"/>
            <color indexed="81"/>
            <rFont val="MS P ゴシック"/>
            <family val="3"/>
            <charset val="128"/>
          </rPr>
          <t>Insight iXlW00001C0000877R0585476093S00001752P01144LAocjBAQBF1NjaVRlZ2ljLmRhdGEuTW9sZWN1bGUBbwF/ARJTY2lUZWdpYy5Nb2xlY3VsZQAAAQFkAv5qAQAAAAIBAjwcAAAA/PwA/AACAAAAAAAA8L8CZ9Xnait2AkACTYQNT6+U+T8AAAAAGAgAAPz8APwAAgAAAAAAAPC/As6qz9VW7Pw/AhdIUPwYc+c/AAAAABgAAAD8/AD8AAIAAAAAAADwvwJn1edqK3YCQAKx4emVsgzBvwAAAAAYAAAA/PwA/AACAAAAAAAA8L8CzqrP1Vbs/D8C8DhFR3L5778AAAAAGAAAAPz8APwAAgAAAAAAAPC/ApxVn6ut2Ok/AvA4RUdy+e+/AAAAABwAAAD8/AD8AAIAAAAAAADwvwI3qz5XW7HTPwKx4emVsgzBvwAAAAAYAAAA/PwA/AACAAAAAAAA8L8CnFWfq63Y6T8CF0hQ/Bhz5z8AAAAAGAAAAPz8APwAAgAAAAAAAPC/AmWqYFRSJ+a/ArHh6ZWyDMG/AAAAABgAAAD8/AD8AAIAAAAAAADwvwIzVTAqqRPzvwLSkVz+Q/rvvwAAAAAYAAAA/PwA/AACAAAAAAAA8L8CmSoYldSJAcAC0pFc/kP6778AAAAAHAAAAPz8APwAAgAAAAAAAPC/ApkqGJXUiQXAAjlFR3L5D8G/AAAAABgAAAD8/AD8AAIAAAAAAADwvwKZKhiV1IkBwAIXSFD8GHPnPwAAAAAcAAAA/PwA/AACAAAAAAAA8L8CM1UwKqkT878CF0hQ/Bhz5z8AAAAAAREAAAD8/AD8AAIAAAAAAADwvwLOO07RkdwIQAIcfGEyVTDSPwAAAAABEQAAAPz8APwAAgAAAAAAAPC/AnWTGARWjhBAAjojSnuDL9Q/AAAAADgEAAFlBBAAAAAAAAAABAgBZQQAAAAAAAAAAAgMAWUEAAAAAAAAAAAMEAFlBAAAAAAAAAAAEBQBZQQAAAAAAAAAABQYAWUEAAAAAAAAAAAYBAFlBAAAAAAAAAAAFBwBZQQAAAAAAAAAABwgAWUIDAAAAAAAAAAgJAFlBAAAAAAAAAAAJCgBZQgIAAAAAAAAACgsAWUEAAAAAAAAAAAsMAFlCAgAAAAAAAAAMBwBZQQAAAAAAAAAAAAAAAA=</t>
        </r>
      </text>
    </comment>
    <comment ref="A878" authorId="0" shapeId="0" xr:uid="{A6D014B4-A725-491A-8748-220C8D9A6560}">
      <text>
        <r>
          <rPr>
            <sz val="9"/>
            <color indexed="81"/>
            <rFont val="MS P ゴシック"/>
            <family val="3"/>
            <charset val="128"/>
          </rPr>
          <t>Insight iXlW00001C0000878R0585476093S00001754P01088LAocjBAQBF1NjaVRlZ2ljLmRhdGEuTW9sZWN1bGUBbwF/ARJTY2lUZWdpYy5Nb2xlY3VsZQAAAQFkAv5qAQAAAAIAAjgYAAAA/PwA/AACAAAAAAAA8L8CUdobfGEy8j8CQKTfvg6csz8AAAAAHAAAAPz8APwAAgAAAAAAAPC/Alr1udqK/cW/ArTqc7UV++u/AAAAABwAAAD8/AD8AAIAAAAAAADwvwIW+8vuycPevwJApN++DpyzPwAAAAAYAAAA/PwA/AACAAAAAAAA8L8CjNtoAG+B6j8CtOpztRX7678AAAAAGAAAAPz8APwAAgAAAAAAAPC/AlMFo5I6AdU/AvvL7snDQuU/AAAAABgAAAD8/AD8AAIAAAAAAADwvwL45GGh1rQAQAICTYQNT6/YPwAAAAAgAAAA/PwA/AACAAAAAAAA8L8CA5oIG55eAkACi47k8h/S9T8AAAAAGAAAAPz8APwAAgAAAAAAAPC/AtSa5h2n6Pa/Aj2bVZ+rrdg/AAAAACAAAAD8/AD8AAIAAAAAAADwvwL0/dR46aYGQAL77evAOSPSvwAAAAAYAAAA/PwA/AACAAAAAAAA8L8CgNk9eVio9j8C5WGh1jTv+r8AAAAAGAAAAPz8APwAAgAAAAAAAPC/AlMFo5I6AdU/Av5l9+Rhofo/AAAAACAAAAD8/AD8AAIAAAAAAADwvwI2XrpJDAIJwALqJjEIrByaPwAAAAAYAAAA/PwA/AACAAAAAAAA8L8CLpCg+DFmAcACv58aL90k0r8AAAAAGAAAAPz8APwAAgAAAAAAAPC/AvmgZ7Pq8w7AAkeU9gZfmOS/AAAAADgEDAFlCAgAAAAAAAAACBABZQQAAAAAAAAAAAwAAWUEAAAAAAAAAAAQAAFlCAgAAAAAAAAAFAABZQQAAAAAAAAAABgUAWUIAAAAAAAAAAAcCAFlBAAAAAAAAAAAIBQBZQQAAAAAAAAAACQMAWUEAAAAAAAAAAAoEAFlBAAAAAAAAAAALDABZQQAAAAAAAAAADAcAWUEAAAAAAAAAAA0LAFlBAAAAAAAAAAACAQBZQQAAAAAAAAAAAAAAAA=</t>
        </r>
      </text>
    </comment>
    <comment ref="A879" authorId="0" shapeId="0" xr:uid="{565ABFAF-D8FC-4790-AC3E-AF64A77C5042}">
      <text>
        <r>
          <rPr>
            <sz val="9"/>
            <color indexed="81"/>
            <rFont val="MS P ゴシック"/>
            <family val="3"/>
            <charset val="128"/>
          </rPr>
          <t>Insight iXlW00001C0000879R0585476093S00001756P01072LAocjBAQBF1NjaVRlZ2ljLmRhdGEuTW9sZWN1bGUBbwF/ARJTY2lUZWdpYy5Nb2xlY3VsZQAAAQFkAv5qAQAAAAIAAjgYAAAA/PwA/AACAAAAAAAA8L8CW9O84xQdCkACL/8h/fZ14r8AAAAAIAAAAPz8APwAAgAAAAAAAPC/AjojSnuDLwNAApf/kH77OvG/AAAAABgAAAD8/AD8AAIAAAAAAADwvwIy5q4l5IP4PwIv/yH99nXivwAAAAAYAAAA/PwA/AACAAAAAAAA8L8C4QuTqYJR5T8Cl/+Qfvs68b8AAAAAGAAAAPz8APwAAgAAAAAAAPC/AhI2PL1Slsm/Ai//If32deK/AAAAABgAAAD8/AD8AAIAAAAAAADwvwKJ0t7gC5PJvwKkAbwFEhTbPwAAAAAYAAAA/PwA/AACAAAAAAAA8L8CBOeMKO0N8b8C0gDeAgmK7T8AAAAAGAAAAPz8APwAAgAAAAAAAPC/AkZHcvkP6f6/AqQBvAUSFNs/AAAAABgAAAD8/AD8AAIAAAAAAADwvwJGR3L5D+n2vwInMQisHFrcvwAAAAAYAAAA/PwA/AACAAAAAAAA8L8CxNMrZRliBsACc/kP6bevs78AAAAAHAAAAPz8APwAAgAAAAAAAPC/AqMjufyHdAPAAqtgVFInoPQ/AAAAABgAAAD8/AD8AAIAAAAAAADwvwLhC5OpglHlPwLSAN4CCYrtPwAAAAAYAAAA/PwA/AACAAAAAAAA8L8CMuauJeSD+D8CpAG8BRIU2z8AAAAAAREAAAD8/AD8AAIAAAAAAADwvwLhnBGlvUEQQAKaCBueXim7PwAAAAA0AAQBZQQAAAAAAAAAAAQIAWUEAAAAAAAAAAAIDAFlCAwAAAAAAAAADBABZQQAAAAAAAAAABAUAWUIDAAAAAAAAAAUGAFlBAAAAAAAAAAAGBwBZQQAAAAAAAAAABwgAWUEAAAAAAAAAAAcJAFlBAAAAAAAAAAAHCgBZQQAAAAAAAAAABQsAWUEAAAAAAAAAAAsMAFlCAgAAAAAAAAAMAgBZQQAAAAAAAAAAAAAAAA=</t>
        </r>
      </text>
    </comment>
    <comment ref="A880" authorId="0" shapeId="0" xr:uid="{AECBD5F8-B038-4E32-ACBD-A17825918FEF}">
      <text>
        <r>
          <rPr>
            <sz val="9"/>
            <color indexed="81"/>
            <rFont val="MS P ゴシック"/>
            <family val="3"/>
            <charset val="128"/>
          </rPr>
          <t>Insight iXlW00001C0000880R0585476093S00001758P01104LAocjBAQBF1NjaVRlZ2ljLmRhdGEuTW9sZWN1bGUBbwF/ARJTY2lUZWdpYy5Nb2xlY3VsZQAAAQFkAv5qAQAAAAIAAjgYAAAA/PwA/AACAAAAAAAA8L8CpN++Dpwz8j8Cm+Ydp+hIzj8AAAAAHAAAAPz8APwAAgAAAAAAAPC/AgJNhA1Pr8w/AqCJsOHpleQ/AAAAABgAAAD8/AD8AAIAAAAAAADwvwJKnYAmwob1PwLQ1VbsL7vnvwAAAAAcAAAA/PwA/AACAAAAAAAA8L8CY+5aQj7o9D8CnaIjufyH/T8AAAAAGAAAAPz8APwAAgAAAAAAAPC/AqAaL90kBtU/Aoc41sVtNPo/AAAAABgAAAD8/AD8AAIAAAAAAADwvwJk7lpCPuj8PwK2hHzQs1nvPwAAAAAYAAAA/PwA/AACAAAAAAAA8L8CQ61p3nGK5L8CgSbChqdXwj8AAAAAIAAAAPz8APwAAgAAAAAAAPC/AqwcWmQ7XwJAAuSDns2qz/C/AAAAACAAAAD8/AD8AAIAAAAAAADwvwKi1jTvOEXjPwKneccpOpL2vwAAAAAYAAAA/PwA/AACAAAAAAAA8L8CVOOlm8Qg+L8CoImw4emV5D8AAAAAGAAAAPz8APwAAgAAAAAAAPC/AkOtad5xiuS/AmB2Tx4Wauu/AAAAABgAAAD8/AD8AAIAAAAAAADwvwJU46WbxCD4vwIwuycPC7X1vwAAAAAYAAAA/PwA/AACAAAAAAAA8L8Cy6FFtvP9AsACgSbChqdXwj8AAAAAGAAAAPz8APwAAgAAAAAAAPC/AsuhRbbz/QLAAmB2Tx4Wauu/AAAAADwEAAFlBAAAAAAAAAAACAABZQQAAAAAAAAAAAwUAWUEAAAAAAAAAAAQBAFlBAAAAAAAAAAAFAABZQgIAAAAAAAAABgEAWUEAAAAAAAAAAAcCAFlCAAAAAAAAAAAIAgBZQQAAAAAAAAAACQYAWUEAAAAAAAAAAAoGAFlCAwAAAAAAAAALCgBZQQAAAAAAAAAADAkAWUICAAAAAAAAAA0LAFlCAgAAAAAAAAAEAwBZQgIAAAAAAAAADA0AWUEAAAAAAAAAAAAAAAA</t>
        </r>
      </text>
    </comment>
    <comment ref="A881" authorId="0" shapeId="0" xr:uid="{6A49C67A-DC37-474E-B9C5-ACA30E73C150}">
      <text>
        <r>
          <rPr>
            <sz val="9"/>
            <color indexed="81"/>
            <rFont val="MS P ゴシック"/>
            <family val="3"/>
            <charset val="128"/>
          </rPr>
          <t>Insight iXlW00001C0000881R0585476093S00001760P01248LAocjBAQBF1NjaVRlZ2ljLmRhdGEuTW9sZWN1bGUBbwF/ARJTY2lUZWdpYy5Nb2xlY3VsZQAAAQFkAv5qAQAAAAIAAgEQHAAAAPz8APwAAgAAAAAAAPC/AlqGONbFbeI/Asb+snvysNA/AAAAABgAAAD8/AD8AAIAAAAAAADwvwJyio7k8h/5PwLl8h/Sb1/XPwAAAAAcAAAA/PwA/AACAAAAAAAA8L8C+aBns+pz/D8CdSSX/5B+9T8AAAAAGAAAAPz8APwAAgAAAAAAAPC/AplMFYxK6gFAAjojSnuDL9i/AAAAABgAAAD8/AD8AAIAAAAAAADwvwLLMsSxLm6zPwIDmggbnl7jvwAAAAAYAAAA/PwA/AACAAAAAAAA8L8Cp3nHKTqS7b8CA5oIG55e478AAAAAGAAAAPz8APwAAgAAAAAAAPC/Ao0o7Q2+MO0/AnUkl/+Qfv0/AAAAABgAAAD8/AD8AAIAAAAAAADwvwL3deCcEaXFPwJFaW/whcnyPwAAAAAYAAAA/PwA/AACAAAAAAAA8L8C1LzjFB3J9r8CAU2EDU+v0D8AAAAAIAAAAPz8APwAAgAAAAAAAPC/AnbgnBGlvQlAAktZhjjWxcW/AAAAACAAAAD8/AD8AAIAAAAAAADwvwKmLEMc6+L+PwLdJAaBlUP1vwAAAAAkAAAA/PwA/AACAAAAAAAA8L8Cp3nHKTqS7b8C8x/Sb18H8j8AAAAAGAAAAPz8APwAAgAAAAAAAPC/AtS84xQdyfa/AkOtad5xive/AAAAABgAAAD8/AD8AAIAAAAAAADwvwJq3nGKjmQDwAIBTYQNT6/QPwAAAAAYAAAA/PwA/AACAAAAAAAA8L8Cat5xio5kA8ACQ61p3nGK978AAAAAGAAAAPz8APwAAgAAAAAAAPC/AmrecYqOZAfAAgOaCBueXuO/AAAAAAERBAABZQQAAAAAAAAAAAgEAWUICAAAAAAAAAAMBAFlBAAAAAAAAAAAEAABZQQAAAAAAAAAABQQAWUEAAAAAAAAAAAYHAFlCAgAAAAAAAAAHAABZQQAAAAAAAAAACAUAWUEAAAAAAAAAAAkDAFlCAAAAAAAAAAAKAwBZQQAAAAAAAAAACwgAWUEAAAAAAAAAAAwFAFlCAwAAAAAAAAANCABZQgIAAAAAAAAADgwAWUEAAAAAAAAAAA8OAFlCAgAAAAAAAAACBgBZQQAAAAAAAAAADQ8AWUEAAAAAAAAAAAAAAAA</t>
        </r>
      </text>
    </comment>
    <comment ref="A882" authorId="0" shapeId="0" xr:uid="{FDC46FFC-8016-4C4C-A267-6A3753BDBA38}">
      <text>
        <r>
          <rPr>
            <sz val="9"/>
            <color indexed="81"/>
            <rFont val="MS P ゴシック"/>
            <family val="3"/>
            <charset val="128"/>
          </rPr>
          <t>Insight iXlW00001C0000882R0585476093S00001762P01248LAocjBAQBF1NjaVRlZ2ljLmRhdGEuTW9sZWN1bGUBbwF/ARJTY2lUZWdpYy5Nb2xlY3VsZQAAAQFkAv5qAQAAAAIAAgEQHAAAAPz8APwAAgAAAAAAAPC/AlfsL7snD+s/AkMc6+I2GrA/AAAAABgAAAD8/AD8AAIAAAAAAADwvwK/nxov3ST8PwKnCkYldQLWvwAAAAAcAAAA/PwA/AACAAAAAAAA8L8Cdy0hH/RsA0ACPb1SliGO2T8AAAAAGAAAAPz8APwAAgAAAAAAAPC/AtUJaCJseP8/AvT91HjpJvW/AAAAABgAAAD8/AD8AAIAAAAAAADwvwLvWkI+6Nn+PwKRD3o2qz70PwAAAAAYAAAA/PwA/AACAAAAAAAA8L8CiIVa07zjlL8C8DhFR3L5278AAAAAGAAAAPz8APwAAgAAAAAAAPC/AmdmZmZmZu4/AnulLEMc6/A/AAAAACAAAAD8/AD8AAIAAAAAAADwvwLy0k1iEFgHQALwFkhQ/Bj6vwAAAAAYAAAA/PwA/AACAAAAAAAA8L8Cku18PzVe7L8CQxzr4jYasD8AAAAAIAAAAPz8APwAAgAAAAAAAPC/Ak2EDU+vlPM/ArMMcayL2/+/AAAAABgAAAD8/AD8AAIAAAAAAADwvwIL16NwPQr8vwLwOEVHcvnbvwAAAAAYAAAA/PwA/AACAAAAAAAA8L8CppvEILDyBMACQxzr4jYasD8AAAAAJAAAAPz8APwAAgAAAAAAAPC/AsdLN4lB4AvAAvA4RUdy+du/AAAAABgAAAD8/AD8AAIAAAAAAADwvwIL16NwPQr8vwLFsS5uowH5PwAAAAAYAAAA/PwA/AACAAAAAAAA8L8Cku18PzVe7L8CxLEubqMB8T8AAAAAGAAAAPz8APwAAgAAAAAAAPC/AqabxCCw8gTAAsSxLm6jAfE/AAAAAAERBAABZQQAAAAAAAAAAAgEAWUICAAAAAAAAAAMBAFlBAAAAAAAAAAAEBgBZQgIAAAAAAAAABQAAWUEAAAAAAAAAAAYAAFlBAAAAAAAAAAAHAwBZQgAAAAAAAAAACAUAWUEAAAAAAAAAAAkDAFlBAAAAAAAAAAAKCABZQQAAAAAAAAAACwoAWUIDAAAAAAAAAAwLAFlBAAAAAAAAAAANDgBZQQAAAAAAAAAADggAWUIDAAAAAAAAAA8NAFlCAgAAAAAAAAACBABZQQAAAAAAAAAACw8AWUEAAAAAAAAAAAAAAAA</t>
        </r>
      </text>
    </comment>
    <comment ref="A883" authorId="0" shapeId="0" xr:uid="{4FA07D9C-699A-4952-A697-CF5280E425CF}">
      <text>
        <r>
          <rPr>
            <sz val="9"/>
            <color indexed="81"/>
            <rFont val="MS P ゴシック"/>
            <family val="3"/>
            <charset val="128"/>
          </rPr>
          <t>Insight iXlW00001C0000883R0585476093S00001764P01324LAocjBAQBF1NjaVRlZ2ljLmRhdGEuTW9sZWN1bGUBbwF/ARJTY2lUZWdpYy5Nb2xlY3VsZQAAAQFkAv5qAQAAAAIAAgERGAAAAPz8APwAAgAAAAAAAPC/Ai6QoPgx5v2/AmpN845TdLQ/AAAAABgAAAD8/AD8AAIAAAAAAADwvwKNKO0NvrADQAKmLEMc6+LavwAAAAAYAAAA/PwA/AACAAAAAAAA8L8CZTvfT40XBMACoyO5/If05b8AAAAAGAAAAPz8APwAAgAAAAAAAPC/AunZrPpcbfi/Ao4G8BZIUPA/AAAAABgAAAD8/AD8AAIAAAAAAADwvwJlO99PjRcEwALgT42XbhLrPwAAAAAYAAAA/PwA/AACAAAAAAAA8L8C2fD0SlmG+T8Cak3zjlN0tD8AAAAAGAAAAPz8APwAAgAAAAAAAPC/Au0vuycPC/C/AqYsQxzr4tq/AAAAABgAAAD8/AD8AAIAAAAAAADwvwIuIR/0bFbnPwKmLEMc6+LavwAAAAAgAAAA/PwA/AACAAAAAAAA8L8CQmDl0CJbAcACiWNd3EYD+r8AAAAAGAAAAPz8APwAAgAAAAAAAPC/Ald9rrZif8G/AmpN845TdLQ/AAAAACQAAAD8/AD8AAIAAAAAAADwvwKNKO0NvrAHQAJhVFInoIncPwAAAAAkAAAA/PwA/AACAAAAAAAA8L8C564l5IOeCkACU5YhjnVx7b8AAAAAJAAAAPz8APwAAgAAAAAAAPC/AhpR2ht8Yf8/Amsr9pfdk/S/AAAAACAAAAD8/AD8AAIAAAAAAADwvwIN4C2QoPgLwAJnZmZmZmbgvwAAAAAYAAAA/PwA/AACAAAAAAAA8L8C2fD0SlmG+T8C1zTvOEVH8T8AAAAAGAAAAPz8APwAAgAAAAAAAPC/Ai4hH/RsVuc/Atc07zhFR/k/AAAAABgAAAD8/AD8AAIAAAAAAADwvwJXfa62Yn/BvwLXNO84RUfxPwAAAAABEgQUAWUEAAAAAAAAAAAIAAFlBAAAAAAAAAAADAABZQQAAAAAAAAAABAAAWUEAAAAAAAAAAAUHAFlBAAAAAAAAAAAGAABZQQAAAAAAAAAABwkAWUIDAAAAAAAAAAgCAFlCAAAAAAAAAAAJBgBZQQAAAAAAAAAACgEAWUEAAAAAAAAAAAsBAFlBAAAAAAAAAAAMAQBZQQAAAAAAAAAADQIAWUEAAAAAAAAAAA4PAFlBAAAAAAAAAAAPAEQAWUICAAAAAAAAAABECQBZQQAAAAAAAAAAAwQAWUEAAAAAAAAAAAUOAFlCAwAAAAAAAAAAAAAAA==</t>
        </r>
      </text>
    </comment>
    <comment ref="A884" authorId="0" shapeId="0" xr:uid="{E844F9B5-001C-46EE-AFBF-A31ED3C73FB8}">
      <text>
        <r>
          <rPr>
            <sz val="9"/>
            <color indexed="81"/>
            <rFont val="MS P ゴシック"/>
            <family val="3"/>
            <charset val="128"/>
          </rPr>
          <t>Insight iXlW00001C0000884R0585476093S00001766P01072LAocjBAQBF1NjaVRlZ2ljLmRhdGEuTW9sZWN1bGUBbwF/ARJTY2lUZWdpYy5Nb2xlY3VsZQAAAQFkAv5qAQAAAAIAAjgYAAAA/PwA/AACAAAAAAAA8L8CcF8HzhlR9b8CnFWfq63Y+T8AAAAAGAAAAPz8APwAAgAAAAAAAPC/AnBfB84ZUfW/AjerPldbseM/AAAAABgAAAD8/AD8AAIAAAAAAADwvwIRNjy9UpYBwAK0WfW52oq9PwAAAAAYAAAA/PwA/AACAAAAAAAA8L8CETY8vVKWAcACylTBqKRO7L8AAAAAGAAAAPz8APwAAgAAAAAAAPC/AuELk6mCUfW/AmWqYFRSJ/a/AAAAABgAAAD8/AD8AAIAAAAAAADwvwK6/If029fdvwLKVMGopE7svwAAAAAYAAAA/PwA/AACAAAAAAAA8L8CuvyH9NvX3b8CtFn1udqKvT8AAAAAGAAAAPz8APwAAgAAAAAAAPC/Ak2EDU+vlNk/AjerPldbseM/AAAAABgAAAD8/AD8AAIAAAAAAADwvwJVwaikTkD0PwK0WfW52oq9PwAAAAAYAAAA/PwA/AACAAAAAAAA8L8CVcGopE5A/D8CumsJ+aBn7z8AAAAAGAAAAPz8APwAAgAAAAAAAPC/AqqCUUmdgOg/Ak0VjErqBOi/AAAAABgAAAD8/AD8AAIAAAAAAADwvwIE54wo7Q0BQAKTqYJRSZ3YvwAAAAAcAAAA/PwA/AACAAAAAAAA8L8CJZf/kH77B0ACtFn1udqKvT8AAAAAAREAAAD8/AD8AAIAAAAAAADwvwKL/WX35GEOQAK0WfW52oq9PwAAAAA0AAQBZQQAAAAAAAAAAAQIAWUIDAAAAAAAAAAIDAFlBAAAAAAAAAAADBABZQgIAAAAAAAAABAUAWUEAAAAAAAAAAAUGAFlCAgAAAAAAAAAGAQBZQQAAAAAAAAAABgcAWUEAAAAAAAAAAAcIAFlBAAAAAAAAAAAICQBZQQAAAAAAAAAACAoAWUEAAAAAAAAAAAgLAFlBAAAAAAAAAAALDABZQQAAAAAAAAAAAAAAAA=</t>
        </r>
      </text>
    </comment>
    <comment ref="A885" authorId="0" shapeId="0" xr:uid="{922CFE6A-8295-4CA8-8172-CB1B9889FCC0}">
      <text>
        <r>
          <rPr>
            <sz val="9"/>
            <color indexed="81"/>
            <rFont val="MS P ゴシック"/>
            <family val="3"/>
            <charset val="128"/>
          </rPr>
          <t>Insight iXlW00001C0000885R0585476093S00001768P01088LAocjBAQBF1NjaVRlZ2ljLmRhdGEuTW9sZWN1bGUBbwF/ARJTY2lUZWdpYy5Nb2xlY3VsZQAAAQFkAv5qAQAAAAIAAjgYAAAA/PwA/AACAAAAAAAA8L8CFmpN847TBsAC6bevA+eM8D8AAAAAGAAAAPz8APwAAgAAAAAAAPC/AutztRX7y/+/AtJvXwfOGeE/AAAAABgAAAD8/AD8AAIAAAAAAADwvwLrc7UV+8v/vwJcIEHxY8zdvwAAAAAYAAAA/PwA/AACAAAAAAAA8L8CqRPQRNjw8b8CLpCg+DHm7r8AAAAAGAAAAPz8APwAAgAAAAAAAPC/Ap/Nqs/VVtC/AlwgQfFjzN2/AAAAABgAAAD8/AD8AAIAAAAAAADwvwKWsgxxrIvjPwIukKD4MebuvwAAAAAYAAAA/PwA/AACAAAAAAAA8L8CjblrCfmg9z8CXCBB8WPM3b8AAAAAGAAAAPz8APwAAgAAAAAAAPC/AkcDeAskKPI/AoEmwoanV94/AAAAABwAAAD8/AD8AAIAAAAAAADwvwLi6ZWyDHH8PwJIUPwYc9fzPwAAAAAYAAAA/PwA/AACAAAAAAAA8L8CFNBE2PD0AEACvw6cM6K0878AAAAAGAAAAPz8APwAAgAAAAAAAPC/AjerPldbsQNAAuSlm8QgsNK/AAAAABgAAAD8/AD8AAIAAAAAAADwvwKfzarP1VbQvwLSb18HzhnhPwAAAAAYAAAA/PwA/AACAAAAAAAA8L8CqRPQRNjw8b8C6bevA+eM8D8AAAAAAREAAAD8/AD8AAIAAAAAAADwvwKdEaW9wRcKQAIWjErqBDRxPwAAAAA4AAQBZQQAAAAAAAAAAAQIAWUIDAAAAAAAAAAIDAFlBAAAAAAAAAAADBABZQgMAAAAAAAAABAUAWUEAAAAAAAAAAAUGAFlBAAAAAAAAAAAGBwBZQQAAAAAAAAAABwgAWUEAAAAAAAAAAAYJAFlBAAAAAAAAAAAJCgBZQQAAAAAAAAAACgYAWUEAAAAAAAAAAAQLAFlBAAAAAAAAAAALDABZQgIAAAAAAAAADAEAWUEAAAAAAAAAAAAAAAA</t>
        </r>
      </text>
    </comment>
    <comment ref="A886" authorId="0" shapeId="0" xr:uid="{F41226CC-2D21-4EA5-B93A-7FA24A3C794D}">
      <text>
        <r>
          <rPr>
            <sz val="9"/>
            <color indexed="81"/>
            <rFont val="MS P ゴシック"/>
            <family val="3"/>
            <charset val="128"/>
          </rPr>
          <t>Insight iXlW00001C0000886R0585476093S00001770P01072LAocjBAQBF1NjaVRlZ2ljLmRhdGEuTW9sZWN1bGUBbwF/ARJTY2lUZWdpYy5Nb2xlY3VsZQAAAQFkAv5qAQAAAAIAAjgcAAAA/PwA/AACAAAAAAAA8L8CwhcmUwWj+D8C8fRKWYY49T8AAAAAGAAAAPz8APwAAgAAAAAAAPC/Ak5iEFg5tOw/ApJc/kP67eE/AAAAABgAAAD8/AD8AAIAAAAAAADwvwJt5/up8dLzPwK5jQbwFkjYvwAAAAAYAAAA/PwA/AACAAAAAAAA8L8CrBxaZDvf1z8C3UYDeAsk7L8AAAAAGAAAAPz8APwAAgAAAAAAAPC/AltkO99Pjd+/ArmNBvAWSNi/AAAAABgAAAD8/AD8AAIAAAAAAADwvwJbZDvfT43fvwIkufyH9NvjPwAAAAAYAAAA/PwA/AACAAAAAAAA8L8CWDm0yHa+9b8Cklz+Q/rt8T8AAAAAGAAAAPz8APwAAgAAAAAAAPC/AgajkjoBzQHAAiS5/If02+M/AAAAABwAAAD8/AD8AAIAAAAAAADwvwIGo5I6Ac0BwAK5jQbwFkjYvwAAAAAYAAAA/PwA/AACAAAAAAAA8L8CyeU/pN++9b8C3UYDeAsk7L8AAAAAGAAAAPz8APwAAgAAAAAAAPC/AgjOGVHaG/4/AhZqTfOOU/K/AAAAABgAAAD8/AD8AAIAAAAAAADwvwInwoanV8oBQAKBJsKGp1fKvwAAAAABEQAAAPz8APwAAgAAAAAAAPC/Ao0o7Q2+MAhAAhKlvcEXJrM/AAAAAAERAAAA/PwA/AACAAAAAAAA8L8C1QloImw4EEACikFg5dAiuz8AAAAANAAEAWUEAAAAAAAAAAAECAFlBAAAAAAAAAAACAwBZQQAAAAAAAAAAAwQAWUEAAAAAAAAAAAQFAFlCAwAAAAAAAAAFBgBZQQAAAAAAAAAABgcAWUICAAAAAAAAAAcIAFlBAAAAAAAAAAAICQBZQgIAAAAAAAAACQQAWUEAAAAAAAAAAAIKAFlBAAAAAAAAAAAKCwBZQQAAAAAAAAAACwIAWUEAAAAAAAAAAAAAAAA</t>
        </r>
      </text>
    </comment>
    <comment ref="A887" authorId="0" shapeId="0" xr:uid="{C11F1F10-5B02-48A6-A23B-E4E1436194F6}">
      <text>
        <r>
          <rPr>
            <sz val="9"/>
            <color indexed="81"/>
            <rFont val="MS P ゴシック"/>
            <family val="3"/>
            <charset val="128"/>
          </rPr>
          <t>Insight iXlW00001C0000887R0585476093S00001772P01088LAocjBAQBF1NjaVRlZ2ljLmRhdGEuTW9sZWN1bGUBbwF/ARJTY2lUZWdpYy5Nb2xlY3VsZQAAAQFkAv5qAQAAAAIAAjgYAAAA/PwA/AACAAAAAAAA8L8C3pOHhVrTAEAC1zTvOEVHsj8AAAAAGAAAAPz8APwAAgAAAAAAAPC/AnrHKTqSy/M/AssyxLEubtu/AAAAABgAAAD8/AD8AAIAAAAAAADwvwId6+I2GsDXPwJmGeJYF7ftvwAAAAAgAAAA/PwA/AACAAAAAAAA8L8C3pOHhVrTAEACTvOOU3Qk8T8AAAAAGAAAAPz8APwAAgAAAAAAAPC/AuqVsgxxrN+/AssyxLEubtu/AAAAACAAAAD8/AD8AAIAAAAAAADwvwL/Q/rt68AHQALLMsSxLm7bvwAAAAAYAAAA/PwA/AACAAAAAAAA8L8C/7J78rDQAcACm+Ydp+hI4j8AAAAAGAAAAPz8APwAAgAAAAAAAPC/AuqVsgxxrN+/ApvmHafoSOI/AAAAABgAAAD8/AD8AAIAAAAAAADwvwK8BRIUP8b1vwJmGeJYF7ftvwAAAAAYAAAA/PwA/AACAAAAAAAA8L8C/7J78rDQAcACyzLEsS5u278AAAAAGAAAAPz8APwAAgAAAAAAAPC/ArwFEhQ/xvW/Ak7zjlN0JPE/AAAAABgAAAD8/AD8AAIAAAAAAADwvwL0jlN0JJfnPwIAAAAAAADcPwAAAAAYAAAA/PwA/AACAAAAAAAA8L8CescpOpLL+z8C9GxWfa629L8AAAAAGAAAAPz8APwAAgAAAAAAAPC/AiBj7lpCvgjAAk7zjlN0JPE/AAAAADgEAAFlBAAAAAAAAAAACAQBZQQAAAAAAAAAAAwAAWUIAAAAAAAAAAAQCAFlBAAAAAAAAAAAFAABZQQAAAAAAAAAABgkAWUIDAAAAAAAAAAcEAFlBAAAAAAAAAAAIBABZQgMAAAAAAAAACQgAWUEAAAAAAAAAAAoHAFlCAgAAAAAAAAALAQBZQQAAAAAAAAAADAEAWUEAAAAAAAAAAA0GAFlBAAAAAAAAAAAKBgBZQQAAAAAAAAAAAAAAAA=</t>
        </r>
      </text>
    </comment>
    <comment ref="A888" authorId="0" shapeId="0" xr:uid="{3F1DA541-A4A0-487B-A70E-1448BB96065C}">
      <text>
        <r>
          <rPr>
            <sz val="9"/>
            <color indexed="81"/>
            <rFont val="MS P ゴシック"/>
            <family val="3"/>
            <charset val="128"/>
          </rPr>
          <t>Insight iXlW00001C0000888R0585476093S00001774P01176LAocjBAQBF1NjaVRlZ2ljLmRhdGEuTW9sZWN1bGUBbwF/ARJTY2lUZWdpYy5Nb2xlY3VsZQAAAQFkAv5qAQAAAAIBAjwYAAAA/PwA/AACAAAAAAAA8L8Cc/kP6bevy78CjnVxGw3g1T8AAAAAHAAAAPz8APwAAgAAAAAAAPC/AifChqdXyuQ/Ase6uI0G8Oo/AAAAABgAAAD8/AD8AAIAAAAAAADwvwJVwaikTkD4PwKOdXEbDeDVPwAAAAAcAAAA/PwA/AACAAAAAAAA8L8CcF8HzhlR8b8Cx7q4jQbw6j8AAAAAHAAAAPz8APwAAgAAAAAAAPC/AlXBqKROQPg/AjlFR3L5D+W/AAAAACAAAAD8/AD8AAIAAAAAAADwvwJz+Q/pt6/LvwI5RUdy+Q/lvwAAAAAcAAAA/PwA/AACAAAAAAAA8L8Cc2iR7Xw/DMACrthfdk8edj8AAAAAGAwAAPz8APwAAgAAAAAAAPC/AiNseHqlLP+/Ao51cRsN4NU/AAAAABgAAAD8/AD8AAIAAAAAAADwvwLOqs/VVmwAwAKmLEMc6+LkvwAAAAAYAAAA/PwA/AACAAAAAAAA8L8CrD5XW7E/CMAC0gDeAgmK678AAAAAGAAAAPz8APwAAgAAAAAAAPC/AhRhw9Mr5QbAAsHKoUW28+c/AAAAABgAAAD8/AD8AAIAAAAAAADwvwLLEMe6uA0DQAKdoiO5/IfyvwAAAAAYAAAA/PwA/AACAAAAAAAA8L8CBOeMKO0NA0ACx7q4jQbw6j8AAAAAGAAAAPz8APwAAgAAAAAAAPC/AiWX/5B++wlAAjlFR3L5D+W/AAAAABgAAAD8/AD8AAIAAAAAAADwvwIll/+QfvsJQAKOdXEbDeDVPwAAAAABEAQAAWUEAAAAAAAAAAAIBAFlBAAAAAAAAAAADAABZQQAAAAAAAAAABAIAWUEAAAAAAAAAAAUAAFlCAAAAAAAAAAAGCgBZQQAAAAAAAAAABwMAWUEFAAAAAAAAAAgHAFlBAAAAAAAAAAAJCABZQQAAAAAAAAAACgcAWUEAAAAAAAAAAAsEAFlCAgAAAAAAAAAMAgBZQgMAAAAAAAAADQ4AWUICAAAAAAAAAA4MAFlBAAAAAAAAAAAGCQBZQQAAAAAAAAAACw0AWUEAAAAAAAAAAAAAAAA</t>
        </r>
      </text>
    </comment>
    <comment ref="A889" authorId="0" shapeId="0" xr:uid="{A24AF627-6740-4D8F-91C1-5BCF5C2D9AD6}">
      <text>
        <r>
          <rPr>
            <sz val="9"/>
            <color indexed="81"/>
            <rFont val="MS P ゴシック"/>
            <family val="3"/>
            <charset val="128"/>
          </rPr>
          <t>Insight iXlW00001C0000889R0585476093S00001776P01088LAocjBAQBF1NjaVRlZ2ljLmRhdGEuTW9sZWN1bGUBbwF/ARJTY2lUZWdpYy5Nb2xlY3VsZQAAAQFkAv5qAQAAAAIAAjgYAAAA/PwA/AACAAAAAAAA8L8CL26jAbwF8D8CP1dbsb/svj8AAAAAHAAAAPz8APwAAgAAAAAAAPC/AtDVVuwvu+O/Aj9XW7G/7L4/AAAAABwAAAD8/AD8AAIAAAAAAADwvwJz+Q/pt6/TvwJUdCSX/5DqvwAAAAAYAAAA/PwA/AACAAAAAAAA8L8CHA3gLZCgyD8CW0I+6Nms5j8AAAAAGAAAAPz8APwAAgAAAAAAAPC/AkcDeAskKOY/AjbNO07Rkeq/AAAAABgAAAD8/AD8AAIAAAAAAADwvwI+CtejcD3/PwL9h/Tb14HbPwAAAAAYAAAA/PwA/AACAAAAAAAA8L8ChlrTvOMU+b8C/Yf029eB2z8AAAAAIAAAAPz8APwAAgAAAAAAAPC/Aio6kst/SAFAArtJDAIrh/Y/AAAAACAAAAD8/AD8AAIAAAAAAADwvwLjx5i7lpAFQAL+ZffkYaHOvwAAAAAYAAAA/PwA/AACAAAAAAAA8L8Ck6mCUUmdyD8CLiEf9GxW+z8AAAAAGAAAAPz8APwAAgAAAAAAAPC/Al1txf6ye/Q/AiZTBaOSOvq/AAAAABgAAAD8/AD8AAIAAAAAAADwvwI/xty1hHwCwAL+ZffkYaHOvwAAAAAYAAAA/PwA/AACAAAAAAAA8L8CNBE2PL3SAMACexSuR+F6878AAAAAGAAAAPz8APwAAgAAAAAAAPC/Ag6+MJkqGArAArn8h/Tb17E/AAAAADgEDAFlBAAAAAAAAAAACBABZQgIAAAAAAAAAAwAAWUICAAAAAAAAAAQAAFlBAAAAAAAAAAAFAABZQQAAAAAAAAAABgEAWUEAAAAAAAAAAAcFAFlCAAAAAAAAAAAIBQBZQQAAAAAAAAAACQMAWUEAAAAAAAAAAAoEAFlBAAAAAAAAAAALBgBZQQAAAAAAAAAADAsAWUEAAAAAAAAAAA0LAFlBAAAAAAAAAAABAgBZQQAAAAAAAAAAAAAAAA=</t>
        </r>
      </text>
    </comment>
    <comment ref="A890" authorId="0" shapeId="0" xr:uid="{3AF417B7-C578-4F33-AD69-E7F7096E04F7}">
      <text>
        <r>
          <rPr>
            <sz val="9"/>
            <color indexed="81"/>
            <rFont val="MS P ゴシック"/>
            <family val="3"/>
            <charset val="128"/>
          </rPr>
          <t>Insight iXlW00001C0000890R0585476093S00001778P01396LAocjBAQBF1NjaVRlZ2ljLmRhdGEuTW9sZWN1bGUBbwF/ARJTY2lUZWdpYy5Nb2xlY3VsZQAAAQFkAv5qAQAAAAIAAgESHAAAAPz8APwAAgAAAAAAAPC/ArN78rBQa4q/AuzAOSNKe9+/AAAAABwAAAD8/AD8AAIAAAAAAADwvwKitDf4wmTiPwLH3LWEfND0vwAAAAAYAAAA/PwA/AACAAAAAAAA8L8CYHZPHhZq+D8CguLHmLuWgD8AAAAAGAAAAPz8APwAAgAAAAAAAPC/AqK0N/jCZOI/AkHxY8xdS9Q/AAAAABgAAAD8/AD8AAIAAAAAAADwvwJgdk8eFmr4PwJ24JwRpb3vvwAAAAAYAAAA/PwA/AACAAAAAAAA8L8C+ORhodY08L8C7MA5I0p7378AAAAAGAAAAPz8APwAAgAAAAAAAPC/AnZxGw3grQJAAv32deCcEeM/AAAAABgAAAD8/AD8AAIAAAAAAADwvwL45GGh1jT4vwIbwFsgQfHXPwAAAAAgAAAA/PwA/AACAAAAAAAA8L8CufyH9NvXAUACppvEILBy+T8AAAAAGAAAAPz8APwAAgAAAAAAAPC/Ahi30QDeAtE/Al+YTBWMSvQ/AAAAACAAAAD8/AD8AAIAAAAAAADwvwKwcmiR7fwJQAIPnDOitDfIPwAAAAAYAAAA/PwA/AACAAAAAAAA8L8CdnEbDeCtAkAC9dvXgXNG+b8AAAAAGAAAAPz8APwAAgAAAAAAAPC/AvjkYaHWNPi/An3Qs1n1ufW/AAAAACAAAAD8/AD8AAIAAAAAAADwvwL45GGh1jTwvwK5/If029fzPwAAAAAYAAAA/PwA/AACAAAAAAAA8L8CfPKwUGsaBMACG8BbIEHx1z8AAAAAGAAAAPz8APwAAgAAAAAAAPC/AvjkYaHWNPi/An6utmJ/2QBAAAAAABgAAAD8/AD8AAIAAAAAAADwvwJ88rBQaxoEwAJ90LNZ9bn1vwAAAAAYAAAA/PwA/AACAAAAAAAA8L8CfPKwUGsaCMAC7MA5I0p7378AAAAAARMEAAFlBAAAAAAAAAAACAwBZQgMAAAAAAAAAAwAAWUEAAAAAAAAAAAQBAFlCAwAAAAAAAAAFAABZQQAAAAAAAAAABgIAWUEAAAAAAAAAAAcFAFlBAAAAAAAAAAAIBgBZQgAAAAAAAAAACQMAWUEAAAAAAAAAAAoGAFlBAAAAAAAAAAALBABZQQAAAAAAAAAADAUAWUIDAAAAAAAAAA0HAFlBAAAAAAAAAAAOBwBZQgIAAAAAAAAADw0AWUEAAAAAAAAAAABEDABZQQAAAAAAAAAAAERARABZQgIAAAAAAAAABAIAWUEAAAAAAAAAAA4AREBZQQAAAAAAAAAAAAAAAA=</t>
        </r>
      </text>
    </comment>
    <comment ref="A891" authorId="0" shapeId="0" xr:uid="{A4B3EE07-47D3-4A61-9CA6-584087042960}">
      <text>
        <r>
          <rPr>
            <sz val="9"/>
            <color indexed="81"/>
            <rFont val="MS P ゴシック"/>
            <family val="3"/>
            <charset val="128"/>
          </rPr>
          <t>Insight iXlW00001C0000891R0585476093S00001780P01396LAocjBAQBF1NjaVRlZ2ljLmRhdGEuTW9sZWN1bGUBbwF/ARJTY2lUZWdpYy5Nb2xlY3VsZQAAAQFkAv5qAQAAAAIAAgESHAAAAPz8APwAAgAAAAAAAPC/AnnpJjEIrMw/Ao25awn5oM8/AAAAABgAAAD8/AD8AAIAAAAAAADwvwJk7lpCPuj8PwKEns2qz9W2vwAAAAAcAAAA/PwA/AACAAAAAAAA8L8CoBov3SQG1T8CKKCJsOHp578AAAAAGAAAAPz8APwAAgAAAAAAAPC/AjMzMzMzM/I/Aj9XW7G/7OQ/AAAAABgAAAD8/AD8AAIAAAAAAADwvwJj7lpCPuj0PwI2zTtO0ZHuvwAAAAAYAAAA/PwA/AACAAAAAAAA8L8CDXGsi9toBkACTMgHPZtVjz8AAAAAGAAAAPz8APwAAgAAAAAAAPC/AiUGgZVDi+S/AmPuWkI+6Oc/AAAAABgAAAD8/AD8AAIAAAAAAADwvwJU46WbxCD4vwKNuWsJ+aDPPwAAAAAYAAAA/PwA/AACAAAAAAAA8L8Cy6FFtvP9AsACY+5aQj7o5z8AAAAAIAAAAPz8APwAAgAAAAAAAPC/Agu1pnnHqQlAAgwkKH6Mue0/AAAAACAAAAD8/AD8AAIAAAAAAADwvwLqJjEIrBwLQAL2udqK/WXpvwAAAAAkAAAA/PwA/AACAAAAAAAA8L8Cy6FFtvP9AsACMnctIR/0+z8AAAAAGAAAAPz8APwAAgAAAAAAAPC/AkqdgCbChvU/AlvTvOMUHfo/AAAAABgAAAD8/AD8AAIAAAAAAADwvwJgdk8eFmr7PwKfPCzUmub9vwAAAAAYAAAA/PwA/AACAAAAAAAA8L8CVOOlm8Qg+L8Cu7iNBvAW6L8AAAAAGAAAAPz8APwAAgAAAAAAAPC/AiQofoy56wnAAo25awn5oM8/AAAAABgAAAD8/AD8AAIAAAAAAADwvwIEeAskKP4CwAJe3EYDeAv0vwAAAAAYAAAA/PwA/AACAAAAAAAA8L8CJCh+jLnrCcACnRGlvcEX6L8AAAAAARMEDAFlCAwAAAAAAAAACAABZQQAAAAAAAAAAAwAAWUEAAAAAAAAAAAQCAFlCAwAAAAAAAAAFAQBZQQAAAAAAAAAABgAAWUEAAAAAAAAAAAcGAFlBAAAAAAAAAAAIBwBZQQAAAAAAAAAACQUAWUIAAAAAAAAAAAoFAFlBAAAAAAAAAAALCABZQQAAAAAAAAAADAMAWUEAAAAAAAAAAA0EAFlBAAAAAAAAAAAOBwBZQgMAAAAAAAAADwgAWUICAAAAAAAAAABEDgBZQQAAAAAAAAAAAERARABZQgIAAAAAAAAABAEAWUEAAAAAAAAAAA8AREBZQQAAAAAAAAAAAAAAAA=</t>
        </r>
      </text>
    </comment>
    <comment ref="A892" authorId="0" shapeId="0" xr:uid="{88256F8D-75BF-4BDD-B2BE-A92F98FB6BBF}">
      <text>
        <r>
          <rPr>
            <sz val="9"/>
            <color indexed="81"/>
            <rFont val="MS P ゴシック"/>
            <family val="3"/>
            <charset val="128"/>
          </rPr>
          <t>Insight iXlW00001C0000892R0585476093S00001782P01248LAocjBAQBF1NjaVRlZ2ljLmRhdGEuTW9sZWN1bGUBbwF/ARJTY2lUZWdpYy5Nb2xlY3VsZQAAAQFkAv5qAQAAAAIAAgEQGAAAAPz8APwAAgAAAAAAAPC/AngLJCh+jP0/ArprCfmgZ98/AAAAABwAAAD8/AD8AAIAAAAAAADwvwK8BRIUP8YCQAJNFYxK6gTYvwAAAAAcAAAA/PwA/AACAAAAAAAA8L8Cak3zjlN06D8CvAUSFD/G5r8AAAAAGAAAAPz8APwAAgAAAAAAAPC/AnrHKTqSy+s/Ap0Rpb3BF9I/AAAAABgAAAD8/AD8AAIAAAAAAADwvwK7SQwCKwcCQALzsFBrmnf2PwAAAAAYAAAA/PwA/AACAAAAAAAA8L8CSFD8GHPX+j8CTDeJQWDl8b8AAAAAIAAAAPz8APwAAgAAAAAAAPC/ArwnDwu1pvo/Ar8OnDOitAFAAAAAABgAAAD8/AD8AAIAAAAAAADwvwLZX3ZPHha6vwJPr5RliGPzvwAAAAAYAAAA/PwA/AACAAAAAAAA8L8Cf4y5awn57r8Cnl4pyxDH5r8AAAAAIAAAAPz8APwAAgAAAAAAAPC/ApZDi2zn+wlAAt1GA3gLJPg/AAAAABgAAAD8/AD8AAIAAAAAAADwvwKBJsKGp1f9vwJPr5RliGPzvwAAAAAYAAAA/PwA/AACAAAAAAAA8L8CYcPTK2WZBcACnl4pyxDH5r8AAAAAJAAAAPz8APwAAgAAAAAAAPC/AoJzRpT2hgzAAk+vlGWIY/O/AAAAABgAAAD8/AD8AAIAAAAAAADwvwKBJsKGp1f9vwJiodY07zjpPwAAAAAYAAAA/PwA/AACAAAAAAAA8L8Cf4y5awn57r8CxEKtad5x0j8AAAAAGAAAAPz8APwAAgAAAAAAAPC/AmHD0ytlmQXAAsRCrWnecdI/AAAAAAERBAABZQQAAAAAAAAAAAgMAWUEAAAAAAAAAAAMAAFlCAgAAAAAAAAAEAABZQQAAAAAAAAAABQEAWUICAAAAAAAAAAYEAFlCAAAAAAAAAAAHAgBZQQAAAAAAAAAACAcAWUEAAAAAAAAAAAkEAFlBAAAAAAAAAAAKCABZQQAAAAAAAAAACwoAWUIDAAAAAAAAAAwLAFlBAAAAAAAAAAANDgBZQQAAAAAAAAAADggAWUIDAAAAAAAAAA8NAFlCAgAAAAAAAAACBQBZQQAAAAAAAAAACw8AWUEAAAAAAAAAAAAAAAA</t>
        </r>
      </text>
    </comment>
    <comment ref="A893" authorId="0" shapeId="0" xr:uid="{8CBABF5D-A722-402A-A898-0AA4B2BA6E0B}">
      <text>
        <r>
          <rPr>
            <sz val="9"/>
            <color indexed="81"/>
            <rFont val="MS P ゴシック"/>
            <family val="3"/>
            <charset val="128"/>
          </rPr>
          <t>Insight iXlW00001C0000893R0585476093S00001784P01252LAocjBAQBF1NjaVRlZ2ljLmRhdGEuTW9sZWN1bGUBbwF/ARJTY2lUZWdpYy5Nb2xlY3VsZQAAAQFkAv5qAQAAAAIAAgEQGAAAAPz8APwAAgAAAAAAAPC/AngLJCh+jP0/ArprCfmgZ9c/AAAAABwAAAD8/AD8AAIAAAAAAADwvwK8BRIUP8YCQAKJY13cRgPgvwAAAAAcAAAA/PwA/AACAAAAAAAA8L8Cak3zjlN06D8CvAUSFD/G6r8AAAAAGAAAAPz8APwAAgAAAAAAAPC/AnrHKTqSy+s/AjojSnuDL8Q/AAAAABgAAAD8/AD8AAIAAAAAAADwvwK7SQwCKwcCQALzsFBrmnf0PwAAAAAYAAAA/PwA/AACAAAAAAAA8L8CSFD8GHPX+j8CTDeJQWDl878AAAAAIAAAAPz8APwAAgAAAAAAAPC/ArwnDwu1pvo/Ar8OnDOitABAAAAAABgAAAD8/AD8AAIAAAAAAADwvwLZX3ZPHha6vwLeAgmKH2P1vwAAAAAgAAAA/PwA/AACAAAAAAAA8L8ClkOLbOf7CUAC3UYDeAsk9j8AAAAAGAAAAPz8APwAAgAAAAAAAPC/An+MuWsJ+e6/ArwFEhQ/xuq/AAAAABgAAAD8/AD8AAIAAAAAAADwvwJhw9MrZZkFwAKIhVrTvOPEPwAAAAABEQAAAPz8APwAAgAAAAAAAPC/AoJzRpT2hgzAAmKh1jTvOOU/AAAAABgAAAD8/AD8AAIAAAAAAADwvwJhw9MrZZkFwAKeXinLEMfqvwAAAAAYAAAA/PwA/AACAAAAAAAA8L8CgSbChqdX/b8CYqHWNO845T8AAAAAGAAAAPz8APwAAgAAAAAAAPC/AoEmwoanV/2/At4CCYofY/W/AAAAABgAAAD8/AD8AAIAAAAAAADwvwJ/jLlrCfnuvwIQ6bevA+fEPwAAAAABEQQAAWUEAAAAAAAAAAAIDAFlBAAAAAAAAAAADAABZQgIAAAAAAAAABAAAWUEAAAAAAAAAAAUBAFlCAgAAAAAAAAAGBABZQgAAAAAAAAAABwIAWUEAAAAAAAAAAAgEAFlBAAAAAAAAAAAJBwBZQQAAAAAAAAAACg0AWUEAAAAAAAAAAAsKAFlBAAAAAAAAAAAMDgBZQQAAAAAAAAAADQ8AWUICAAAAAAAAAA4JAFlCAwAAAAAAAAAPCQBZQQAAAAAAAAAAAgUAWUEAAAAAAAAAAAwKAFlCAgAAAAAAAAAAAAAAA==</t>
        </r>
      </text>
    </comment>
    <comment ref="A894" authorId="0" shapeId="0" xr:uid="{6C767C34-C809-4139-84CD-7A1799149225}">
      <text>
        <r>
          <rPr>
            <sz val="9"/>
            <color indexed="81"/>
            <rFont val="MS P ゴシック"/>
            <family val="3"/>
            <charset val="128"/>
          </rPr>
          <t>Insight iXlW00001C0000894R0585476093S00001786P00804LAocjBAQBF1NjaVRlZ2ljLmRhdGEuTW9sZWN1bGUBbwF/ARJTY2lUZWdpYy5Nb2xlY3VsZQAAAQFkAv5qAQAAAAIAAigYAAAA/PwA/AACAAAAAAAA8L8CfIMvTKYK978CLiEf9GxW0T8AAAAAGAAAAPz8APwAAgAAAAAAAPC/ArOd76fGS9+/Av2H9NvXgaO/AAAAABgAAAD8/AD8AAIAAAAAAADwvwKq8dJNYhDyPwL9h/Tb14GjvwAAAAAYAAAA/PwA/AACAAAAAAAA8L8CexSuR+F61D8C9I5TdCSX4T8AAAAAIAAAAPz8APwAAgAAAAAAAPC/AoIExY8xdwHAApPLf0i/fdm/AAAAABgAAAD8/AD8AAIAAAAAAADwvwIL16NwPQrHvwK8Jw8LtabvvwAAAAAYAAAA/PwA/AACAAAAAAAA8L8CXLG/7J486j8CvCcPC7Wm778AAAAAIAAAAPz8APwAAgAAAAAAAPC/AgOaCBueXvq/ApZDi2zn+/M/AAAAABgAAAD8/AD8AAIAAAAAAADwvwKq8dJNYhD6PwLm0CLb+X7qPwAAAAAYAAAA/PwA/AACAAAAAAAA8L8C16NwPQpXAEAC87BQa5p33L8AAAAAKAQAAWUEAAAAAAAAAAAIDAFlBAAAAAAAAAAADAQBZQQAAAAAAAAAABAAAWUIAAAAAAAAAAAUBAFlBAAAAAAAAAAAGBQBZQQAAAAAAAAAABwAAWUEAAAAAAAAAAAgCAFlBAAAAAAAAAAAJAgBZQQAAAAAAAAAABgIAWUEAAAAAAAAAAAAAAAA</t>
        </r>
      </text>
    </comment>
    <comment ref="A895" authorId="0" shapeId="0" xr:uid="{F359DAED-FD3D-4B3B-86E5-A2A51CEF06BD}">
      <text>
        <r>
          <rPr>
            <sz val="9"/>
            <color indexed="81"/>
            <rFont val="MS P ゴシック"/>
            <family val="3"/>
            <charset val="128"/>
          </rPr>
          <t>Insight iXlW00001C0000895R0585476093S00001788P00720LAocjBAQBF1NjaVRlZ2ljLmRhdGEuTW9sZWN1bGUBbwF/ARJTY2lUZWdpYy5Nb2xlY3VsZQAAAQFkAv5qAQAAAAIAAiQgAAAA/PwA/AACAAAAAAAA8L8CqaROQBNh/T8CQz7o2az60D8AAAAAGAAAAPz8APwAAgAAAAAAAPC/Ah44Z0Rpb/A/AqRwPQrXo9S/AAAAABgAAAD8/AD8AAIAAAAAAADwvwKGWtO84xS9PwI9vVKWIY61PwAAAAAgAAAA/PwA/AACAAAAAAAA8L8CUWuad5yi4z8CDXGsi9to7j8AAAAAGAAAAPz8APwAAgAAAAAAAPC/Ahi30QDeAsm/ApSHhVrTvOu/AAAAABgAAAD8/AD8AAIAAAAAAADwvwLjNhrAWyDzvwKUh4Va07zrvwAAAAAcAAAA/PwA/AACAAAAAAAA8L8Cb6MBvAUS+L8CPb1SliGOtT8AAAAAGAAAAPz8APwAAgAAAAAAAPC/AsZtNIC3QOa/Ahsv3SQGgeU/AAAAAAERAAAA/PwA/AACAAAAAAAA8L8Cu7iNBvAWBUAC2BLyQc9mpT8AAAAAIAAEAWUEAAAAAAAAAAAECAFlBAAAAAAAAAAACAwBZQQAAAAAAAAAAAgQAWUEAAAAAAAAAAAQFAFlBAAAAAAAAAAAFBgBZQQAAAAAAAAAABgcAWUEAAAAAAAAAAAcCAFlBAAAAAAAAAAAAAAAAA==</t>
        </r>
      </text>
    </comment>
    <comment ref="A896" authorId="0" shapeId="0" xr:uid="{9F8ADF4A-1CD7-4F62-AB44-8C5ECCAB234E}">
      <text>
        <r>
          <rPr>
            <sz val="9"/>
            <color indexed="81"/>
            <rFont val="MS P ゴシック"/>
            <family val="3"/>
            <charset val="128"/>
          </rPr>
          <t>Insight iXlW00001C0000896R0585476093S00001790P01088LAocjBAQBF1NjaVRlZ2ljLmRhdGEuTW9sZWN1bGUBbwF/ARJTY2lUZWdpYy5Nb2xlY3VsZQAAAQFkAv5qAQAAAAIAAjgYAAAA/PwA/AACAAAAAAAA8L8C4ZwRpb3B1z8Cm+Ydp+hI0r8AAAAAGAAAAPz8APwAAgAAAAAAAPC/AnrHKTqSy/M/Ak7zjlN0JOm/AAAAABgAAAD8/AD8AAIAAAAAAADwvwJ6xyk6ksvzPwKneccpOpL8vwAAAAAcAAAA/PwA/AACAAAAAAAA8L8CescpOpLL8z8CWoY41sVt8z8AAAAAGAAAAPz8APwAAgAAAAAAAPC/AuGcEaW9wdc/ArMMcayL2+Y/AAAAABwAAAD8/AD8AAIAAAAAAADwvwLek4eFWtMAQAKb5h2n6EjSvwAAAAAYAAAA/PwA/AACAAAAAAAA8L8C3pOHhVrTAEACswxxrIvb5j8AAAAAIAAAAPz8APwAAgAAAAAAAPC/At6Th4Va0wBAAtS84xQdSQLAAAAAABwAAAD8/AD8AAIAAAAAAADwvwLqlbIMcazfvwJahjjWxW3zPwAAAAAgAAAA/PwA/AACAAAAAAAA8L8CHeviNhrA1z8C1LzjFB1JAsAAAAAAIAAAAPz8APwAAgAAAAAAAPC/AiBj7lpCvgjAArMMcayL2+Y/AAAAABgAAAD8/AD8AAIAAAAAAADwvwK8BRIUP8b1vwKzDHGsi9vmPwAAAAAYAAAA/PwA/AACAAAAAAAA8L8C/7J78rDQAcACWoY41sVt8z8AAAAAGAAAAPz8APwAAgAAAAAAAPC/AnnpJjEIrA/AAlqGONbFbfM/AAAAADgEAAFlCAwAAAAAAAAACAQBZQQAAAAAAAAAAAwQAWUICAAAAAAAAAAQAAFlBAAAAAAAAAAAFAQBZQQAAAAAAAAAABgMAWUEAAAAAAAAAAAcCAFlCAAAAAAAAAAAIBABZQQAAAAAAAAAACQIAWUEAAAAAAAAAAAoMAFlBAAAAAAAAAAALCABZQQAAAAAAAAAADAsAWUEAAAAAAAAAAA0KAFlBAAAAAAAAAAAFBgBZQgIAAAAAAAAAAAAAAA=</t>
        </r>
      </text>
    </comment>
    <comment ref="A897" authorId="0" shapeId="0" xr:uid="{D5670593-0A20-4FD3-ACF1-1582A62C740E}">
      <text>
        <r>
          <rPr>
            <sz val="9"/>
            <color indexed="81"/>
            <rFont val="MS P ゴシック"/>
            <family val="3"/>
            <charset val="128"/>
          </rPr>
          <t>Insight iXlW00001C0000897R0585476093S00001792P01104LAocjBAQBF1NjaVRlZ2ljLmRhdGEuTW9sZWN1bGUBbwF/ARJTY2lUZWdpYy5Nb2xlY3VsZQAAAQFkAv5qAQAAAAIAAjgYAAAA/PwA/AACAAAAAAAA8L8CZ2ZmZmZmxj8CVp+rrdhf7D8AAAAAGAAAAPz8APwAAgAAAAAAAPC/AmdmZmZmZsY/AlQFo5I6Ab2/AAAAABgAAAD8/AD8AAIAAAAAAADwvwIPLbKd76fwPwKrYFRSJ6DjvwAAAAAcAAAA/PwA/AACAAAAAAAA8L8CDy2yne+n8D8Cq8/VVuwv9j8AAAAAGAAAAPz8APwAAgAAAAAAAPC/Ag8tsp3vp/A/AlYwKqkT0Pm/AAAAABwAAAD8/AD8AAIAAAAAAADwvwJQjZduEoP+PwJUBaOSOgG9vwAAAAAYAAAA/PwA/AACAAAAAAAA8L8CUI2XbhKD/j8CVp+rrdhf7D8AAAAAHAAAAPz8APwAAgAAAAAAAPC/AuomMQisHOa/AqvP1VbsL/Y/AAAAACAAAAD8/AD8AAIAAAAAAADwvwJQjZduEoP+PwIrGJXUCegAwAAAAAAgAAAA/PwA/AACAAAAAAAA8L8CZ2ZmZmZmxj8CKxiV1AnoAMAAAAAAGAAAAPz8APwAAgAAAAAAAPC/AiigibDh6fi/Alafq63YX+w/AAAAABgAAAD8/AD8AAIAAAAAAADwvwI3GsBbIEEGwALpSC7/If3GPwAAAAAYAAAA/PwA/AACAAAAAAAA8L8CBOeMKO0N/b8C9dvXgXNGtL8AAAAAGAAAAPz8APwAAgAAAAAAAPC/Asl2vp8aLwTAAocW2c73U/I/AAAAADwEAAFlCAgAAAAAAAAACAQBZQQAAAAAAAAAAAwAAWUEAAAAAAAAAAAQCAFlBAAAAAAAAAAAFBgBZQQAAAAAAAAAABgMAWUICAAAAAAAAAAcAAFlBAAAAAAAAAAAIBABZQgAAAAAAAAAACQQAWUEAAAAAAAAAAAoHAFlBAAAAAAAAAAALDQBZQQAAAAAAAAAADAoAWUEAAAAAAAAAAA0KAFlBAAAAAAAAAAAMCwBZQQAAAAAAAAAAAgUAWUICAAAAAAAAAAAAAAA</t>
        </r>
      </text>
    </comment>
    <comment ref="A898" authorId="0" shapeId="0" xr:uid="{2A2A533F-83FD-452C-BD92-03CE5A46F354}">
      <text>
        <r>
          <rPr>
            <sz val="9"/>
            <color indexed="81"/>
            <rFont val="MS P ゴシック"/>
            <family val="3"/>
            <charset val="128"/>
          </rPr>
          <t>Insight iXlW00001C0000898R0585476093S00001794P01248LAocjBAQBF1NjaVRlZ2ljLmRhdGEuTW9sZWN1bGUBbwF/ARJTY2lUZWdpYy5Nb2xlY3VsZQAAAQFkAv5qAQAAAAIAAgEQGAAAAPz8APwAAgAAAAAAAPC/Aqyt2F92T/4/AjxO0ZFc/su/AAAAABgAAAD8/AD8AAIAAAAAAADwvwL3Bl+YTBUGQAKPU3Qkl//mvwAAAAAYAAAA/PwA/AACAAAAAAAA8L8Cak3zjlN08D8Cj1N0JJf/5r8AAAAAHAAAAPz8APwAAgAAAAAAAPC/Aqyt2F92T/4/Ao9TdCSX/+g/AAAAABgAAAD8/AD8AAIAAAAAAADwvwJFaW/whcnEPwLFsS5uowHMvwAAAAAcAAAA/PwA/AACAAAAAAAA8L8CMuauJeSD5r8CcayL22gA578AAAAAIAAAAPz8APwAAgAAAAAAAPC/AlCNl24SAw1AAjxO0ZFc/su/AAAAACAAAAD8/AD8AAIAAAAAAADwvwIooImw4WkKwAKPU3Qkl//oPwAAAAAgAAAA/PwA/AACAAAAAAAA8L8C9wZfmEwVBkACyCk6kst/+78AAAAAGAAAAPz8APwAAgAAAAAAAPC/Asx/SL99Hfm/AsWxLm6jAcy/AAAAABgAAAD8/AD8AAIAAAAAAADwvwJqTfOOU3TwPwLIKTqSy3/0PwAAAAAYAAAA/PwA/AACAAAAAAAA8L8CRWlv8IXJxD8Cj1N0JJf/6D8AAAAAGAAAAPz8APwAAgAAAAAAAPC/Asx/SL99Hfm/Ao9TdCSX/+g/AAAAABgAAAD8/AD8AAIAAAAAAADwvwIH8BZIUHwDwAKPU3Qkl//mvwAAAAAYAAAA/PwA/AACAAAAAAAA8L8CKKCJsOFpCsACPE7RkVz+y78AAAAAGAAAAPz8APwAAgAAAAAAAPC/AgfwFkhQfAPAAsgpOpLLf/Q/AAAAAAERBAABZQQAAAAAAAAAAAgAAWUEAAAAAAAAAAAMAAFlCAwAAAAAAAAAEAgBZQgMAAAAAAAAABQQAWUEAAAAAAAAAAAYBAFlCAAAAAAAAAAAHDgBZQQAAAAAAAAAACAEAWUEAAAAAAAAAAAkFAFlBAAAAAAAAAAAKAwBZQQAAAAAAAAAACwoAWUICAAAAAAAAAAwJAFlBAAAAAAAAAAANCQBZQQAAAAAAAAAADg0AWUEAAAAAAAAAAA8MAFlBAAAAAAAAAAAECwBZQQAAAAAAAAAADwcAWUEAAAAAAAAAAAAAAAA</t>
        </r>
      </text>
    </comment>
    <comment ref="A899" authorId="0" shapeId="0" xr:uid="{6CDB5371-D060-414E-9D3F-3EFA8151BEB8}">
      <text>
        <r>
          <rPr>
            <sz val="9"/>
            <color indexed="81"/>
            <rFont val="MS P ゴシック"/>
            <family val="3"/>
            <charset val="128"/>
          </rPr>
          <t>Insight iXlW00001C0000899R0585476093S00001796P01420LAocjBAQBF1NjaVRlZ2ljLmRhdGEuTW9sZWN1bGUBbwF/ARJTY2lUZWdpYy5Nb2xlY3VsZQAAAQFkAv5qAQAAAAIBAgETHAAAAPz8APwAAgAAAAAAAPC/AiDSb18HTgtAAuJYF7fRAOA/AAAAABgIAAD8/AD8AAIAAAAAAADwvwL/If32dWAEQAAAAAAAGAAAAPz8APwAAgAAAAAAAPC/Ajj4wmSqYARAAh6n6Egu/++/AAAAABgAAAD8/AD8AAIAAAAAAADwvwIukKD4Meb6PwKPU3Qkl//3vwAAAAAYAAAA/PwA/AACAAAAAAAA8L8C9wZfmEwV6j8CAAAAAAAA8L8AAAAAHAAAAPz8APwAAgAAAAAAAPC/AvcGX5hMFeo/AAAAAAAYAAAA/PwA/AACAAAAAAAA8L8CveMUHcnl+j8CAAAAAAAA4D8AAAAAGAAAAPz8APwAAgAAAAAAAPC/AsiYu5aQD6q/AgAAAAAAAOA/AAAAABwAAAD8/AD8AAIAAAAAAADwvwLqJjEIrByqvwIAAAAAAAD4PwAAAAAYAAAA/PwA/AACAAAAAAAA8L8C8tJNYhBY7b8CAAAAAAAAAEAAAAAAHAAAAPz8APwAAgAAAAAAAPC/ArtJDAIrh/y/AgAAAAAAAPg/AAAAABgAAAD8/AD8AAIAAAAAAADwvwK7SQwCK4f8vwI8TtGRXP7fPwAAAAAYAAAA/PwA/AACAAAAAAAA8L8C/tR46SYxBcAAAAAAABgAAAD8/AD8AAIAAAAAAADwvwL+1HjpJjEFwAIAAAAAAADwvwAAAAAYAAAA/PwA/AACAAAAAAAA8L8Cu0kMAiuH/L8CAAAAAAAA+L8AAAAAGAAAAPz8APwAAgAAAAAAAPC/AvLSTWIQWO2/AgAAAAAAAPC/AAAAABgAAAD8/AD8AAIAAAAAAADwvwLy0k1iEFjtvwItQxzr4jYavwAAAAABEQAAAPz8APwAAgAAAAAAAPC/AkMc6+I22hBAAuNYF7fRAM4/AAAAAAERAAAA/PwA/AACAAAAAAAA8L8C0pFc/kP6FEACj1N0JJf/0D8AAAAAARMEAAFlBBAAAAAAAAAABAgBZQQAAAAAAAAAAAgMAWUEAAAAAAAAAAAMEAFlBAAAAAAAAAAAEBQBZQQAAAAAAAAAABQYAWUEAAAAAAAAAAAYBAFlBAAAAAAAAAAAFBwBZQQAAAAAAAAAABwgAWUEAAAAAAAAAAAgJAFlCAgAAAAAAAAAJCgBZQQAAAAAAAAAACgsAWUIDAAAAAAAAAAsMAFlBAAAAAAAAAAAMDQBZQgIAAAAAAAAADQ4AWUEAAAAAAAAAAA4PAFlCAgAAAAAAAAAPAEQAWUEAAAAAAAAAAABEBwBZQgIAAAAAAAAAAEQLAFlBAAAAAAAAAAAAAAAAA==</t>
        </r>
      </text>
    </comment>
    <comment ref="A900" authorId="0" shapeId="0" xr:uid="{FB84E29F-82A7-4D7B-82F3-A68A8F012F1E}">
      <text>
        <r>
          <rPr>
            <sz val="9"/>
            <color indexed="81"/>
            <rFont val="MS P ゴシック"/>
            <family val="3"/>
            <charset val="128"/>
          </rPr>
          <t>Insight iXlW00001C0000900R0585476093S00001798P01396LAocjBAQBF1NjaVRlZ2ljLmRhdGEuTW9sZWN1bGUBbwF/ARJTY2lUZWdpYy5Nb2xlY3VsZQAAAQFkAv5qAQAAAAIAAgESGAAAAPz8APwAAgAAAAAAAPC/AvOwUGuad/o/Au58PzVeut0/AAAAABwAAAD8/AD8AAIAAAAAAADwvwJfmEwVjEriPwIEVg4tsp3nvwAAAAAcAAAA/PwA/AACAAAAAAAA8L8Cw/UoXI/C9z8C/7J78rBQ8r8AAAAAGAAAAPz8APwAAgAAAAAAAPC/Am8Sg8DKoeU/AtEi2/l+atA/AAAAABgAAAD8/AD8AAIAAAAAAADwvwJ5WKg1zTsBQALdtYR80LPZvwAAAAAYAAAA/PwA/AACAAAAAAAA8L8CeJyiI7l8AEACQDVeukkM9j8AAAAAGAAAAPz8APwAAgAAAAAAAPC/Ag0CK4cW2dK/AgIrhxbZzvO/AAAAACAAAAD8/AD8AAIAAAAAAADwvwI2zTtO0ZH3PwLm0CLb+X4BQAAAAAAYAAAA/PwA/AACAAAAAAAA8L8CxSCwcmiR8r8CBFYOLbKd578AAAAAIAAAAPz8APwAAgAAAAAAAPC/AlOWIY51cQhAAirLEMe6uPc/AAAAABgAAAD8/AD8AAIAAAAAAADwvwKDwMqhRTYAwAICK4cW2c7zvwAAAAAYAAAA/PwA/AACAAAAAAAA8L8CFoxK6gQ0sb8C564l5IOe7T8AAAAAGAAAAPz8APwAAgAAAAAAAPC/AlVSJ6CJMAlAAuAtkKD4MeC/AAAAABgAAAD8/AD8AAIAAAAAAADwvwKkcD0K1yMHwAIEVg4tsp3nvwAAAAAYAAAA/PwA/AACAAAAAAAA8L8Cg8DKoUU2AMAC/Knx0k1i6D8AAAAAGAAAAPz8APwAAgAAAAAAAPC/AsUgsHJokfK/AvhT46WbxNA/AAAAABgAAAD8/AD8AAIAAAAAAADwvwKkcD0K1yMHwAL4U+Olm8TQPwAAAAAYAAAA/PwA/AACAAAAAAAA8L8CxSCwcmgRDsACAiuHFtnO878AAAAAARMEDAFlBAAAAAAAAAAACBABZQgIAAAAAAAAAAwAAWUICAAAAAAAAAAQAAFlBAAAAAAAAAAAFAABZQQAAAAAAAAAABgEAWUEAAAAAAAAAAAcFAFlCAAAAAAAAAAAIBgBZQQAAAAAAAAAACQUAWUEAAAAAAAAAAAoIAFlBAAAAAAAAAAALAwBZQQAAAAAAAAAADAQAWUEAAAAAAAAAAA0KAFlCAwAAAAAAAAAODwBZQQAAAAAAAAAADwgAWUIDAAAAAAAAAABEDgBZQgIAAAAAAAAAAERNAFlBAAAAAAAAAAABAgBZQQAAAAAAAAAADQBEAFlBAAAAAAAAAAAAAAAAA==</t>
        </r>
      </text>
    </comment>
    <comment ref="A901" authorId="0" shapeId="0" xr:uid="{08EE9A2A-1467-4DA5-9DC8-4F1F2F7A0F32}">
      <text>
        <r>
          <rPr>
            <sz val="9"/>
            <color indexed="81"/>
            <rFont val="MS P ゴシック"/>
            <family val="3"/>
            <charset val="128"/>
          </rPr>
          <t>Insight iXlW00001C0000901R0585476093S00001800P01320LAocjBAQBF1NjaVRlZ2ljLmRhdGEuTW9sZWN1bGUBbwF/ARJTY2lUZWdpYy5Nb2xlY3VsZQAAAQFkAv5qAQAAAAIAAgERGAAAAPz8APwAAgAAAAAAAPC/Ar5SliGOdf4/AulILv8h/cY/AAAAABwAAAD8/AD8AAIAAAAAAADwvwJfKcsQxzoDQAJJLv8h/fblvwAAAAAcAAAA/PwA/AACAAAAAAAA8L8C9dvXgXNG6j8CsJRliGNd8L8AAAAAGAAAAPz8APwAAgAAAAAAAPC/AueuJeSDnu0/AkM+6Nms+py/AAAAABgAAAD8/AD8AAIAAAAAAADwvwKWQ4ts53sCQAIhH/RsVn3xPwAAAAAYAAAA/PwA/AACAAAAAAAA8L8CjpduEoPA+z8CHcnlP6Tf9r8AAAAAIAAAAPz8APwAAgAAAAAAAPC/AnIbDeAtkPs/Ah44Z0Rpb/4/AAAAABgAAAD8/AD8AAIAAAAAAADwvwLpSC7/If2mvwKwlGWIY134vwAAAAAYAAAA/PwA/AACAAAAAAAA8L8C9P3UeOkm7b8CsJRliGNd8L8AAAAAIAAAAPz8APwAAgAAAAAAAPC/AnE9CtejcApAAgu1pnnHKfM/AAAAABgAAAD8/AD8AAIAAAAAAADwvwL0/dR46SbtvwLUK2UZ4liXvwAAAAAYAAAA/PwA/AACAAAAAAAA8L8CPN9PjZdu/L8CQ61p3nGK3j8AAAAAIAAAAPz8APwAAgAAAAAAAPC/AjzfT42Xbvy/AlFrmnecovc/AAAAABgAAAD8/AD8AAIAAAAAAADwvwK/nxov3SQFwAKwlGWIY13wvwAAAAAYAAAA/PwA/AACAAAAAAAA8L8CPN9PjZdu/L8CsJRliGNd+L8AAAAAGAAAAPz8APwAAgAAAAAAAPC/Ar+fGi/dJAXAAtQrZRniWJe/AAAAABgAAAD8/AD8AAIAAAAAAADwvwK/nxov3SQFwALgvg6cM6L/PwAAAAABEgQAAWUEAAAAAAAAAAAIDAFlBAAAAAAAAAAADAABZQgIAAAAAAAAABAAAWUEAAAAAAAAAAAUBAFlCAgAAAAAAAAAGBABZQgAAAAAAAAAABwIAWUEAAAAAAAAAAAgHAFlBAAAAAAAAAAAJBABZQQAAAAAAAAAACggAWUEAAAAAAAAAAAsKAFlCAwAAAAAAAAAMCwBZQQAAAAAAAAAADQ4AWUEAAAAAAAAAAA4IAFlCAwAAAAAAAAAPDQBZQgIAAAAAAAAAAEQMAFlBAAAAAAAAAAACBQBZQQAAAAAAAAAACw8AWUEAAAAAAAAAAAAAAAA</t>
        </r>
      </text>
    </comment>
    <comment ref="A902" authorId="0" shapeId="0" xr:uid="{4E2BEAFB-5A9E-4CC1-B74A-0299C1121A1C}">
      <text>
        <r>
          <rPr>
            <sz val="9"/>
            <color indexed="81"/>
            <rFont val="MS P ゴシック"/>
            <family val="3"/>
            <charset val="128"/>
          </rPr>
          <t>Insight iXlW00001C0000902R0585476093S00001802P01144LAocjBAQBF1NjaVRlZ2ljLmRhdGEuTW9sZWN1bGUBbwF/ARJTY2lUZWdpYy5Nb2xlY3VsZQAAAQFkAv5qAQAAAAIAAjwcAAAA/PwA/AACAAAAAAAA8L8C3SQGgZXDBsAC9GxWfa629b8AAAAAGAAAAPz8APwAAgAAAAAAAPC/At0kBoGVwwbAAtGzWfW52ta/AAAAABgAAAD8/AD8AAIAAAAAAADwvwJ56SYxCKz/vwJfmEwVjErCPwAAAAAYAAAA/PwA/AACAAAAAAAA8L8COIlBYOXQ8b8C0bNZ9bna1r8AAAAAGAAAAPz8APwAAgAAAAAAAPC/Aibkg57Nqs+/Al+YTBWMSsI/AAAAACAAAAD8/AD8AAIAAAAAAADwvwJ6xyk6ksvjPwLRs1n1udrWvwAAAAAYAAAA/PwA/AACAAAAAAAA8L8C/0P67evA9z8CX5hMFYxKwj8AAAAAGAAAAPz8APwAAgAAAAAAAPC/AiDSb18HzgJAAtGzWfW52ta/AAAAACQAAAD8/AD8AAIAAAAAAADwvwIg0m9fB84GQAKb5h2n6EjgPwAAAAAkAAAA/PwA/AACAAAAAAAA8L8CelioNc27CUAC6dms+lxt678AAAAAJAAAAPz8APwAAgAAAAAAAPC/AkCk374OnP0/Aqd5xyk6kvO/AAAAABwAAAD8/AD8AAIAAAAAAADwvwKvR+F6FK7PvwKb5h2n6EjyPwAAAAAYAAAA/PwA/AACAAAAAAAA8L8COIlBYOXQ8b8Cm+Ydp+hI+j8AAAAAHAAAAPz8APwAAgAAAAAAAPC/AnnpJjEIrP+/AgyTqYJRSfI/AAAAAAERAAAA/PwA/AACAAAAAAAA8L8CcF8HzhkREEACX5hMFYxKwj8AAAAAOAAEAWUEAAAAAAAAAAAECAFlBAAAAAAAAAAACAwBZQgMAAAAAAAAAAwQAWUEAAAAAAAAAAAQFAFlBAAAAAAAAAAAFBgBZQQAAAAAAAAAABgcAWUEAAAAAAAAAAAcIAFlBAAAAAAAAAAAHCQBZQQAAAAAAAAAABwoAWUEAAAAAAAAAAAQLAFlCAgAAAAAAAAALDABZQQAAAAAAAAAADA0AWUICAAAAAAAAAA0CAFlBAAAAAAAAAAAAAAAAA==</t>
        </r>
      </text>
    </comment>
    <comment ref="A903" authorId="0" shapeId="0" xr:uid="{73FAE8A6-2827-4381-A3E6-AD0E30736751}">
      <text>
        <r>
          <rPr>
            <sz val="9"/>
            <color indexed="81"/>
            <rFont val="MS P ゴシック"/>
            <family val="3"/>
            <charset val="128"/>
          </rPr>
          <t>Insight iXlW00001C0000903R0585476093S00001804P01176LAocjBAQBF1NjaVRlZ2ljLmRhdGEuTW9sZWN1bGUBbwF/ARJTY2lUZWdpYy5Nb2xlY3VsZQAAAQFkAv5qAQAAAAIAAjwcAAAA/PwA/AACAAAAAAAA8L8CjpduEoPA+j8C8BZIUPwY8b8AAAAAGAAAAPz8APwAAgAAAAAAAPC/Atbnaiv2l+m/AgAAAAAAAMC/AAAAACAAAAD8/AD8AAIAAAAAAADwvwL2udqK/WUGwAIAAAAAAADAvwAAAAAYAAAA/PwA/AACAAAAAAAA8L8CWag1zTtOob8CNs07TtGR6L8AAAAAGAAAAPz8APwAAgAAAAAAAPC/AulILv8h/ew/AlXBqKROQNu/AAAAABwAAAD8/AD8AAIAAAAAAADwvwIHX5hMFYzKvwJ8gy9Mpgr4PwAAAAAYAAAA/PwA/AACAAAAAAAA8L8CWag1zTtOob8CNs07TtGR4D8AAAAAGAAAAPz8APwAAgAAAAAAAPC/AmrecYqO5ARAAnNoke18P+e/AAAAABgAAAD8/AD8AAIAAAAAAADwvwL2udqK/WUCwAKDwMqhRbbvvwAAAAAYAAAA/PwA/AACAAAAAAAA8L8C9rnaiv1lAsACg8DKoUW25z8AAAAAGAAAAPz8APwAAgAAAAAAAPC/AutztRX7y/S/AoPAyqFFtu+/AAAAABgAAAD8/AD8AAIAAAAAAADwvwLrc7UV+8v0vwKDwMqhRbbnPwAAAAAYAAAA/PwA/AACAAAAAAAA8L8ChC9MpgpG8T8CF9nO91Pj4T8AAAAAGAAAAPz8APwAAgAAAAAAAPC/AvJjzF1LSAZAAp2iI7n8h9A/AAAAABgAAAD8/AD8AAIAAAAAAADwvwKegCbChicAQAKEns2qz9XsPwAAAAABEAQMAWUEAAAAAAAAAAAIJAFlBAAAAAAAAAAADBABZQQAAAAAAAAAABAAAWUEAAAAAAAAAAAUGAFlBAAAAAAAAAAAGAQBZQQAAAAAAAAAABwAAWUICAAAAAAAAAAgKAFlBAAAAAAAAAAAJCwBZQQAAAAAAAAAACgEAWUEAAAAAAAAAAAsBAFlBAAAAAAAAAAAMBABZQgMAAAAAAAAADQcAWUEAAAAAAAAAAA4NAFlCAgAAAAAAAAAMDgBZQQAAAAAAAAAAAggAWUEAAAAAAAAAAAAAAAA</t>
        </r>
      </text>
    </comment>
    <comment ref="A904" authorId="0" shapeId="0" xr:uid="{80B76D0C-EE78-4AD7-BF78-6231D14BEC8D}">
      <text>
        <r>
          <rPr>
            <sz val="9"/>
            <color indexed="81"/>
            <rFont val="MS P ゴシック"/>
            <family val="3"/>
            <charset val="128"/>
          </rPr>
          <t>Insight iXlW00001C0000904R0585476093S00001806P00736LAocjBAQBF1NjaVRlZ2ljLmRhdGEuTW9sZWN1bGUBbwF/ARJTY2lUZWdpYy5Nb2xlY3VsZQAAAQFkAv5qAQAAAAIAAiQYAAAA/PwA/AACAAAAAAAA8L8CPb1SliGO5b8CiIVa07zj2L8AAAAAGAAAAPz8APwAAgAAAAAAAPC/AqRwPQrXo8g/AsRCrWnecey/AAAAABwAAAD8/AD8AAIAAAAAAADwvwI9vVKWIY7lvwI8vVKWIY7jPwAAAAAYAAAA/PwA/AACAAAAAAAA8L8CHA3gLZCgyD8Cnl4pyxDH8T8AAAAAGAAAAPz8APwAAgAAAAAAAPC/AlYOLbKd7/A/AoiFWtO849i/AAAAABgAAAD8/AD8AAIAAAAAAADwvwJWDi2yne/wPwI8vVKWIY7jPwAAAAAgAAAA/PwA/AACAAAAAAAA8L8C4L4OnDOi+L8CxEKtad5x7L8AAAAAHAAAAPz8APwAAgAAAAAAAPC/AphuEoPAyv4/AsRCrWnecey/AAAAABgAAAD8/AD8AAIAAAAAAADwvwLgvg6cM6L4vwKeXinLEMfxPwAAAAAkBAABZQQAAAAAAAAAAAgAAWUEAAAAAAAAAAAMCAFlBAAAAAAAAAAAEAQBZQgMAAAAAAAAABQMAWUICAAAAAAAAAAYAAFlCAAAAAAAAAAAHBABZQQAAAAAAAAAACAIAWUEAAAAAAAAAAAQFAFlBAAAAAAAAAAAAAAAAA==</t>
        </r>
      </text>
    </comment>
    <comment ref="A905" authorId="0" shapeId="0" xr:uid="{04F7F032-7D70-4012-9EFD-E4DDDE670053}">
      <text>
        <r>
          <rPr>
            <sz val="9"/>
            <color indexed="81"/>
            <rFont val="MS P ゴシック"/>
            <family val="3"/>
            <charset val="128"/>
          </rPr>
          <t>Insight iXlW00001C0000905R0585476093S00001808P01304LAocjBAQBF1NjaVRlZ2ljLmRhdGEuTW9sZWN1bGUBbwF/ARJTY2lUZWdpYy5Nb2xlY3VsZQAAAQFkAv5qAQAAAAIBAgERIAAAAPz8APwAAgAAAAAAAPC/AmN/2T15WOQ/Ah3J5T+k3/O/AAAAABgAAAD8/AD8AAIAAAAAAADwvwJjf9k9eVjkPwLpSC7/If3OvwAAAAAcAAAA/PwA/AACAAAAAAAA8L8CggTFjzF3zb8CjNtoAG+B0D8AAAAAGAAAAPz8APwAAgAAAAAAAPC/AtIA3gIJivG/AulILv8h/c6/AAAAABgAAAD8/AD8AAIAAAAAAADwvwKFDU+vlGX/vwKM22gAb4HQPwAAAAAYAAAA/PwA/AACAAAAAAAA8L8ChQ1Pr5Rl/78C4zYawFsg9D8AAAAAGAAAAPz8APwAAgAAAAAAAPC/AuM2GsBboAbAAuM2GsBbIPw/AAAAABgAAAD8/AD8AAIAAAAAAADwvwIE54wo7Y0NwALjNhrAWyD0PwAAAAAcAAAA/PwA/AACAAAAAAAA8L8CBOeMKO2NDcACjNtoAG+B0D8AAAAAGAAAAPz8APwAAgAAAAAAAPC/AuM2GsBboAbAAulILv8h/c6/AAAAABwAAAD8/AD8AAIAAAAAAADwvwLzH9JvXwf4PwKM22gAb4HQPwAAAAAYDAAA/PwA/AACAAAAAAAA8L8CU5YhjnXxAkAC6Ugu/yH9zr8AAAAAGAAAAPz8APwAAgAAAAAAAPC/AlXBqKROQApAAv32deCcEcU/AAAAABgAAAD8/AD8AAIAAAAAAADwvwK1yHa+n5oPQAIy5q4l5IPivwAAAAAcAAAA/PwA/AACAAAAAAAA8L8Ctch2vp+aC0AC6iYxCKwc978AAAAAGAAAAPz8APwAAgAAAAAAAPC/Ag8LtaZ5xwNAAtS84xQdyfO/AAAAAAERAAAA/PwA/AACAAAAAAAA8L8CjpduEoMAE0AC5j+k374OxD8AAAAAAREABAFlCAAAAAAAAAAABAgBZQQAAAAAAAAAAAgMAWUEAAAAAAAAAAAMEAFlBAAAAAAAAAAAEBQBZQgMAAAAAAAAABQYAWUEAAAAAAAAAAAYHAFlCAgAAAAAAAAAHCABZQQAAAAAAAAAACAkAWUICAAAAAAAAAAkEAFlBAAAAAAAAAAABCgBZQQAAAAAAAAAACwoAWUEFAAAAAAAAAAsMAFlBAAAAAAAAAAAMDQBZQQAAAAAAAAAADQ4AWUEAAAAAAAAAAA4PAFlBAAAAAAAAAAAPCwBZQQAAAAAAAAAAAAAAAA=</t>
        </r>
      </text>
    </comment>
    <comment ref="A906" authorId="0" shapeId="0" xr:uid="{38953B93-878E-438C-ACCA-B22B60C1D628}">
      <text>
        <r>
          <rPr>
            <sz val="9"/>
            <color indexed="81"/>
            <rFont val="MS P ゴシック"/>
            <family val="3"/>
            <charset val="128"/>
          </rPr>
          <t>Insight iXlW00001C0000906R0585476093S00001810P01304LAocjBAQBF1NjaVRlZ2ljLmRhdGEuTW9sZWN1bGUBbwF/ARJTY2lUZWdpYy5Nb2xlY3VsZQAAAQFkAv5qAQAAAAIBAgERIAAAAPz8APwAAgAAAAAAAPC/AmN/2T15WOQ/Ah3J5T+k3/O/AAAAABgAAAD8/AD8AAIAAAAAAADwvwJjf9k9eVjkPwLpSC7/If3OvwAAAAAcAAAA/PwA/AACAAAAAAAA8L8CggTFjzF3zb8CjNtoAG+B0D8AAAAAGAAAAPz8APwAAgAAAAAAAPC/AtIA3gIJivG/AulILv8h/c6/AAAAABgAAAD8/AD8AAIAAAAAAADwvwKFDU+vlGX/vwKM22gAb4HQPwAAAAAYAAAA/PwA/AACAAAAAAAA8L8C4zYawFugBsAC6Ugu/yH9zr8AAAAAGAAAAPz8APwAAgAAAAAAAPC/AgTnjCjtjQ3AAozbaABvgdA/AAAAABwAAAD8/AD8AAIAAAAAAADwvwIE54wo7Y0NwALjNhrAWyD0PwAAAAAYAAAA/PwA/AACAAAAAAAA8L8C4zYawFugBsAC4zYawFsg/D8AAAAAGAAAAPz8APwAAgAAAAAAAPC/AoUNT6+UZf+/AuM2GsBbIPQ/AAAAABwAAAD8/AD8AAIAAAAAAADwvwLzH9JvXwf4PwKM22gAb4HQPwAAAAAYDAAA/PwA/AACAAAAAAAA8L8CU5YhjnXxAkAC6Ugu/yH9zr8AAAAAGAAAAPz8APwAAgAAAAAAAPC/AlXBqKROQApAAv32deCcEcU/AAAAABgAAAD8/AD8AAIAAAAAAADwvwK1yHa+n5oPQAIy5q4l5IPivwAAAAAcAAAA/PwA/AACAAAAAAAA8L8Ctch2vp+aC0AC6iYxCKwc978AAAAAGAAAAPz8APwAAgAAAAAAAPC/Ag8LtaZ5xwNAAtS84xQdyfO/AAAAAAERAAAA/PwA/AACAAAAAAAA8L8CjpduEoMAE0AC5j+k374OxD8AAAAAAREABAFlCAAAAAAAAAAABAgBZQQAAAAAAAAAAAgMAWUEAAAAAAAAAAAMEAFlBAAAAAAAAAAAEBQBZQgMAAAAAAAAABQYAWUEAAAAAAAAAAAYHAFlCAgAAAAAAAAAHCABZQQAAAAAAAAAACAkAWUICAAAAAAAAAAkEAFlBAAAAAAAAAAABCgBZQQAAAAAAAAAACwoAWUEFAAAAAAAAAAsMAFlBAAAAAAAAAAAMDQBZQQAAAAAAAAAADQ4AWUEAAAAAAAAAAA4PAFlBAAAAAAAAAAAPCwBZQQAAAAAAAAAAAAAAAA=</t>
        </r>
      </text>
    </comment>
    <comment ref="A907" authorId="0" shapeId="0" xr:uid="{FCB86DA4-D2C6-42DF-81F4-E9B340CD4162}">
      <text>
        <r>
          <rPr>
            <sz val="9"/>
            <color indexed="81"/>
            <rFont val="MS P ゴシック"/>
            <family val="3"/>
            <charset val="128"/>
          </rPr>
          <t>Insight iXlW00001C0000907R0585476093S00001812P01128LAocjBAQBF1NjaVRlZ2ljLmRhdGEuTW9sZWN1bGUBbwF/ARJTY2lUZWdpYy5Nb2xlY3VsZQAAAQFkAv5qAQAAAAIBAjwYAAAA/PwA/AACAAAAAAAA8L8ClBgEVg4tAcAC3UYDeAsk6r8AAAAAGAAAAPz8APwAAgAAAAAAAPC/AmwJ+aBns/K/ArByaJHtfOO/AAAAABgIAAD8/AD8AAIAAAAAAADwvwKCc0aU9gbxvwJ56SYxCKzYPwAAAAAYAAAA/PwA/AACAAAAAAAA8L8C93XgnBGl/78CmN2Th4Va6T8AAAAAHAAAAPz8APwAAgAAAAAAAPC/AltCPujZLAXAAo0o7Q2+MKk/AAAAABwAAAD8/AD8AAIAAAAAAADwvwIDmggbnl7JvwK9dJMYBFbsPwAAAAAYAAAA/PwA/AACAAAAAAAA8L8CA5oIG55e5T8CeekmMQis2D8AAAAAGAAAAPz8APwAAgAAAAAAAPC/AkOtad5xivg/Ar10kxgEVuw/AAAAABgAAAD8/AD8AAIAAAAAAADwvwLChqdXyjIDQAI9m1Wfq63YPwAAAAAYAAAA/PwA/AACAAAAAAAA8L8CwoanV8oyA0ACYjJVMCqp478AAAAAGAAAAPz8APwAAgAAAAAAAPC/AkOtad5xivg/AjGZKhiV1PG/AAAAABwAAAD8/AD8AAIAAAAAAADwvwIDmggbnl7lPwJiMlUwKqnjvwAAAAABEQAAAPz8APwAAgAAAAAAAPC/AintDb4wmQlAAs3MzMzMzMS/AAAAAAERAAAA/PwA/AACAAAAAAAA8L8CI2x4eqXsEEACGuJYF7fRwL8AAAAAAREAAAD8/AD8AAIAAAAAAADwvwLM7snDQi0VQAKPU3Qkl/+wvwAAAAA0AAQBZQQAAAAAAAAAAAQIAWUEAAAAAAAAAAAIDAFlBAAAAAAAAAAADBABZQQAAAAAAAAAABAAAWUEAAAAAAAAAAAIFAFlBBAAAAAAAAAAFBgBZQQAAAAAAAAAABgcAWUIDAAAAAAAAAAcIAFlBAAAAAAAAAAAICQBZQgIAAAAAAAAACQoAWUEAAAAAAAAAAAoLAFlCAgAAAAAAAAALBgBZQQAAAAAAAAAAAAAAAA=</t>
        </r>
      </text>
    </comment>
    <comment ref="A908" authorId="0" shapeId="0" xr:uid="{9736B7B6-D934-4AA9-AFF9-A95F2D9A0BF3}">
      <text>
        <r>
          <rPr>
            <sz val="9"/>
            <color indexed="81"/>
            <rFont val="MS P ゴシック"/>
            <family val="3"/>
            <charset val="128"/>
          </rPr>
          <t>Insight iXlW00001C0000908R0585476093S00001814P01248LAocjBAQBF1NjaVRlZ2ljLmRhdGEuTW9sZWN1bGUBbwF/ARJTY2lUZWdpYy5Nb2xlY3VsZQAAAQFkAv5qAQAAAAIAAgEQGAAAAPz8APwAAgAAAAAAAPC/AmpN845TdPA/Ao9TdCSX/+a/AAAAABgAAAD8/AD8AAIAAAAAAADwvwJFaW/whcnEPwI8TtGRXP7LvwAAAAAYAAAA/PwA/AACAAAAAAAA8L8CrK3YX3ZP/j8CxbEubqMBzL8AAAAAHAAAAPz8APwAAgAAAAAAAPC/AkVpb/CFycQ/Ao9TdCSX/+g/AAAAABgAAAD8/AD8AAIAAAAAAADwvwL3Bl+YTBUGQAJxrIvbaADnvwAAAAAcAAAA/PwA/AACAAAAAAAA8L8CrK3YX3ZP/j8Cj1N0JJf/6D8AAAAAGAAAAPz8APwAAgAAAAAAAPC/AmpN845TdPA/AsgpOpLLf/Q/AAAAACAAAAD8/AD8AAIAAAAAAADwvwIy5q4l5IPmvwKPU3Qkl//mvwAAAAAgAAAA/PwA/AACAAAAAAAA8L8CUI2XbhIDDUACxbEubqMBzL8AAAAAIAAAAPz8APwAAgAAAAAAAPC/AiigibDhaQrAAnGsi9toAOk/AAAAACAAAAD8/AD8AAIAAAAAAADwvwL3Bl+YTBUGQAI51sVtNID7vwAAAAAYAAAA/PwA/AACAAAAAAAA8L8CzH9Iv30d+b8CPE7RkVz+y78AAAAAGAAAAPz8APwAAgAAAAAAAPC/Asx/SL99Hfm/Ao9TdCSX/+g/AAAAABgAAAD8/AD8AAIAAAAAAADwvwIH8BZIUHwDwAKPU3Qkl//mvwAAAAAYAAAA/PwA/AACAAAAAAAA8L8CKKCJsOFpCsACPE7RkVz+y78AAAAAGAAAAPz8APwAAgAAAAAAAPC/AgfwFkhQfAPAAsgpOpLLf/Q/AAAAAAERBAABZQgIAAAAAAAAAAgAAWUEAAAAAAAAAAAMBAFlBAAAAAAAAAAAEAgBZQQAAAAAAAAAABQIAWUICAAAAAAAAAAYFAFlBAAAAAAAAAAAHAQBZQQAAAAAAAAAACAQAWUIAAAAAAAAAAAkOAFlBAAAAAAAAAAAKBABZQQAAAAAAAAAACwcAWUEAAAAAAAAAAAwLAFlBAAAAAAAAAAANCwBZQQAAAAAAAAAADg0AWUEAAAAAAAAAAA8MAFlBAAAAAAAAAAAGAwBZQgIAAAAAAAAADwkAWUEAAAAAAAAAAAAAAAA</t>
        </r>
      </text>
    </comment>
    <comment ref="A909" authorId="0" shapeId="0" xr:uid="{EAD5ED61-7399-4A49-A9BB-957DB3E19DC3}">
      <text>
        <r>
          <rPr>
            <sz val="9"/>
            <color indexed="81"/>
            <rFont val="MS P ゴシック"/>
            <family val="3"/>
            <charset val="128"/>
          </rPr>
          <t>Insight iXlW00001C0000909R0585476093S00001816P01248LAocjBAQBF1NjaVRlZ2ljLmRhdGEuTW9sZWN1bGUBbwF/ARJTY2lUZWdpYy5Nb2xlY3VsZQAAAQFkAv5qAQAAAAIAAgEQGAAAAPz8APwAAgAAAAAAAPC/AkVpb/CFycQ/AjxO0ZFc/su/AAAAABgAAAD8/AD8AAIAAAAAAADwvwJqTfOOU3TwPwKPU3Qkl//mvwAAAAAYAAAA/PwA/AACAAAAAAAA8L8CrK3YX3ZP/j8CxbEubqMBzL8AAAAAHAAAAPz8APwAAgAAAAAAAPC/AkVpb/CFycQ/Ao9TdCSX/+g/AAAAABgAAAD8/AD8AAIAAAAAAADwvwL3Bl+YTBUGQAJxrIvbaADnvwAAAAAcAAAA/PwA/AACAAAAAAAA8L8CrK3YX3ZP/j8Cj1N0JJf/6D8AAAAAGAAAAPz8APwAAgAAAAAAAPC/AmpN845TdPA/AsgpOpLLf/Q/AAAAABwAAAD8/AD8AAIAAAAAAADwvwIy5q4l5IPmvwKPU3Qkl//mvwAAAAAgAAAA/PwA/AACAAAAAAAA8L8CUI2XbhIDDUACxbEubqMBzL8AAAAAIAAAAPz8APwAAgAAAAAAAPC/AiigibDhaQrAAnGsi9toAOk/AAAAABgAAAD8/AD8AAIAAAAAAADwvwLMf0i/fR35vwI8TtGRXP7LvwAAAAAgAAAA/PwA/AACAAAAAAAA8L8C9wZfmEwVBkACOdbFbTSA+78AAAAAGAAAAPz8APwAAgAAAAAAAPC/Asx/SL99Hfm/Ao9TdCSX/+g/AAAAABgAAAD8/AD8AAIAAAAAAADwvwIH8BZIUHwDwAKPU3Qkl//mvwAAAAAYAAAA/PwA/AACAAAAAAAA8L8CKKCJsOFpCsACPE7RkVz+y78AAAAAGAAAAPz8APwAAgAAAAAAAPC/AgfwFkhQfAPAAsgpOpLLf/Q/AAAAAAERBAABZQgIAAAAAAAAAAgEAWUEAAAAAAAAAAAMAAFlBAAAAAAAAAAAEAgBZQQAAAAAAAAAABQYAWUEAAAAAAAAAAAYDAFlCAgAAAAAAAAAHAABZQQAAAAAAAAAACAQAWUIAAAAAAAAAAAkOAFlBAAAAAAAAAAAKBwBZQQAAAAAAAAAACwQAWUEAAAAAAAAAAAwKAFlBAAAAAAAAAAANCgBZQQAAAAAAAAAADg0AWUEAAAAAAAAAAA8MAFlBAAAAAAAAAAACBQBZQgIAAAAAAAAADwkAWUEAAAAAAAAAAAAAAAA</t>
        </r>
      </text>
    </comment>
    <comment ref="A910" authorId="0" shapeId="0" xr:uid="{D675BA93-CD65-430B-88A8-C27CABA6E273}">
      <text>
        <r>
          <rPr>
            <sz val="9"/>
            <color indexed="81"/>
            <rFont val="MS P ゴシック"/>
            <family val="3"/>
            <charset val="128"/>
          </rPr>
          <t>Insight iXlW00001C0000910R0585476093S00001818P01248LAocjBAQBF1NjaVRlZ2ljLmRhdGEuTW9sZWN1bGUBbwF/ARJTY2lUZWdpYy5Nb2xlY3VsZQAAAQFkAv5qAQAAAAIAAgEQHAAAAPz8APwAAgAAAAAAAPC/AgAAAAAAAPO/AgwkKH6Mubs/AAAAABgAAAD8/AD8AAIAAAAAAADwvwIAAAAAAAD7vwLkFB3J5T/ovwAAAAAYAAAA/PwA/AACAAAAAAAA8L8CAAAAAAAAyL8C+1xtxf6yuz8AAAAAHAAAAPz8APwAAgAAAAAAAPC/AgAAAAAAANQ/AuQUHcnlP+i/AAAAABgAAAD8/AD8AAIAAAAAAADwvwIAAAAAAAD9PwIMJCh+jLm7PwAAAAAYAAAA/PwA/AACAAAAAAAA8L8CAAAAAACABkACDCQofoy5uz8AAAAAHAAAAPz8APwAAgAAAAAAAPC/AgAAAAAAgAXAAuQUHcnlP+i/AAAAABgAAAD8/AD8AAIAAAAAAADwvwIAAAAAAAD1PwLkFB3J5T/ovwAAAAAgAAAA/PwA/AACAAAAAAAA8L8CAAAAAAAA878CtOpztRX7+b8AAAAAGAAAAPz8APwAAgAAAAAAAPC/AgAAAAAAAPU/AgXFjzF3Le8/AAAAABgAAAD8/AD8AAIAAAAAAADwvwIAAAAAAADUPwIFxY8xdy3vPwAAAAAgAAAA/PwA/AACAAAAAAAA8L8CAAAAAACACkACBcWPMXct7z8AAAAAGAAAAPz8APwAAgAAAAAAAPC/AgAAAAAAAPu/AgXFjzF3Le8/AAAAACAAAAD8/AD8AAIAAAAAAADwvwIAAAAAAIAKQALkFB3J5T/ovwAAAAAYAAAA/PwA/AACAAAAAAAA8L8CyCk6kst/BcACBcWPMXct7z8AAAAAGAAAAPz8APwAAgAAAAAAAPC/AsgpOpLLfwnAAvtcbcX+srs/AAAAAAERBAABZQQAAAAAAAAAAAgAAWUEAAAAAAAAAAAMCAFlCAwAAAAAAAAAECQBZQQAAAAAAAAAABQQAWUEAAAAAAAAAAAYBAFlBAAAAAAAAAAAHAwBZQQAAAAAAAAAACAEAWUIAAAAAAAAAAAkKAFlCAgAAAAAAAAAKAgBZQQAAAAAAAAAACwUAWUIAAAAAAAAAAAwAAFlBAAAAAAAAAAANBQBZQQAAAAAAAAAADgwAWUEAAAAAAAAAAA8OAFlBAAAAAAAAAAAGDwBZQQAAAAAAAAAABwQAWUICAAAAAAAAAAAAAAA</t>
        </r>
      </text>
    </comment>
    <comment ref="A911" authorId="0" shapeId="0" xr:uid="{E820E5EF-BCB6-4816-970A-D2A001051FA9}">
      <text>
        <r>
          <rPr>
            <sz val="9"/>
            <color indexed="81"/>
            <rFont val="MS P ゴシック"/>
            <family val="3"/>
            <charset val="128"/>
          </rPr>
          <t>Insight iXlW00001C0000911R0585476093S00001820P01248LAocjBAQBF1NjaVRlZ2ljLmRhdGEuTW9sZWN1bGUBbwF/ARJTY2lUZWdpYy5Nb2xlY3VsZQAAAQFkAv5qAQAAAAIAAgEQHAAAAPz8APwAAgAAAAAAAPC/AmpN845TdPA/AnGsi9toAOe/AAAAABgAAAD8/AD8AAIAAAAAAADwvwL3Bl+YTBUGQAKPU3Qkl//mvwAAAAAYAAAA/PwA/AACAAAAAAAA8L8CRWlv8IXJxD8CxbEubqMBzL8AAAAAGAAAAPz8APwAAgAAAAAAAPC/Aqyt2F92T/4/AjxO0ZFc/su/AAAAABwAAAD8/AD8AAIAAAAAAADwvwIy5q4l5IPmvwJxrIvbaADnvwAAAAAgAAAA/PwA/AACAAAAAAAA8L8CGLfRAN4CDUACPE7RkVz+y78AAAAAIAAAAPz8APwAAgAAAAAAAPC/AiigibDhaQrAAo9TdCSX/+g/AAAAABgAAAD8/AD8AAIAAAAAAADwvwLMf0i/fR35vwLFsS5uowHMvwAAAAAgAAAA/PwA/AACAAAAAAAA8L8C9wZfmEwVBkACyCk6kst/+78AAAAAGAAAAPz8APwAAgAAAAAAAPC/Asx/SL99Hfm/Ao9TdCSX/+g/AAAAABgAAAD8/AD8AAIAAAAAAADwvwIH8BZIUHwDwAKPU3Qkl//mvwAAAAAYAAAA/PwA/AACAAAAAAAA8L8CRWlv8IXJxD8Cj1N0JJf/6D8AAAAAGAAAAPz8APwAAgAAAAAAAPC/Aqyt2F92T/4/AnGsi9toAOk/AAAAABgAAAD8/AD8AAIAAAAAAADwvwIooImw4WkKwAI8TtGRXP7LvwAAAAAYAAAA/PwA/AACAAAAAAAA8L8CB/AWSFB8A8ACyCk6kst/9D8AAAAAGAAAAPz8APwAAgAAAAAAAPC/AmpN845TdPA/AsgpOpLLf/Q/AAAAAAERBAwBZQQAAAAAAAAAAAgAAWUEAAAAAAAAAAAMAAFlCAwAAAAAAAAAEAgBZQQAAAAAAAAAABQEAWUIAAAAAAAAAAAYNAFlBAAAAAAAAAAAHBABZQQAAAAAAAAAACAEAWUEAAAAAAAAAAAkHAFlBAAAAAAAAAAAKBwBZQQAAAAAAAAAACwIAWUICAAAAAAAAAAwDAFlBAAAAAAAAAAANCgBZQQAAAAAAAAAADgkAWUEAAAAAAAAAAA8MAFlCAgAAAAAAAAALDwBZQQAAAAAAAAAADgYAWUEAAAAAAAAAAAAAAAA</t>
        </r>
      </text>
    </comment>
    <comment ref="A912" authorId="0" shapeId="0" xr:uid="{87E788E2-4F9F-4503-B3D9-8509F18E7573}">
      <text>
        <r>
          <rPr>
            <sz val="9"/>
            <color indexed="81"/>
            <rFont val="MS P ゴシック"/>
            <family val="3"/>
            <charset val="128"/>
          </rPr>
          <t>Insight iXlW00001C0000912R0585476093S00001822P01248LAocjBAQBF1NjaVRlZ2ljLmRhdGEuTW9sZWN1bGUBbwF/ARJTY2lUZWdpYy5Nb2xlY3VsZQAAAQFkAv5qAQAAAAIAAgEQHAAAAPz8APwAAgAAAAAAAPC/An6utmJ/2cW/Ap0Rpb3BF9K/AAAAABgAAAD8/AD8AAIAAAAAAADwvwKIhVrTvOP1PwLH3LWEfNDLPwAAAAAcAAAA/PwA/AACAAAAAAAA8L8C5KWbxCCw2j8C87BQa5p38b8AAAAAGAAAAPz8APwAAgAAAAAAAPC/AuSlm8QgsNo/AkhQ/Bhz1+A/AAAAABgAAAD8/AD8AAIAAAAAAADwvwKIhVrTvOP1PwLPiNLe4AvpvwAAAAAYAAAA/PwA/AACAAAAAAAA8L8CCvmgZ7NqAUACpU5AE2HD6T8AAAAAGAAAAPz8APwAAgAAAAAAAPC/AtDVVuwvu/K/Ap0Rpb3BF9K/AAAAACAAAAD8/AD8AAIAAAAAAADwvwIVrkfhepQAQAIJG55eKcv8PwAAAAAgAAAA/PwA/AACAAAAAAAA8L8C6Gor9pddCcACnRGlvcEX0r8AAAAAGAAAAPz8APwAAgAAAAAAAPC/AskHPZtVn7s/AsIXJlMFo/c/AAAAACAAAAD8/AD8AAIAAAAAAADwvwIMJCh+jLkIQAJXfa62Yn/ZPwAAAAAYAAAA/PwA/AACAAAAAAAA8L8CCvmgZ7NqAUACIbByaJHt9b8AAAAAGAAAAPz8APwAAgAAAAAAAPC/AtDVVuwvu/q/ArU3+MJkquI/AAAAABgAAAD8/AD8AAIAAAAAAADwvwLQ1VbsL7v6vwKppE5AE2HyvwAAAAAYAAAA/PwA/AACAAAAAAAA8L8C6Gor9pddBcACqaROQBNh8r8AAAAAGAAAAPz8APwAAgAAAAAAAPC/AuhqK/aXXQXAArU3+MJkquI/AAAAAAERBAwBZQgMAAAAAAAAAAgAAWUEAAAAAAAAAAAMAAFlBAAAAAAAAAAAEAgBZQgMAAAAAAAAABQEAWUEAAAAAAAAAAAYAAFlBAAAAAAAAAAAHBQBZQgAAAAAAAAAACA4AWUEAAAAAAAAAAAkDAFlBAAAAAAAAAAAKBQBZQQAAAAAAAAAACwQAWUEAAAAAAAAAAAwGAFlBAAAAAAAAAAANBgBZQQAAAAAAAAAADg0AWUEAAAAAAAAAAA8MAFlBAAAAAAAAAAAEAQBZQQAAAAAAAAAADwgAWUEAAAAAAAAAAAAAAAA</t>
        </r>
      </text>
    </comment>
    <comment ref="A913" authorId="0" shapeId="0" xr:uid="{D953F0CC-C805-46E2-87F9-E754CAB92DAE}">
      <text>
        <r>
          <rPr>
            <sz val="9"/>
            <color indexed="81"/>
            <rFont val="MS P ゴシック"/>
            <family val="3"/>
            <charset val="128"/>
          </rPr>
          <t>Insight iXlW00001C0000913R0585476093S00001824P00964LAocjBAQBF1NjaVRlZ2ljLmRhdGEuTW9sZWN1bGUBbwF/ARJTY2lUZWdpYy5Nb2xlY3VsZQAAAQFkAv5qAQAAAAIAAjAYAAAA/PwA/AACAAAAAAAA8L8Cg8DKoUW28j8C6dms+lxtxT8AAAAAHAAAAPz8APwAAgAAAAAAAPC/AvCnxks3ies/AqQBvAUSFOm/AAAAABwAAAD8/AD8AAIAAAAAAADwvwJOYhBYObTcvwLp2az6XG3FPwAAAAAYAAAA/PwA/AACAAAAAAAA8L8CG55eKcsQ1z8C7Q2+MJkq6D8AAAAAGAAAAPz8APwAAgAAAAAAAPC/AhFYObTI9gBAAiIf9GxWfd4/AAAAABgAAAD8/AD8AAIAAAAAAADwvwLKw0Ktad7BvwLCqKROQBPpvwAAAAAYAAAA/PwA/AACAAAAAAAA8L8CFR3J5T8kAcACtTf4wmSqyL8AAAAAGAAAAPz8APwAAgAAAAAAAPC/Arraiv1l9wjAAvd14JwRpdm/AAAAABgAAAD8/AD8AAIAAAAAAADwvwJb07zjFJ0DwAIGo5I6AU3yvwAAAAAYAAAA/PwA/AACAAAAAAAA8L8Co7Q3+MJk9r8CIh/0bFZ93j8AAAAAIAAAAPz8APwAAgAAAAAAAPC/AhwN4C2QoAJAAoQvTKYKRvc/AAAAACAAAAD8/AD8AAIAAAAAAADwvwINcayL2+gGQAK1N/jCZKrIvwAAAAA0BAABZQQAAAAAAAAAAAgMAWUEAAAAAAAAAAAMAAFlCAgAAAAAAAAAEAABZQQAAAAAAAAAABQEAWUICAAAAAAAAAAYJAFlBAAAAAAAAAAAHBgBZQQAAAAAAAAAACAYAWUEAAAAAAAAAAAkCAFlBAAAAAAAAAAAKBABZQgAAAAAAAAAACwQAWUEAAAAAAAAAAAIFAFlBAAAAAAAAAAAIBwBZQQAAAAAAAAAAAAAAAA=</t>
        </r>
      </text>
    </comment>
    <comment ref="A914" authorId="0" shapeId="0" xr:uid="{4361D7FB-27AB-4CEE-BAEE-4FE5CABE0A14}">
      <text>
        <r>
          <rPr>
            <sz val="9"/>
            <color indexed="81"/>
            <rFont val="MS P ゴシック"/>
            <family val="3"/>
            <charset val="128"/>
          </rPr>
          <t>Insight iXlW00001C0000914R0585476093S00001826P01104LAocjBAQBF1NjaVRlZ2ljLmRhdGEuTW9sZWN1bGUBbwF/ARJTY2lUZWdpYy5Nb2xlY3VsZQAAAQFkAv5qAQAAAAIAAjgYAAAA/PwA/AACAAAAAAAA8L8COdbFbTSA+D8CRWlv8IXJzD8AAAAAHAAAAPz8APwAAgAAAAAAAPC/AjnWxW00gPg/Aq8l5IOezei/AAAAABwAAAD8/AD8AAIAAAAAAADwvwK5HoXrUbh+vwJeS8gHPZvRvwAAAAAYAAAA/PwA/AACAAAAAAAA8L8CVHQkl/+Q4j8CaLPqc7UV4T8AAAAAGAAAAPz8APwAAgAAAAAAAPC/AlR0JJf/kOI/AmN/2T15WPG/AAAAABgAAAD8/AD8AAIAAAAAAADwvwJiodY077gCQALFsS5uowHqPwAAAAAYAAAA/PwA/AACAAAAAAAA8L8CH4XrUbge8L8CXkvIBz2b0b8AAAAAIAAAAPz8APwAAgAAAAAAAPC/Am1Wfa624gFAAplMFYxK6vw/AAAAACAAAAD8/AD8AAIAAAAAAADwvwKQwvUoXA8IwAJeS8gHPZvRvwAAAAAgAAAA/PwA/AACAAAAAAAA8L8CZMxdS8gHCkAClkOLbOf72T8AAAAAGAAAAPz8APwAAgAAAAAAAPC/Ah+F61G4Hvi/AtSa5h2n6OI/AAAAABgAAAD8/AD8AAIAAAAAAADwvwIfhetRuB74vwIZc9cS8kHyvwAAAAAYAAAA/PwA/AACAAAAAAAA8L8CkML1KFwPBMACGXPXEvJB8r8AAAAAGAAAAPz8APwAAgAAAAAAAPC/ApDC9ShcDwTAAtSa5h2n6OI/AAAAADwEAAFlBAAAAAAAAAAACAwBZQQAAAAAAAAAAAwAAWUICAAAAAAAAAAQBAFlCAgAAAAAAAAAFAABZQQAAAAAAAAAABgIAWUEAAAAAAAAAAAcFAFlCAAAAAAAAAAAIDABZQQAAAAAAAAAACQUAWUEAAAAAAAAAAAoGAFlBAAAAAAAAAAALBgBZQQAAAAAAAAAADAsAWUEAAAAAAAAAAA0KAFlBAAAAAAAAAAACBABZQQAAAAAAAAAADQgAWUEAAAAAAAAAAAAAAAA</t>
        </r>
      </text>
    </comment>
    <comment ref="A915" authorId="0" shapeId="0" xr:uid="{1B1998DB-09B0-444A-B9F1-A8D7461E3A59}">
      <text>
        <r>
          <rPr>
            <sz val="9"/>
            <color indexed="81"/>
            <rFont val="MS P ゴシック"/>
            <family val="3"/>
            <charset val="128"/>
          </rPr>
          <t>Insight iXlW00001C0000915R0585476093S00001828P01252LAocjBAQBF1NjaVRlZ2ljLmRhdGEuTW9sZWN1bGUBbwF/ARJTY2lUZWdpYy5Nb2xlY3VsZQAAAQFkAv5qAQAAAAIAAgEQGAAAAPz8APwAAgAAAAAAAPC/AjLmriXkg/k/AoGVQ4ts59+/AAAAABwAAAD8/AD8AAIAAAAAAADwvwIy5q4l5IP5PwJh5dAi2/n3vwAAAAAcAAAA/PwA/AACAAAAAAAA8L8CWFuxv+yerD8CwcqhRbbz778AAAAAGAAAAPz8APwAAgAAAAAAAPC/AkeU9gZfmOQ/AqjGSzeJQci/AAAAABgAAAD8/AD8AAIAAAAAAADwvwJfKcsQxzoDQAKVZYhjXdy2PwAAAAAYAAAA/PwA/AACAAAAAAAA8L8CR5T2Bl+Y5D8C7FG4HoXr/L8AAAAAGAAAAPz8APwAAgAAAAAAAPC/AiZ1ApoIG/e/Am7F/rJ78sC/AAAAABgAAAD8/AD8AAIAAAAAAADwvwJL6gQ0ETbuvwLByqFFtvPvvwAAAAAYAAAA/PwA/AACAAAAAAAA8L8CS+oENBE27r8CKA8LtaZ55z8AAAAAIAAAAPz8APwAAgAAAAAAAPC/AqK0N/jCZAJAAhB6Nqs+V/E/AAAAACAAAAD8/AD8AAIAAAAAAADwvwKaKhiV1IkKQAKOBvAWSFDUvwAAAAABIwAAAPz8APwAAgAAAAAAAPC/Alhbsb/snqw/AigPC7Wmeec/AAAAABgAAAD8/AD8AAIAAAAAAADwvwKTOgFNhI0DwAJuxf6ye/LAvwAAAAAYAAAA/PwA/AACAAAAAAAA8L8CJnUCmggb978C1udqK/aX+T8AAAAAGAAAAPz8APwAAgAAAAAAAPC/ApM6AU2EjQfAAigPC7Wmeec/AAAAABgAAAD8/AD8AAIAAAAAAADwvwKTOgFNhI0DwALW52or9pf5PwAAAAABEQQAAWUEAAAAAAAAAAAIDAFlBAAAAAAAAAAADAABZQgIAAAAAAAAABAAAWUEAAAAAAAAAAAUBAFlCAgAAAAAAAAAGBwBZQQAAAAAAAAAABwIAWUEAAAAAAAAAAAgGAFlBAAAAAAAAAAAJBABZQgAAAAAAAAAACgQAWUEAAAAAAAAAAAsIAFlBAAAAAAAAAAAMBgBZQgMAAAAAAAAADQgAWUICAAAAAAAAAA4MAFlBAAAAAAAAAAAPDgBZQgIAAAAAAAAAAgUAWUEAAAAAAAAAAA0PAFlBAAAAAAAAAAAAAAAAA==</t>
        </r>
      </text>
    </comment>
    <comment ref="A916" authorId="0" shapeId="0" xr:uid="{234A7936-A5FA-4B14-8873-C2EC05294861}">
      <text>
        <r>
          <rPr>
            <sz val="9"/>
            <color indexed="81"/>
            <rFont val="MS P ゴシック"/>
            <family val="3"/>
            <charset val="128"/>
          </rPr>
          <t>Insight iXlW00001C0000916R0585476093S00001830P01472LAocjBAQBF1NjaVRlZ2ljLmRhdGEuTW9sZWN1bGUBbwF/ARJTY2lUZWdpYy5Nb2xlY3VsZQAAAQFkAv5qAQAAAAIAAgETGAAAAPz8APwAAgAAAAAAAPC/AobJVMGopAPAAvMf0m9fB86/AAAAABwAAAD8/AD8AAIAAAAAAADwvwKGyVTBqKQHwAKHONbFbTTkPwAAAAAcAAAA/PwA/AACAAAAAAAA8L8CSS7/If329b8CnDOitDf47j8AAAAAGAAAAPz8APwAAgAAAAAAAPC/ArivA+eMqAdAAmTMXUvIB+G/AAAAABgAAAD8/AD8AAIAAAAAAADwvwJRa5p3nKL3vwIQejarPlebvwAAAAAYAAAA/PwA/AACAAAAAAAA8L8CveMUHcnlBsACdEaU9gZf8r8AAAAAGAAAAPz8APwAAgAAAAAAAPC/Au7rwDkjSgLAAsuhRbbz/fU/AAAAABgAAAD8/AD8AAIAAAAAAADwvwKX/5B++7oAQAI/xty1hHygvwAAAAAgAAAA/PwA/AACAAAAAAAA8L8C4C2QoPgxAsAC/7J78rBQ/78AAAAAGAAAAPz8APwAAgAAAAAAAPC/Ai1DHOviNuC/As4ZUdobfPc/AAAAACQAAAD8/AD8AAIAAAAAAADwvwK4rwPnjKgLQAI/6Nms+lzVPwAAAAAkAAAA/PwA/AACAAAAAAAA8L8C2V92Tx6WDkACMuauJeSD8L8AAAAAJAAAAPz8APwAAgAAAAAAAPC/ArivA+eMqANAAnRGlPYGX/a/AAAAABgAAAD8/AD8AAIAAAAAAADwvwLtnjws1JrzPwJkzF1LyAfhvwAAAAAYAAAA/PwA/AACAAAAAAAA8L8Cl/+Qfvu6AEACnDOitDf47j8AAAAAIAAAAPz8APwAAgAAAAAAAPC/Apjdk4eF2g7AAu0vuycPC/S/AAAAABgAAAD8/AD8AAIAAAAAAADwvwKt+lxtxf7WPwKcM6K0N/juPwAAAAAYAAAA/PwA/AACAAAAAAAA8L8CrfpcbcX+1j8CP8bctYR8oL8AAAAAGAAAAPz8APwAAgAAAAAAAPC/Au2ePCzUmvM/As4ZUdobfPc/AAAAAAEUBAABZQQAAAAAAAAAAAgQAWUEAAAAAAAAAAAMHAFlBAAAAAAAAAAAEAABZQgIAAAAAAAAABQAAWUEAAAAAAAAAAAYBAFlCAgAAAAAAAAAHDgBZQQAAAAAAAAAACAUAWUIAAAAAAAAAAAkCAFlBAAAAAAAAAAAKAwBZQQAAAAAAAAAACwMAWUEAAAAAAAAAAAwDAFlBAAAAAAAAAAANAERAWUEAAAAAAAAAAA4ARIBZQgIAAAAAAAAADwUAWUEAAAAAAAAAAABECQBZQQAAAAAAAAAAAERARABZQgMAAAAAAAAAAESARABZQQAAAAAAAAAAAgYAWUEAAAAAAAAAAA0HAFlCAwAAAAAAAAAAAAAAA==</t>
        </r>
      </text>
    </comment>
    <comment ref="A917" authorId="0" shapeId="0" xr:uid="{B24B3BB0-9AFC-4D0B-ABB0-8434313935EE}">
      <text>
        <r>
          <rPr>
            <sz val="9"/>
            <color indexed="81"/>
            <rFont val="MS P ゴシック"/>
            <family val="3"/>
            <charset val="128"/>
          </rPr>
          <t>Insight iXlW00001C0000917R0585476093S00001832P01176LAocjBAQBF1NjaVRlZ2ljLmRhdGEuTW9sZWN1bGUBbwF/ARJTY2lUZWdpYy5Nb2xlY3VsZQAAAQFkAv5qAQAAAAIAAjwYAAAA/PwA/AACAAAAAAAA8L8CidLe4AuT+T8CvAUSFD/G3L8AAAAAHAAAAPz8APwAAgAAAAAAAPC/AonS3uALk/k/Am+BBMWPMfe/AAAAABwAAAD8/AD8AAIAAAAAAADwvwIy5q4l5IOuPwLeAgmKH2PuvwAAAAAYAAAA/PwA/AACAAAAAAAA8L8C9GxWfa625D8CHqfoSC7/wb8AAAAAGAAAAPz8APwAAgAAAAAAAPC/AoofY+5aQgNAAlVSJ6CJsME/AAAAABgAAAD8/AD8AAIAAAAAAADwvwL0bFZ9rrbkPwL77evAOSP8vwAAAAAgAAAA/PwA/AACAAAAAAAA8L8CzqrP1VZsAkACcoqO5PIf8j8AAAAAHAAAAPz8APwAAgAAAAAAAPC/AmdEaW/whQPAAsdLN4lBYPo/AAAAABgAAAD8/AD8AAIAAAAAAADwvwKdEaW9wRfuvwLeAgmKH2PuvwAAAAAgAAAA/PwA/AACAAAAAAAA8L8CxSCwcmiRCkACyXa+nxov0b8AAAAAGAAAAPz8APwAAgAAAAAAAPC/As+I0t7gC/e/AsdLN4lBYLW/AAAAABgAAAD8/AD8AAIAAAAAAADwvwIvbqMBvIUHwAIL16NwPQrpPwAAAAAYAAAA/PwA/AACAAAAAAAA8L8Cz4jS3uAL978Cx0s3iUFg+j8AAAAAGAAAAPz8APwAAgAAAAAAAPC/Ai9uowG8hQPAAsdLN4lBYLW/AAAAABgAAAD8/AD8AAIAAAAAAADwvwKdEaW9wRfuvwIL16NwPQrpPwAAAAABEAQAAWUEAAAAAAAAAAAIDAFlBAAAAAAAAAAADAABZQgIAAAAAAAAABAAAWUEAAAAAAAAAAAUBAFlCAgAAAAAAAAAGBABZQgAAAAAAAAAABwwAWUEAAAAAAAAAAAgCAFlBAAAAAAAAAAAJBABZQQAAAAAAAAAACggAWUEAAAAAAAAAAAsNAFlBAAAAAAAAAAAMDgBZQgIAAAAAAAAADQoAWUIDAAAAAAAAAA4KAFlBAAAAAAAAAAACBQBZQQAAAAAAAAAACwcAWUICAAAAAAAAAAAAAAA</t>
        </r>
      </text>
    </comment>
    <comment ref="A918" authorId="0" shapeId="0" xr:uid="{DD110997-D7F1-421F-8700-1FA867F0C07D}">
      <text>
        <r>
          <rPr>
            <sz val="9"/>
            <color indexed="81"/>
            <rFont val="MS P ゴシック"/>
            <family val="3"/>
            <charset val="128"/>
          </rPr>
          <t>Insight iXlW00001C0000918R0585476093S00001834P01176LAocjBAQBF1NjaVRlZ2ljLmRhdGEuTW9sZWN1bGUBbwF/ARJTY2lUZWdpYy5Nb2xlY3VsZQAAAQFkAv5qAQAAAAIAAjwYAAAA/PwA/AACAAAAAAAA8L8C6Gor9pfd+j8Ch6dXyjLE4b8AAAAAHAAAAPz8APwAAgAAAAAAAPC/AuhqK/aX3fI/AgU0ETY8vfa/AAAAABwAAAD8/AD8AAIAAAAAAADwvwJOYhBYObS4PwLFsS5uowHMvwAAAAAYAAAA/PwA/AACAAAAAAAA8L8CuK8D54wo8D8CIo51cRsNyD8AAAAAGAAAAPz8APwAAgAAAAAAAPC/AmYZ4lgXt8k/Au/Jw0KtafO/AAAAABgAAAD8/AD8AAIAAAAAAADwvwJPr5RliGMFQAIrqRPQRNjcvwAAAAAYAAAA/PwA/AACAAAAAAAA8L8CHA3gLZCg6L8CHqfoSC7/0T8AAAAAGAAAAPz8APwAAgAAAAAAAPC/AtBm1edqK/q/AsWxLm6jAcy/AAAAACAAAAD8/AD8AAIAAAAAAADwvwJO845TdKQIQAKrYFRSJ6DdPwAAAAAYAAAA/PwA/AACAAAAAAAA8L8CiWNd3EYDBMACHqfoSC7/0T8AAAAAIAAAAPz8APwAAgAAAAAAAPC/AixlGeJYFwpAAtZW7C+7J/S/AAAAACQAAAD8/AD8AAIAAAAAAADwvwKqE9BE2PAKwALFsS5uowHMvwAAAAAYAAAA/PwA/AACAAAAAAAA8L8CHA3gLZCg6L8CyCk6kst/9D8AAAAAGAAAAPz8APwAAgAAAAAAAPC/AtBm1edqK/q/AsgpOpLLf/w/AAAAABgAAAD8/AD8AAIAAAAAAADwvwKJY13cRgMEwALIKTqSy3/0PwAAAAABEAQAAWUEAAAAAAAAAAAIDAFlBAAAAAAAAAAADAABZQgIAAAAAAAAABAEAWUICAAAAAAAAAAUAAFlBAAAAAAAAAAAGAgBZQQAAAAAAAAAABwYAWUEAAAAAAAAAAAgFAFlCAAAAAAAAAAAJBwBZQgMAAAAAAAAACgUAWUEAAAAAAAAAAAsJAFlBAAAAAAAAAAAMBgBZQgMAAAAAAAAADQwAWUEAAAAAAAAAAA4NAFlCAgAAAAAAAAACBABZQQAAAAAAAAAACQ4AWUEAAAAAAAAAAAAAAAA</t>
        </r>
      </text>
    </comment>
    <comment ref="A919" authorId="0" shapeId="0" xr:uid="{0A273265-0586-4C64-A442-92DFE7BF9592}">
      <text>
        <r>
          <rPr>
            <sz val="9"/>
            <color indexed="81"/>
            <rFont val="MS P ゴシック"/>
            <family val="3"/>
            <charset val="128"/>
          </rPr>
          <t>Insight iXlW00001C0000919R0585476093S00001836P01180LAocjBAQBF1NjaVRlZ2ljLmRhdGEuTW9sZWN1bGUBbwF/ARJTY2lUZWdpYy5Nb2xlY3VsZQAAAQFkAv5qAQAAAAIAAjwYAAAA/PwA/AACAAAAAAAA8L8CidLe4AuT+T8C6+I2GsBbwD8AAAAAHAAAAPz8APwAAgAAAAAAAPC/AjLmriXkg64/AouO5PIf0te/AAAAABwAAAD8/AD8AAIAAAAAAADwvwKJ0t7gC5P5PwJGR3L5D+nrvwAAAAAYAAAA/PwA/AACAAAAAAAA8L8C9GxWfa625D8CoyO5/If02z8AAAAAGAAAAPz8APwAAgAAAAAAAPC/AvRsVn2utuQ/Ai6QoPgx5vK/AAAAABgAAAD8/AD8AAIAAAAAAADwvwKKH2PuWkIDQAIukKD4MebmPwAAAAAYAAAA/PwA/AACAAAAAAAA8L8CnRGlvcEX7r8Ci47k8h/S178AAAAAGAAAAPz8APwAAgAAAAAAAPC/As+I0t7gC/e/AnzysFBrmt8/AAAAACAAAAD8/AD8AAIAAAAAAADwvwLOqs/VVmwCQALOO07RkVz7PwAAAAAgAAAA/PwA/AACAAAAAAAA8L8CxSCwcmiRCkACaQBvgQTF0z8AAAAAAREAAAD8/AD8AAIAAAAAAADwvwKdEaW9wRfuvwLhnBGlvcH1PwAAAAAYAAAA/PwA/AACAAAAAAAA8L8Cz4jS3uAL978C5IOezarP878AAAAAGAAAAPz8APwAAgAAAAAAAPC/AmdEaW/whQPAAnzysFBrmt8/AAAAABgAAAD8/AD8AAIAAAAAAADwvwJnRGlv8IUDwALkg57Nqs/zvwAAAAAYAAAA/PwA/AACAAAAAAAA8L8CaERpb/CFB8ACi47k8h/S178AAAAAARAEDAFlBAAAAAAAAAAACAABZQQAAAAAAAAAAAwAAWUICAAAAAAAAAAQCAFlCAgAAAAAAAAAFAABZQQAAAAAAAAAABgEAWUEAAAAAAAAAAAcGAFlBAAAAAAAAAAAIBQBZQgAAAAAAAAAACQUAWUEAAAAAAAAAAAoHAFlBAAAAAAAAAAALBgBZQgMAAAAAAAAADAcAWUICAAAAAAAAAA0LAFlBAAAAAAAAAAAODQBZQgIAAAAAAAAAAQQAWUEAAAAAAAAAAAwOAFlBAAAAAAAAAAAAAAAAA==</t>
        </r>
      </text>
    </comment>
    <comment ref="A920" authorId="0" shapeId="0" xr:uid="{6490CD88-D18A-45EE-9C85-1F423954090E}">
      <text>
        <r>
          <rPr>
            <sz val="9"/>
            <color indexed="81"/>
            <rFont val="MS P ゴシック"/>
            <family val="3"/>
            <charset val="128"/>
          </rPr>
          <t>Insight iXlW00001C0000920R0585476093S00001838P01180LAocjBAQBF1NjaVRlZ2ljLmRhdGEuTW9sZWN1bGUBbwF/ARJTY2lUZWdpYy5Nb2xlY3VsZQAAAQFkAv5qAQAAAAIAAjwYAAAA/PwA/AACAAAAAAAA8L8C6Gor9pfd+j8Ch6dXyjLE4b8AAAAAHAAAAPz8APwAAgAAAAAAAPC/AuhqK/aX3fI/AgU0ETY8vfa/AAAAABwAAAD8/AD8AAIAAAAAAADwvwJOYhBYObS4PwLFsS5uowHMvwAAAAAYAAAA/PwA/AACAAAAAAAA8L8CuK8D54wo8D8CIo51cRsNyD8AAAAAGAAAAPz8APwAAgAAAAAAAPC/AmYZ4lgXt8k/Au/Jw0KtafO/AAAAABgAAAD8/AD8AAIAAAAAAADwvwJPr5RliGMFQAIrqRPQRNjcvwAAAAAYAAAA/PwA/AACAAAAAAAA8L8CHA3gLZCg6L8CHqfoSC7/0T8AAAAAGAAAAPz8APwAAgAAAAAAAPC/AtBm1edqK/q/AsWxLm6jAcy/AAAAACAAAAD8/AD8AAIAAAAAAADwvwJO845TdKQIQAKrYFRSJ6DdPwAAAAAYAAAA/PwA/AACAAAAAAAA8L8CiWNd3EYDBMACHqfoSC7/0T8AAAAAIAAAAPz8APwAAgAAAAAAAPC/AixlGeJYFwpAAtZW7C+7J/S/AAAAAAERAAAA/PwA/AACAAAAAAAA8L8CqhPQRNjwCsACxbEubqMBzL8AAAAAGAAAAPz8APwAAgAAAAAAAPC/AhwN4C2QoOi/AsgpOpLLf/Q/AAAAABgAAAD8/AD8AAIAAAAAAADwvwLQZtXnaiv6vwLIKTqSy3/8PwAAAAAYAAAA/PwA/AACAAAAAAAA8L8CiWNd3EYDBMACyCk6kst/9D8AAAAAARAEAAFlBAAAAAAAAAAACAwBZQQAAAAAAAAAAAwAAWUICAAAAAAAAAAQBAFlCAgAAAAAAAAAFAABZQQAAAAAAAAAABgIAWUEAAAAAAAAAAAcGAFlBAAAAAAAAAAAIBQBZQgAAAAAAAAAACQcAWUIDAAAAAAAAAAoFAFlBAAAAAAAAAAALCQBZQQAAAAAAAAAADAYAWUIDAAAAAAAAAA0MAFlBAAAAAAAAAAAODQBZQgIAAAAAAAAAAgQAWUEAAAAAAAAAAAkOAFlBAAAAAAAAAAAAAAAAA==</t>
        </r>
      </text>
    </comment>
    <comment ref="A921" authorId="0" shapeId="0" xr:uid="{1782C4F9-0311-49CF-A84A-86EE743CF649}">
      <text>
        <r>
          <rPr>
            <sz val="9"/>
            <color indexed="81"/>
            <rFont val="MS P ゴシック"/>
            <family val="3"/>
            <charset val="128"/>
          </rPr>
          <t>Insight iXlW00001C0000921R0585476093S00001840P01396LAocjBAQBF1NjaVRlZ2ljLmRhdGEuTW9sZWN1bGUBbwF/ARJTY2lUZWdpYy5Nb2xlY3VsZQAAAQFkAv5qAQAAAAIAAgESGAAAAPz8APwAAgAAAAAAAPC/AuSlm8QgsP0/Ag0CK4cW2c6/AAAAABwAAAD8/AD8AAIAAAAAAADwvwK9UpYhjnXRPwKV1AloImy4PwAAAAAcAAAA/PwA/AACAAAAAAAA8L8C5KWbxCCw9T8Cg8DKoUW28b8AAAAAGAAAAPz8APwAAgAAAAAAAPC/AtQrZRniWPe/ApXUCWgibLg/AAAAABgAAAD8/AD8AAIAAAAAAADwvwK06nO1FfvyPwJuowG8BRLgPwAAAAAYAAAA/PwA/AACAAAAAAAA8L8C1CtlGeJY978CbsX+snvy7L8AAAAAGAAAAPz8APwAAgAAAAAAAPC/AqH4MeauJdg/AvhT46WbxOy/AAAAABgAAAD8/AD8AAIAAAAAAADwvwIll/+QfvvivwKTOgFNhA3jPwAAAAAYAAAA/PwA/AACAAAAAAAA8L8CzczMzMzMBkACvVKWIY51wb8AAAAAIAAAAPz8APwAAgAAAAAAAPC/AswQx7q4DQpAAlkXt9EA3ug/AAAAACQAAAD8/AD8AAIAAAAAAADwvwJPr5RliGPdvwJuxf6ye/LsvwAAAAAkAAAA/PwA/AACAAAAAAAA8L8C1CtlGeJY978Ct2J/2T15/r8AAAAAJAAAAPz8APwAAgAAAAAAAPC/AuqVsgxxrAPAAm7F/rJ78uy/AAAAACAAAAD8/AD8AAIAAAAAAADwvwKqglFJnYALQALGbTSAt0DuvwAAAAAYAAAA/PwA/AACAAAAAAAA8L8CC0YldQKaAsACkzoBTYQN4z8AAAAAGAAAAPz8APwAAgAAAAAAAPC/AiWX/5B+++K/AkqdgCbChvk/AAAAABgAAAD8/AD8AAIAAAAAAADwvwILRiV1ApoCwAJKnYAmwob5PwAAAAAYAAAA/PwA/AACAAAAAAAA8L8C1CtlGeJY978CpU5AE2HDAEAAAAAAARMEEAFlBAAAAAAAAAAACAABZQQAAAAAAAAAAAwcAWUEAAAAAAAAAAAQAAFlCAgAAAAAAAAAFAwBZQQAAAAAAAAAABgIAWUICAAAAAAAAAAcBAFlBAAAAAAAAAAAIAABZQQAAAAAAAAAACQgAWUIAAAAAAAAAAAoFAFlBAAAAAAAAAAALBQBZQQAAAAAAAAAADAUAWUEAAAAAAAAAAA0IAFlBAAAAAAAAAAAOAwBZQgIAAAAAAAAADwcAWUICAAAAAAAAAABEAERAWUICAAAAAAAAAABETwBZQQAAAAAAAAAAAQYAWUEAAAAAAAAAAA4ARABZQQAAAAAAAAAAAAAAAA=</t>
        </r>
      </text>
    </comment>
    <comment ref="A922" authorId="0" shapeId="0" xr:uid="{0F7CEF43-C9A2-4400-854D-9077D63C5306}">
      <text>
        <r>
          <rPr>
            <sz val="9"/>
            <color indexed="81"/>
            <rFont val="MS P ゴシック"/>
            <family val="3"/>
            <charset val="128"/>
          </rPr>
          <t>Insight iXlW00001C0000922R0585476093S00001842P01248LAocjBAQBF1NjaVRlZ2ljLmRhdGEuTW9sZWN1bGUBbwF/ARJTY2lUZWdpYy5Nb2xlY3VsZQAAAQFkAv5qAQAAAAIAAgEQGAAAAPz8APwAAgAAAAAAAPC/AnpYqDXNO/4/Ag8tsp3vp96/AAAAABwAAAD8/AD8AAIAAAAAAADwvwJ6WKg1zTv2PwL2l92Th4X1vwAAAAAcAAAA/PwA/AACAAAAAAAA8L8CFR3J5T+k0z8CTtGRXP5Dwr8AAAAAGAAAAPz8APwAAgAAAAAAAPC/AkqdgCbChvM/AhDpt68D59A/AAAAABgAAAD8/AD8AAIAAAAAAADwvwL5wmSqYFTaPwJvgQTFjzHyvwAAAAAYAAAA/PwA/AACAAAAAAAA8L8CGCZTBaMSB0ACK4cW2c73178AAAAAGAAAAPz8APwAAgAAAAAAAPC/Avkx5q4l5OG/AlkXt9EA3tY/AAAAABgAAAD8/AD8AAIAAAAAAADwvwI+eVioNc32vwJO0ZFc/kPCvwAAAAAgAAAA/PwA/AACAAAAAAAA8L8CFmpN845TCkACVcGopE5A4T8AAAAAGAAAAPz8APwAAgAAAAAAAPC/AsDsnjwsVALAAlkXt9EA3tY/AAAAACAAAAD8/AD8AAIAAAAAAADwvwL129eBc8YLQAJWDi2yne/yvwAAAAAgAAAA/PwA/AACAAAAAAAA8L8C4ZwRpb1BCcACTtGRXP5Dwr8AAAAAGAAAAPz8APwAAgAAAAAAAPC/Avkx5q4l5OG/AtfFbTSAt/U/AAAAABgAAAD8/AD8AAIAAAAAAADwvwI+eVioNc32vwLXxW00gLf9PwAAAAAYAAAA/PwA/AACAAAAAAAA8L8CwOyePCxUAsAC18VtNIC39T8AAAAAGAAAAPz8APwAAgAAAAAAAPC/AuGcEaW9QQnAAio6kst/SPK/AAAAAAERBAABZQQAAAAAAAAAAAgMAWUEAAAAAAAAAAAMAAFlCAgAAAAAAAAAEAQBZQgIAAAAAAAAABQAAWUEAAAAAAAAAAAYCAFlBAAAAAAAAAAAHBgBZQQAAAAAAAAAACAUAWUIAAAAAAAAAAAkHAFlCAwAAAAAAAAAKBQBZQQAAAAAAAAAACwkAWUEAAAAAAAAAAAwGAFlCAwAAAAAAAAANDABZQQAAAAAAAAAADg0AWUICAAAAAAAAAA8LAFlBAAAAAAAAAAACBABZQQAAAAAAAAAACQ4AWUEAAAAAAAAAAAAAAAA</t>
        </r>
      </text>
    </comment>
    <comment ref="A923" authorId="0" shapeId="0" xr:uid="{4EB5DE11-1945-43B0-B8FD-779FFA14576D}">
      <text>
        <r>
          <rPr>
            <sz val="9"/>
            <color indexed="81"/>
            <rFont val="MS P ゴシック"/>
            <family val="3"/>
            <charset val="128"/>
          </rPr>
          <t>Insight iXlW00001C0000923R0585476093S00001844P01252LAocjBAQBF1NjaVRlZ2ljLmRhdGEuTW9sZWN1bGUBbwF/ARJTY2lUZWdpYy5Nb2xlY3VsZQAAAQFkAv5qAQAAAAIAAgEQGAAAAPz8APwAAgAAAAAAAPC/AnKKjuTyH/w/Auj7qfHSTd4/AAAAABwAAAD8/AD8AAIAAAAAAADwvwJ4LSEf9GzoPwIEVg4tsp3XPwAAAAAcAAAA/PwA/AACAAAAAAAA8L8CR5T2Bl+Y8T8CtaZ5xyk6/z8AAAAAGAAAAPz8APwAAgAAAAAAAPC/AplMFYxKagNAAvvL7snDQtG/AAAAABgAAAD8/AD8AAIAAAAAAADwvwL8OnDOiNLWPwKF61G4HoX0PwAAAAAYAAAA/PwA/AACAAAAAAAA8L8C+aBns+pz/z8CtaZ5xyk69z8AAAAAGAAAAPz8APwAAgAAAAAAAPC/Au9aQj7o2dA/AgIrhxbZzt+/AAAAACAAAAD8/AD8AAIAAAAAAADwvwJ24JwRpT0LQAIVHcnlP6SvvwAAAAAYAAAA/PwA/AACAAAAAAAA8L8CidLe4AuT578CAiuHFtnO378AAAAAIAAAAPz8APwAAgAAAAAAAPC/AhrAWyBB8QBAAp2iI7n8h/O/AAAAABgAAAD8/AD8AAIAAAAAAADwvwJq3nGKjuQFwAICK4cW2c7fvwAAAAABEQAAAPz8APwAAgAAAAAAAPC/AmrecYqO5A3AAgIrhxbZzt+/AAAAABgAAAD8/AD8AAIAAAAAAADwvwLUvOMUHcnzvwIEVg4tsp3XPwAAAAAYAAAA/PwA/AACAAAAAAAA8L8CRWlv8IXJ878CAiuHFtnO9b8AAAAAGAAAAPz8APwAAgAAAAAAAPC/AmrecYqO5AHAAgIrhxbZzvW/AAAAABgAAAD8/AD8AAIAAAAAAADwvwJq3nGKjuQBwAIEVg4tsp3XPwAAAAABEQQAAWUEAAAAAAAAAAAIFAFlBAAAAAAAAAAADAABZQQAAAAAAAAAABAEAWUEAAAAAAAAAAAUAAFlCAgAAAAAAAAAGAQBZQQAAAAAAAAAABwMAWUIAAAAAAAAAAAgGAFlBAAAAAAAAAAAJAwBZQQAAAAAAAAAACg4AWUIDAAAAAAAAAAsKAFlBAAAAAAAAAAAMCABZQQAAAAAAAAAADQgAWUIDAAAAAAAAAA4NAFlBAAAAAAAAAAAPDABZQgIAAAAAAAAABAIAWUICAAAAAAAAAA8KAFlBAAAAAAAAAAAAAAAAA==</t>
        </r>
      </text>
    </comment>
    <comment ref="A924" authorId="0" shapeId="0" xr:uid="{3A410D83-8EA5-4BBB-9D70-3911597EB99A}">
      <text>
        <r>
          <rPr>
            <sz val="9"/>
            <color indexed="81"/>
            <rFont val="MS P ゴシック"/>
            <family val="3"/>
            <charset val="128"/>
          </rPr>
          <t>Insight iXlW00001C0000924R0585476093S00001846P01232LAocjBAQBF1NjaVRlZ2ljLmRhdGEuTW9sZWN1bGUBbwF/ARJTY2lUZWdpYy5Nb2xlY3VsZQAAAQFkAv5qAQAAAAIAAgEQHAAAAPz8APwAAgAAAAAAAPC/AhHHuriNBglAApLtfD81Xvg/AAAAABgAAAD8/AD8AAIAAAAAAADwvwL99nXgnBEBQAKoV8oyxLH2PwAAAAAYAAAA/PwA/AACAAAAAAAA8L8C/mX35GGh+z8CRwN4CyQo4D8AAAAAGAAAAPz8APwAAgAAAAAAAPC/AoV80LNZ9ec/AnGsi9toANM/AAAAABwAAAD8/AD8AAIAAAAAAADwvwJ1ApoIG57kPwJSuB6F61HmvwAAAAAYAAAA/PwA/AACAAAAAAAA8L8CwFsgQfFjzL8CKVyPwvUo878AAAAAGAAAAPz8APwAAgAAAAAAAPC/ArprCfmgZ/G/AlK4HoXrUea/AAAAABgAAAD8/AD8AAIAAAAAAADwvwL8y+7Jw0L/vwIpXI/C9SjzvwAAAAAYAAAA/PwA/AACAAAAAAAA8L8CHxZqTfOOBsACUrgehetR5r8AAAAAGAAAAPz8APwAAgAAAAAAAPC/Ah8Wak3zjgbAAlyPwvUoXNM/AAAAABgAAAD8/AD8AAIAAAAAAADwvwL8y+7Jw0L/vwLM7snDQq3pPwAAAAAYAAAA/PwA/AACAAAAAAAA8L8CumsJ+aBn8b8CmN2Th4Va0z8AAAAAJAAAAPz8APwAAgAAAAAAAPC/AsBbIEHxY8y/Aq5H4XoUruk/AAAAABgAAAD8/AD8AAIAAAAAAADwvwLOqs/VVuz4PwKXkA96NqvxvwAAAAAcAAAA/PwA/AACAAAAAAAA8L8C/7J78rDQAUACeXqlLEMc178AAAAAAREAAAD8/AD8AAIAAAAAAADwvwJ4LSEf9GwPQALek4eFWtPEPwAAAAABEAAEAWUEAAAAAAAAAAAECAFlBAAAAAAAAAAACAwBZQgMAAAAAAAAAAwQAWUEAAAAAAAAAAAQFAFlBAAAAAAAAAAAFBgBZQQAAAAAAAAAABgcAWUIDAAAAAAAAAAcIAFlBAAAAAAAAAAAICQBZQgIAAAAAAAAACQoAWUEAAAAAAAAAAAoLAFlCAgAAAAAAAAALBgBZQQAAAAAAAAAACwwAWUEAAAAAAAAAAAQNAFlBAAAAAAAAAAANDgBZQgIAAAAAAAAADgIAWUEAAAAAAAAAAAAAAAA</t>
        </r>
      </text>
    </comment>
    <comment ref="A925" authorId="0" shapeId="0" xr:uid="{17461347-59FF-4516-A7D3-E804E481D969}">
      <text>
        <r>
          <rPr>
            <sz val="9"/>
            <color indexed="81"/>
            <rFont val="MS P ゴシック"/>
            <family val="3"/>
            <charset val="128"/>
          </rPr>
          <t>Insight iXlW00001C0000925R0585476093S00001848P01232LAocjBAQBF1NjaVRlZ2ljLmRhdGEuTW9sZWN1bGUBbwF/ARJTY2lUZWdpYy5Nb2xlY3VsZQAAAQFkAv5qAQAAAAIAAgEQHAAAAPz8APwAAgAAAAAAAPC/AuXyH9Jv3wpAAjnWxW00gPo/AAAAABgAAAD8/AD8AAIAAAAAAADwvwLRItv5fuoCQALA7J48LNT4PwAAAAAYAAAA/PwA/AACAAAAAAAA8L8Cpb3BFyZT/z8CldQJaCJs5D8AAAAAGAAAAPz8APwAAgAAAAAAAPC/AraEfNCzWe8/AtIA3gIJits/AAAAABwAAAD8/AD8AAIAAAAAAADwvwLFsS5uowHsPwIE54wo7Q3ivwAAAAAYAAAA/PwA/AACAAAAAAAA8L8CSFD8GHPXgj8CgnNGlPYG8b8AAAAAGAAAAPz8APwAAgAAAAAAAPC/AiQofoy5a+u/AgTnjCjtDeK/AAAAABgAAAD8/AD8AAIAAAAAAADwvwIkKH6MuWvrvwL5MeauJeTbPwAAAAAYAAAA/PwA/AACAAAAAAAA8L8CVHQkl/+Q+78C/Rhz1xLy7T8AAAAAGAAAAPz8APwAAgAAAAAAAPC/AkvqBDQRtgTAAvkx5q4l5Ns/AAAAABgAAAD8/AD8AAIAAAAAAADwvwJL6gQ0EbYEwAIE54wo7Q3ivwAAAAAkAAAA/PwA/AACAAAAAAAA8L8CbJp3nKKjC8ACgnNGlPYG8b8AAAAAGAAAAPz8APwAAgAAAAAAAPC/AlR0JJf/kPu/AoJzRpT2BvG/AAAAABgAAAD8/AD8AAIAAAAAAADwvwLnriXkg578PwLgT42XbhLvvwAAAAAcAAAA/PwA/AACAAAAAAAA8L8C097gC5OpA0ACuK8D54wozb8AAAAAAREAAAD8/AD8AAIAAAAAAADwvwKmLEMc66IQQAJQHhZqTfPSPwAAAAABEAAEAWUEAAAAAAAAAAAECAFlBAAAAAAAAAAACAwBZQgMAAAAAAAAAAwQAWUEAAAAAAAAAAAQFAFlBAAAAAAAAAAAFBgBZQQAAAAAAAAAABgcAWUIDAAAAAAAAAAcIAFlBAAAAAAAAAAAICQBZQgIAAAAAAAAACQoAWUEAAAAAAAAAAAoLAFlBAAAAAAAAAAAKDABZQgIAAAAAAAAADAYAWUEAAAAAAAAAAAQNAFlBAAAAAAAAAAANDgBZQgIAAAAAAAAADgIAWUEAAAAAAAAAAAAAAAA</t>
        </r>
      </text>
    </comment>
    <comment ref="A926" authorId="0" shapeId="0" xr:uid="{AE5B1C35-261D-4077-9097-6F98F3BFF5D5}">
      <text>
        <r>
          <rPr>
            <sz val="9"/>
            <color indexed="81"/>
            <rFont val="MS P ゴシック"/>
            <family val="3"/>
            <charset val="128"/>
          </rPr>
          <t>Insight iXlW00001C0000926R0585476093S00001850P01288LAocjBAQBF1NjaVRlZ2ljLmRhdGEuTW9sZWN1bGUBbwF/ARJTY2lUZWdpYy5Nb2xlY3VsZQAAAQFkAv5qAQAAAAIAAgERHAAAAPz8APwAAgAAAAAAAPC/Ah3r4jYaQAvAAibkg57NqvK/AAAAABgAAAD8/AD8AAIAAAAAAADwvwL8OnDOiFIEwAIm5IOezar6vwAAAAAYAAAA/PwA/AACAAAAAAAA8L8CthX7y+7J+r8CJuSDns2q8r8AAAAAGAAAAPz8APwAAgAAAAAAAPC/AuhqK/aX3em/Aibkg57Nqvq/AAAAABgAAAD8/AD8AAIAAAAAAADwvwK0WfW52oqtPwIm5IOezaryvwAAAAAYAAAA/PwA/AACAAAAAAAA8L8CtFn1udqKrT8CLiEf9GxWxb8AAAAAHAAAAPz8APwAAgAAAAAAAPC/AuhqK/aX3em/Ampv8IXJVNU/AAAAABgAAAD8/AD8AAIAAAAAAADwvwK2FfvL7sn6vwIuIR/0bFbFvwAAAAAcAAAA/PwA/AACAAAAAAAA8L8CAW+BBMWP7T8Cam/whclU1T8AAAAAGAAAAPz8APwAAgAAAAAAAPC/AsIXJlMFo/w/Ai4hH/RsVsW/AAAAABgAAAD8/AD8AAIAAAAAAADwvwICvAUSFD8FQAJqb/CFyVTVPwAAAAAYAAAA/PwA/AACAAAAAAAA8L8CArwFEhQ/BUAC2xt8YTJV9T8AAAAAHAAAAPz8APwAAgAAAAAAAPC/AsIXJlMFo/w/AtsbfGEyVf0/AAAAABgAAAD8/AD8AAIAAAAAAADwvwIBb4EExY/tPwLbG3xhMlX1PwAAAAAgAAAA/PwA/AACAAAAAAAA8L8CtFn1udqKrT8C2xt8YTJV/T8AAAAAAREAAAD8/AD8AAIAAAAAAADwvwJoImx4eqULQAJqb/CFyVSxPwAAAAABEQAAAPz8APwAAgAAAAAAAPC/AsKGp1fK8hFAAuELk6mCUbk/AAAAAAEQAAQBZQQAAAAAAAAAAAQIAWUEAAAAAAAAAAAIDAFlCAwAAAAAAAAADBABZQQAAAAAAAAAABAUAWUICAAAAAAAAAAUGAFlBAAAAAAAAAAAGBwBZQgIAAAAAAAAABwIAWUEAAAAAAAAAAAUIAFlBAAAAAAAAAAAICQBZQQAAAAAAAAAACQoAWUEAAAAAAAAAAAoLAFlBAAAAAAAAAAALDABZQQAAAAAAAAAADA0AWUEAAAAAAAAAAA0IAFlBAAAAAAAAAAANDgBZQgAAAAAAAAAAAAAAAA=</t>
        </r>
      </text>
    </comment>
    <comment ref="A927" authorId="0" shapeId="0" xr:uid="{D50D8E2F-6CEC-44C3-88C5-2471B99F22AC}">
      <text>
        <r>
          <rPr>
            <sz val="9"/>
            <color indexed="81"/>
            <rFont val="MS P ゴシック"/>
            <family val="3"/>
            <charset val="128"/>
          </rPr>
          <t>Insight iXlW00001C0000927R0585476093S00001852P01288LAocjBAQBF1NjaVRlZ2ljLmRhdGEuTW9sZWN1bGUBbwF/ARJTY2lUZWdpYy5Nb2xlY3VsZQAAAQFkAv5qAQAAAAIAAgERHAAAAPz8APwAAgAAAAAAAPC/AlR0JJf/EAnAAkETYcPTK/a/AAAAABgAAAD8/AD8AAIAAAAAAADwvwJUdCSX/xABwAJBE2HD0yv2vwAAAAAYAAAA/PwA/AACAAAAAAAA8L8Cp+hILv8h+r8CHA3gLZCg4L8AAAAAGAAAAPz8APwAAgAAAAAAAPC/AlR0JJf/EAHAAtBm1edqK9Y/AAAAABgAAAD8/AD8AAIAAAAAAADwvwKn6Egu/yH6vwL2udqK/WXzPwAAAAAcAAAA/PwA/AACAAAAAAAA8L8CT9GRXP5D5L8C9rnaiv1l8z8AAAAAGAAAAPz8APwAAgAAAAAAAPC/AjlFR3L5D8G/AtBm1edqK9Y/AAAAABgAAAD8/AD8AAIAAAAAAADwvwJP0ZFc/kPkvwIcDeAtkKDgvwAAAAAcAAAA/PwA/AACAAAAAAAA8L8Csi5uowG86z8C0GbV52or1j8AAAAAGAAAAPz8APwAAgAAAAAAAPC/AlkXt9EA3vU/Ava52or9ZfM/AAAAABgAAAD8/AD8AAIAAAAAAADwvwKti9toAO8CQAL2udqK/WXzPwAAAAAYAAAA/PwA/AACAAAAAAAA8L8CrYvbaADvBkAC0GbV52or1j8AAAAAGAAAAPz8APwAAgAAAAAAAPC/Aq2L22gA7wJAAhwN4C2QoOC/AAAAABgAAAD8/AD8AAIAAAAAAADwvwJZF7fRAN71PwIcDeAtkKDgvwAAAAAgAAAA/PwA/AACAAAAAAAA8L8Csi5uowG86z8C0GbV52or9r8AAAAAAREAAAD8/AD8AAIAAAAAAADwvwIT8kHPZlUNQAILtaZ5xym6vwAAAAABEQAAAPz8APwAAgAAAAAAAPC/AphuEoPAyhJAApQYBFYOLbK/AAAAAAEQAAQBZQQAAAAAAAAAAAQIAWUEAAAAAAAAAAAIDAFlBAAAAAAAAAAADBABZQgIAAAAAAAAABAUAWUEAAAAAAAAAAAUGAFlCAgAAAAAAAAAGBwBZQQAAAAAAAAAABwIAWUIDAAAAAAAAAAYIAFlBAAAAAAAAAAAICQBZQQAAAAAAAAAACQoAWUEAAAAAAAAAAAoLAFlBAAAAAAAAAAALDABZQQAAAAAAAAAADA0AWUEAAAAAAAAAAA0IAFlBAAAAAAAAAAANDgBZQgAAAAAAAAAAAAAAAA=</t>
        </r>
      </text>
    </comment>
    <comment ref="A928" authorId="0" shapeId="0" xr:uid="{AA6B0561-0E3C-4E6D-843F-C2451255B765}">
      <text>
        <r>
          <rPr>
            <sz val="9"/>
            <color indexed="81"/>
            <rFont val="MS P ゴシック"/>
            <family val="3"/>
            <charset val="128"/>
          </rPr>
          <t>Insight iXlW00001C0000928R0585476093S00001854P00948LAocjBAQBF1NjaVRlZ2ljLmRhdGEuTW9sZWN1bGUBbwF/ARJTY2lUZWdpYy5Nb2xlY3VsZQAAAQFkAv5qAQAAAAIAAjAYAAAA/PwA/AACAAAAAAAA8L8C1QloImx4wj8CtTf4wmSq4r8AAAAAGAAAAPz8APwAAgAAAAAAAPC/Au0NvjCZKvA/AtsbfGEyVfG/AAAAABwAAAD8/AD8AAIAAAAAAADwvwLVCWgibHjCPwKXkA96NqvaPwAAAAAYAAAA/PwA/AACAAAAAAAA8L8CfGEyVTAq8D8Cam/whclU7T8AAAAAGAAAAPz8APwAAgAAAAAAAPC/Ai9uowG8Bf4/ArU3+MJkquK/AAAAABgAAAD8/AD8AAIAAAAAAADwvwIvbqMBvAX+PwLT3uALk6naPwAAAAAgAAAA/PwA/AACAAAAAAAA8L8CDr4wmSoY578C2xt8YTJV8b8AAAAAHAAAAPz8APwAAgAAAAAAAPC/AjhnRGlv8AVAAtsbfGEyVfG/AAAAABgAAAD8/AD8AAIAAAAAAADwvwIOvjCZKhjnvwJMyAc9m1XtPwAAAAAgAAAA/PwA/AACAAAAAAAA8L8CxY8xdy2hA8ACTMgHPZtV7T8AAAAAGAAAAPz8APwAAgAAAAAAAPC/Akm/fR04Z/m/ApeQD3o2q9o/AAAAABgAAAD8/AD8AAIAAAAAAADwvwIfFmpN844KwAKXkA96NqvaPwAAAAAwBAABZQQAAAAAAAAAAAgAAWUEAAAAAAAAAAAMCAFlBAAAAAAAAAAAEAQBZQgMAAAAAAAAABQMAWUICAAAAAAAAAAYAAFlCAAAAAAAAAAAHBABZQQAAAAAAAAAACAIAWUEAAAAAAAAAAAkKAFlBAAAAAAAAAAAKCABZQQAAAAAAAAAACwkAWUEAAAAAAAAAAAUEAFlBAAAAAAAAAAAAAAAAA==</t>
        </r>
      </text>
    </comment>
    <comment ref="A929" authorId="0" shapeId="0" xr:uid="{7560E7D6-D842-4740-B623-ACEBC623F2D8}">
      <text>
        <r>
          <rPr>
            <sz val="9"/>
            <color indexed="81"/>
            <rFont val="MS P ゴシック"/>
            <family val="3"/>
            <charset val="128"/>
          </rPr>
          <t>Insight iXlW00001C0000929R0585476093S00001856P01324LAocjBAQBF1NjaVRlZ2ljLmRhdGEuTW9sZWN1bGUBbwF/ARJTY2lUZWdpYy5Nb2xlY3VsZQAAAQFkAv5qAQAAAAIAAgERGAAAAPz8APwAAgAAAAAAAPC/ApJc/kP67fY/AjlFR3L5D9k/AAAAABwAAAD8/AD8AAIAAAAAAADwvwI830+Nl27WPwL9GHPXEvLpvwAAAAAcAAAA/PwA/AACAAAAAAAA8L8CYqHWNO849D8CexSuR+F6878AAAAAGAAAAPz8APwAAgAAAAAAAPC/AlvTvOMUHd0/AsE5I0p7g8c/AAAAABgAAAD8/AD8AAIAAAAAAADwvwKSXP5D+u3+PwLOO07RkVzevwAAAAAYAAAA/PwA/AACAAAAAAAA8L8Cj+TyH9Jv/T8CxNMrZRni9D8AAAAAGAAAAPz8APwAAgAAAAAAAPC/AsgpOpLLf+C/An6MuWsJ+fS/AAAAACAAAAD8/AD8AAIAAAAAAADwvwLVeOkmMQj0PwIooImw4ekAQAAAAAAcAAAA/PwA/AACAAAAAAAA8L8C1ZrmHafoCMACD5wzorQ3yD8AAAAAIAAAAPz8APwAAgAAAAAAAPC/AltCPujZrAZAAj29UpYhjvY/AAAAABgAAAD8/AD8AAIAAAAAAADwvwImdQKaCBv2vwL9GHPXEvLpvwAAAAAYAAAA/PwA/AACAAAAAAAA8L8CxEKtad5x0r8C7uvAOSNK6z8AAAAAGAAAAPz8APwAAgAAAAAAAPC/AiQofoy5awdAAtnw9EpZhuK/AAAAABgAAAD8/AD8AAIAAAAAAADwvwLVmuYdp+gIwAL9GHPXEvLpvwAAAAAYAAAA/PwA/AACAAAAAAAA8L8CtOpztRX7AcACBOeMKO0N5j8AAAAAGAAAAPz8APwAAgAAAAAAAPC/ArTqc7UV+wHAAn6MuWsJ+fS/AAAAABgAAAD8/AD8AAIAAAAAAADwvwImdQKaCBv2vwIPnDOitDfIPwAAAAABEgQMAWUEAAAAAAAAAAAIEAFlCAgAAAAAAAAADAABZQgIAAAAAAAAABAAAWUEAAAAAAAAAAAUAAFlBAAAAAAAAAAAGAQBZQQAAAAAAAAAABwUAWUIAAAAAAAAAAAgOAFlBAAAAAAAAAAAJBQBZQQAAAAAAAAAACgYAWUEAAAAAAAAAAAsDAFlBAAAAAAAAAAAMBABZQQAAAAAAAAAADQ8AWUEAAAAAAAAAAA4ARABZQgIAAAAAAAAADwoAWUIDAAAAAAAAAABECgBZQQAAAAAAAAAAAgEAWUEAAAAAAAAAAAgNAFlCAgAAAAAAAAAAAAAAA==</t>
        </r>
      </text>
    </comment>
    <comment ref="A930" authorId="0" shapeId="0" xr:uid="{49919B42-5730-417E-8CB0-AEC1D6B59213}">
      <text>
        <r>
          <rPr>
            <sz val="9"/>
            <color indexed="81"/>
            <rFont val="MS P ゴシック"/>
            <family val="3"/>
            <charset val="128"/>
          </rPr>
          <t>Insight iXlW00001C0000930R0585476093S00001858P01088LAocjBAQBF1NjaVRlZ2ljLmRhdGEuTW9sZWN1bGUBbwF/ARJTY2lUZWdpYy5Nb2xlY3VsZQAAAQFkAv5qAQAAAAIAAjgcAAAA/PwA/AACAAAAAAAA8L8CdLUV+8vu/T8C/Knx0k1i8T8AAAAAGAAAAPz8APwAAgAAAAAAAPC/AnS1FfvL7vU/AtNNYhBYOcw/AAAAABgAAAD8/AD8AAIAAAAAAADwvwJlqmBUUifgPwJ1kxgEVg7nPwAAAAAYAAAA/PwA/AACAAAAAAAA8L8CPSzUmuYd178C001iEFg5zD8AAAAAGAAAAPz8APwAAgAAAAAAAPC/AgHeAgmKH9e/Aoxs5/up8ei/AAAAABgAAAD8/AD8AAIAAAAAAADwvwLCFyZTBaPzvwJGtvP91Hj0vwAAAAAYAAAA/PwA/AACAAAAAAAA8L8CArwFEhS/AMACjGzn+6nx6L8AAAAAGAAAAPz8APwAAgAAAAAAAPC/AgK8BRIUvwDAAkvqBDQRNsw/AAAAABgAAAD8/AD8AAIAAAAAAADwvwLCFyZTBaPzvwKTOgFNhA3nPwAAAAAkAAAA/PwA/AACAAAAAAAA8L8CwhcmUwWj878CSp2AJsKG+z8AAAAAGAAAAPz8APwAAgAAAAAAAPC/AtuK/WX35AFAAhfZzvdT49G/AAAAABgAAAD8/AD8AAIAAAAAAADwvwK2FfvL7sn7PwL4wmSqYFTyvwAAAAAYAAAA/PwA/AACAAAAAAAA8L8C6Gor9pfd6z8C8YXJVMGo5L8AAAAAAREAAAD8/AD8AAIAAAAAAADwvwJB8WPMXUsIQAJL6gQ0ETbMPwAAAAA4AAQBZQQAAAAAAAAAAAQIAWUEAAAAAAAAAAAIDAFlBAAAAAAAAAAADBABZQgMAAAAAAAAABAUAWUEAAAAAAAAAAAUGAFlCAgAAAAAAAAAGBwBZQQAAAAAAAAAABwgAWUICAAAAAAAAAAgDAFlBAAAAAAAAAAAICQBZQQAAAAAAAAAAAQoAWUEAAAAAAAAAAAoLAFlBAAAAAAAAAAALDABZQQAAAAAAAAAADAEAWUEAAAAAAAAAAAAAAAA</t>
        </r>
      </text>
    </comment>
    <comment ref="A931" authorId="0" shapeId="0" xr:uid="{BC8DB1BC-41B1-46BC-9EED-D3C8B3312CF0}">
      <text>
        <r>
          <rPr>
            <sz val="9"/>
            <color indexed="81"/>
            <rFont val="MS P ゴシック"/>
            <family val="3"/>
            <charset val="128"/>
          </rPr>
          <t>Insight iXlW00001C0000931R0585476093S00001860P00932LAocjBAQBF1NjaVRlZ2ljLmRhdGEuTW9sZWN1bGUBbwF/ARJTY2lUZWdpYy5Nb2xlY3VsZQAAAQFkAv5qAQAAAAIAAjAYAAAA/PwA/AACAAAAAAAA8L8CEce6uI0GBMAC1LzjFB3J3b8AAAAAGAAAAPz8APwAAgAAAAAAAPC/Ailcj8L1KPy/AlH8GHPXEso/AAAAABgAAAD8/AD8AAIAAAAAAADwvwKxcmiR7Xz/vwJFR3L5D+nyPwAAAAAcAAAA/PwA/AACAAAAAAAA8L8CF9nO91Pj6b8CFNBE2PD0ur8AAAAAGAAAAPz8APwAAgAAAAAAAPC/AgAAAAAAAOC/Ap88LNSa5vC/AAAAABwAAAD8/AD8AAIAAAAAAADwvwIAAAAAAADgPwKfPCzUmubwvwAAAAAYAAAA/PwA/AACAAAAAAAA8L8CF9nO91Pj6T8CFNBE2PD0ur8AAAAAGAAAAPz8APwAAgAAAAAAAPC/Ai1DHOviNhq/AuJ6FK5H4d4/AAAAABgAAAD8/AD8AAIAAAAAAADwvwKaCBueXin8PwLZX3ZPHhbKPwAAAAAgAAAA/PwA/AACAAAAAAAA8L8CsXJoke18/z8CRUdy+Q/p8j8AAAAAIAAAAPz8APwAAgAAAAAAAPC/AhHHuriNBgRAAhALtaZ5x92/AAAAAAERAAAA/PwA/AACAAAAAAAA8L8CeC0hH/RsCkACM1UwKqkTsD8AAAAALAAEAWUEAAAAAAAAAAAECAFlBAAAAAAAAAAABAwBZQQAAAAAAAAAAAwQAWUEAAAAAAAAAAAQFAFlCAgAAAAAAAAAFBgBZQQAAAAAAAAAABgcAWUICAAAAAAAAAAcDAFlBAAAAAAAAAAAGCABZQQAAAAAAAAAACAkAWUIAAAAAAAAAAAgKAFlBAAAAAAAAAAAAAAAAA==</t>
        </r>
      </text>
    </comment>
    <comment ref="A932" authorId="0" shapeId="0" xr:uid="{16BA72EB-BADF-4F6C-9037-D20662C3C8E7}">
      <text>
        <r>
          <rPr>
            <sz val="9"/>
            <color indexed="81"/>
            <rFont val="MS P ゴシック"/>
            <family val="3"/>
            <charset val="128"/>
          </rPr>
          <t>Insight iXlW00001C0000932R0585476093S00001862P01180LAocjBAQBF1NjaVRlZ2ljLmRhdGEuTW9sZWN1bGUBbwF/ARJTY2lUZWdpYy5Nb2xlY3VsZQAAAQFkAv5qAQAAAAIAAjwYAAAA/PwA/AACAAAAAAAA8L8CvAUSFD/G/D8CTvOOU3Qkzz8AAAAAHAAAAPz8APwAAgAAAAAAAPC/ArwFEhQ/xvw/Ai1DHOviNui/AAAAABwAAAD8/AD8AAIAAAAAAADwvwKTqYJRSZ3QPwJahjjWxW3QvwAAAAAYAAAA/PwA/AACAAAAAAAA8L8CW9O84xQd6z8C6pWyDHGs4T8AAAAAGAAAAPz8APwAAgAAAAAAAPC/AlvTvOMUHes/AiKOdXEbDfG/AAAAABgAAAD8/AD8AAIAAAAAAADwvwIkufyH9NsEQAJlO99PjZfqPwAAAAAYAAAA/PwA/AACAAAAAAAA8L8CN6s+V1ux578CWoY41sVt0L8AAAAAIAAAAPz8APwAAgAAAAAAAPC/AmdEaW/wBQRAAto9eVioNf0/AAAAABgAAAD8/AD8AAIAAAAAAADwvwKcVZ+rrdjzvwJXfa62Yn/jPwAAAAAYAAAA/PwA/AACAAAAAAAA8L8CnFWfq63Y878CSS7/If328b8AAAAAIAAAAPz8APwAAgAAAAAAAPC/Al+6SQwCKwxAAtZW7C+7J9s/AAAAABgAAAD8/AD8AAIAAAAAAADwvwKV1AloIuwFwAIeOGdEaW/QvwAAAAAYAAAA/PwA/AACAAAAAAAA8L8CzqrP1VbsAcACSS7/If328b8AAAAAGAAAAPz8APwAAgAAAAAAAPC/ApXUCWgi7AHAAld9rrZif+M/AAAAAAERAAAA/PwA/AACAAAAAAAA8L8CldQJaCLsDcACHjhnRGlv0L8AAAAAARAEAAFlBAAAAAAAAAAACAwBZQQAAAAAAAAAAAwAAWUICAAAAAAAAAAQBAFlCAgAAAAAAAAAFAABZQQAAAAAAAAAABgIAWUEAAAAAAAAAAAcFAFlCAAAAAAAAAAAIBgBZQQAAAAAAAAAACQYAWUIDAAAAAAAAAAoFAFlBAAAAAAAAAAALDABZQgMAAAAAAAAADAkAWUEAAAAAAAAAAA0IAFlCAgAAAAAAAAAOCwBZQQAAAAAAAAAABAIAWUEAAAAAAAAAAAsNAFlBAAAAAAAAAAAAAAAAA==</t>
        </r>
      </text>
    </comment>
    <comment ref="A933" authorId="0" shapeId="0" xr:uid="{4EAB55BE-FE69-494A-9F6A-E48125DAE566}">
      <text>
        <r>
          <rPr>
            <sz val="9"/>
            <color indexed="81"/>
            <rFont val="MS P ゴシック"/>
            <family val="3"/>
            <charset val="128"/>
          </rPr>
          <t>Insight iXlW00001C0000933R0585476093S00001864P01176LAocjBAQBF1NjaVRlZ2ljLmRhdGEuTW9sZWN1bGUBbwF/ARJTY2lUZWdpYy5Nb2xlY3VsZQAAAQFkAv5qAQAAAAIAAjwYAAAA/PwA/AACAAAAAAAA8L8CbJp3nKIj+D8CdnEbDeAt3D8AAAAAHAAAAPz8APwAAgAAAAAAAPC/AmpN845TdOA/Ald9rrZif9U/AAAAABwAAAD8/AD8AAIAAAAAAADwvwKASL99HTjrPwIZBFYOLbL+PwAAAAAYAAAA/PwA/AACAAAAAAAA8L8CldQJaCJsAUACqaROQBNh078AAAAAGAAAAPz8APwAAgAAAAAAAPC/AoXrUbgehbs/Alr1udqK/fM/AAAAABgAAAD8/AD8AAIAAAAAAADwvwLzsFBrmnf7PwIZBFYOLbL2PwAAAAAYAAAA/PwA/AACAAAAAAAA8L8ChlrTvOMUjT8C2IFzRpT24L8AAAAAIAAAAPz8APwAAgAAAAAAAPC/AnNoke18PwlAAlK4HoXrUbi/AAAAABwAAAD8/AD8AAIAAAAAAADwvwJtVn2utuIDwAKfzarP1Vb2vwAAAAAYAAAA/PwA/AACAAAAAAAA8L8ClrIMcayL778C2IFzRpT24L8AAAAAIAAAAPz8APwAAgAAAAAAAPC/Ai6QoPgx5v0/AjlFR3L5D/S/AAAAABgAAAD8/AD8AAIAAAAAAADwvwJLWYY41sX3vwKfzarP1Vb2vwAAAAAYAAAA/PwA/AACAAAAAAAA8L8CbVZ9rrbiB8ACutqK/WX34L8AAAAAGAAAAPz8APwAAgAAAAAAAPC/Atqs+lxtxfe/Ald9rrZif9U/AAAAABgAAAD8/AD8AAIAAAAAAADwvwJtVn2utuIDwAJXfa62Yn/VPwAAAAABEAQAAWUEAAAAAAAAAAAIFAFlBAAAAAAAAAAADAABZQQAAAAAAAAAABAEAWUEAAAAAAAAAAAUAAFlCAgAAAAAAAAAGAQBZQQAAAAAAAAAABwMAWUIAAAAAAAAAAAgLAFlCAgAAAAAAAAAJBgBZQQAAAAAAAAAACgMAWUEAAAAAAAAAAAsJAFlBAAAAAAAAAAAMDgBZQgIAAAAAAAAADQkAWUIDAAAAAAAAAA4NAFlBAAAAAAAAAAACBABZQgIAAAAAAAAADAgAWUEAAAAAAAAAAAAAAAA</t>
        </r>
      </text>
    </comment>
    <comment ref="A934" authorId="0" shapeId="0" xr:uid="{3B6FEDAA-8E48-41B7-BFE3-9807343B7A60}">
      <text>
        <r>
          <rPr>
            <sz val="9"/>
            <color indexed="81"/>
            <rFont val="MS P ゴシック"/>
            <family val="3"/>
            <charset val="128"/>
          </rPr>
          <t>Insight iXlW00001C0000934R0585476093S00001866P00876LAocjBAQBF1NjaVRlZ2ljLmRhdGEuTW9sZWN1bGUBbwF/ARJTY2lUZWdpYy5Nb2xlY3VsZQAAAQFkAv5qAQAAAAIAAiwYAAAA/PwA/AACAAAAAAAA8L8CC9ejcD0Kz78CYVRSJ6CJ4L8AAAAAHAAAAPz8APwAAgAAAAAAAPC/AlTjpZvEIOI/AoNRSZ2AJrI/AAAAABwAAAD8/AD8AAIAAAAAAADwvwKgGi/dJAaxPwI/xty1hHz3vwAAAAAYAAAA/PwA/AACAAAAAAAA8L8C8BZIUPwY878CoYmw4emVyr8AAAAAGAAAAPz8APwAAgAAAAAAAPC/Aqrx0k1iEPE/Aj/G3LWEfPe/AAAAABgAAAD8/AD8AAIAAAAAAADwvwI2XrpJDAL2PwJhVFInoIngvwAAAAAgAAAA/PwA/AACAAAAAAAA8L8CeJyiI7n8/r8C5j+k374O7L8AAAAAGAAAAPz8APwAAgAAAAAAAPC/AlTjpZvEIOI/AhiV1AloIvE/AAAAACAAAAD8/AD8AAIAAAAAAADwvwKV1AloImz2vwIt1JrmHafoPwAAAAAYAAAA/PwA/AACAAAAAAAA8L8CI2x4eqUs078CGZXUCWgi+T8AAAAAGAAAAPz8APwAAgAAAAAAAPC/AuxRuB6F6/Y/AhmV1AloIvk/AAAAACwEAAFlBAAAAAAAAAAACAABZQgIAAAAAAAAAAwAAWUEAAAAAAAAAAAQCAFlBAAAAAAAAAAAFAQBZQQAAAAAAAAAABgMAWUIAAAAAAAAAAAcBAFlBAAAAAAAAAAAIAwBZQQAAAAAAAAAACQcAWUEAAAAAAAAAAAoHAFlBAAAAAAAAAAAFBABZQgIAAAAAAAAAAAAAAA=</t>
        </r>
      </text>
    </comment>
    <comment ref="A935" authorId="0" shapeId="0" xr:uid="{7D2BA9E6-AD42-486E-A7A6-9FD453894380}">
      <text>
        <r>
          <rPr>
            <sz val="9"/>
            <color indexed="81"/>
            <rFont val="MS P ゴシック"/>
            <family val="3"/>
            <charset val="128"/>
          </rPr>
          <t>Insight iXlW00001C0000935R0585476093S00001868P01236LAocjBAQBF1NjaVRlZ2ljLmRhdGEuTW9sZWN1bGUBbwF/ARJTY2lUZWdpYy5Nb2xlY3VsZQAAAQFkAv5qAQAAAAIAAgEQHAAAAPz8APwAAgAAAAAAAPC/AuXyH9Jv3wpAAjnWxW00gPo/AAAAABgAAAD8/AD8AAIAAAAAAADwvwLRItv5fuoCQALA7J48LNT4PwAAAAAYAAAA/PwA/AACAAAAAAAA8L8Cpb3BFyZT/z8CldQJaCJs5D8AAAAAGAAAAPz8APwAAgAAAAAAAPC/AraEfNCzWe8/AtIA3gIJits/AAAAABwAAAD8/AD8AAIAAAAAAADwvwLFsS5uowHsPwIE54wo7Q3ivwAAAAAYAAAA/PwA/AACAAAAAAAA8L8CSFD8GHPXgj8CgnNGlPYG8b8AAAAAGAAAAPz8APwAAgAAAAAAAPC/AiQofoy5a+u/AgTnjCjtDeK/AAAAABgAAAD8/AD8AAIAAAAAAADwvwIkKH6MuWvrvwL5MeauJeTbPwAAAAAYAAAA/PwA/AACAAAAAAAA8L8CVHQkl/+Q+78C/Rhz1xLy7T8AAAAAGAAAAPz8APwAAgAAAAAAAPC/AkvqBDQRtgTAAvkx5q4l5Ns/AAAAABgAAAD8/AD8AAIAAAAAAADwvwJL6gQ0EbYEwAIE54wo7Q3ivwAAAAABEQAAAPz8APwAAgAAAAAAAPC/Amyad5yiowvAAoJzRpT2BvG/AAAAABgAAAD8/AD8AAIAAAAAAADwvwJUdCSX/5D7vwKCc0aU9gbxvwAAAAAYAAAA/PwA/AACAAAAAAAA8L8C564l5IOe/D8C4E+Nl24S778AAAAAHAAAAPz8APwAAgAAAAAAAPC/AtPe4AuTqQNAArivA+eMKM2/AAAAAAERAAAA/PwA/AACAAAAAAAA8L8CpixDHOuiEEACUB4Wak3z0j8AAAAAARAABAFlBAAAAAAAAAAABAgBZQQAAAAAAAAAAAgMAWUIDAAAAAAAAAAMEAFlBAAAAAAAAAAAEBQBZQQAAAAAAAAAABQYAWUEAAAAAAAAAAAYHAFlCAwAAAAAAAAAHCABZQQAAAAAAAAAACAkAWUICAAAAAAAAAAkKAFlBAAAAAAAAAAAKCwBZQQAAAAAAAAAACgwAWUICAAAAAAAAAAwGAFlBAAAAAAAAAAAEDQBZQQAAAAAAAAAADQ4AWUICAAAAAAAAAA4CAFlBAAAAAAAAAAAAAAAAA==</t>
        </r>
      </text>
    </comment>
    <comment ref="A936" authorId="0" shapeId="0" xr:uid="{12B59473-4D1E-4C6B-ACD4-5EFBA6BC8D98}">
      <text>
        <r>
          <rPr>
            <sz val="9"/>
            <color indexed="81"/>
            <rFont val="MS P ゴシック"/>
            <family val="3"/>
            <charset val="128"/>
          </rPr>
          <t>Insight iXlW00001C0000936R0585476093S00001870P01452LAocjBAQBF1NjaVRlZ2ljLmRhdGEuTW9sZWN1bGUBbwF/ARJTY2lUZWdpYy5Nb2xlY3VsZQAAAQFkAv5qAQAAAAIAAgETHAAAAPz8APwAAgAAAAAAAPC/AqLWNO84hRDAAlOWIY51cau/AAAAABgAAAD8/AD8AAIAAAAAAADwvwJBguLHmLsJwAK+UpYhjnXdvwAAAAAYAAAA/PwA/AACAAAAAAAA8L8C+8vuycNCA8ACUrgehetRwD8AAAAAGAAAAPz8APwAAgAAAAAAAPC/Auj7qfHSTfe/AgmsHFpkO8e/AAAAABwAAAD8/AD8AAIAAAAAAADwvwI+eVioNc3rvwIVrkfhehTkPwAAAAAYAAAA/PwA/AACAAAAAAAA8L8CCRueXinLwD8CFa5H4XoU5D8AAAAAGAAAAPz8APwAAgAAAAAAAPC/AsKGp1fKMuQ/ArtJDAIrh86/AAAAABgAAAD8/AD8AAIAAAAAAADwvwIJG55eKcvAPwJ56SYxCKzxvwAAAAAYAAAA/PwA/AACAAAAAAAA8L8CwoanV8oy5D8CLPaX3ZOH/78AAAAAGAAAAPz8APwAAgAAAAAAAPC/AmHD0ytlGfo/ArtJDAIrh/+/AAAAABgAAAD8/AD8AAIAAAAAAADwvwKx4emVsgwBQAJ56SYxCKzxvwAAAAAYAAAA/PwA/AACAAAAAAAA8L8CYcPTK2UZ+j8Cu0kMAiuHzr8AAAAAGAAAAPz8APwAAgAAAAAAAPC/ArHh6ZWyDAFAAhWuR+F6FOQ/AAAAACQAAAD8/AD8AAIAAAAAAADwvwIgY+5aQj70PwIK16NwPQryPwAAAAAkAAAA/PwA/AACAAAAAAAA8L8CseHplbIMBUACTDeJQWDl9z8AAAAAJAAAAPz8APwAAgAAAAAAAPC/AtKRXP5D+gdAAlK4HoXrUcA/AAAAABgAAAD8/AD8AAIAAAAAAADwvwLo+6nx0k33vwKWQ4ts5/v2PwAAAAAcAAAA/PwA/AACAAAAAAAA8L8C+8vuycNCA8ACCtejcD0K8j8AAAAAAREAAAD8/AD8AAIAAAAAAADwvwI4+MJkqmAOQAJDrWnecYrOvwAAAAABEwAEAWUEAAAAAAAAAAAECAFlBAAAAAAAAAAACAwBZQgMAAAAAAAAAAwQAWUEAAAAAAAAAAAQFAFlBAAAAAAAAAAAFBgBZQQAAAAAAAAAABgcAWUIDAAAAAAAAAAcIAFlBAAAAAAAAAAAICQBZQgIAAAAAAAAACQoAWUEAAAAAAAAAAAoLAFlCAgAAAAAAAAALBgBZQQAAAAAAAAAACwwAWUEAAAAAAAAAAAwNAFlBAAAAAAAAAAAMDgBZQQAAAAAAAAAADA8AWUEAAAAAAAAAAAQARABZQQAAAAAAAAAAAEQAREBZQgIAAAAAAAAAAERCAFlBAAAAAAAAAAAAAAAAA==</t>
        </r>
      </text>
    </comment>
    <comment ref="A937" authorId="0" shapeId="0" xr:uid="{CB92E07E-215D-4A99-BE7F-9E76C060F366}">
      <text>
        <r>
          <rPr>
            <sz val="9"/>
            <color indexed="81"/>
            <rFont val="MS P ゴシック"/>
            <family val="3"/>
            <charset val="128"/>
          </rPr>
          <t>Insight iXlW00001C0000937R0585476093S00001872P01396LAocjBAQBF1NjaVRlZ2ljLmRhdGEuTW9sZWN1bGUBbwF/ARJTY2lUZWdpYy5Nb2xlY3VsZQAAAQFkAv5qAQAAAAIAAgESHAAAAPz8APwAAgAAAAAAAPC/Ap6AJsKGpwjAAn3Qs1n1ueA/AAAAABgAAAD8/AD8AAIAAAAAAADwvwLZzvdT46UGQAJuNIC3QILkvwAAAAAcAAAA/PwA/AACAAAAAAAA8L8CB/AWSFD8978CsHJoke186z8AAAAAGAAAAPz8APwAAgAAAAAAAPC/Ap6AJsKGpwTAAtKRXP5D+tW/AAAAABgAAAD8/AD8AAIAAAAAAADwvwIGo5I6AU0DwALGbTSAt0D0PwAAAAAYAAAA/PwA/AACAAAAAAAA8L8CgNk9eVio+b8Cam/whclUwb8AAAAAGAAAAPz8APwAAgAAAAAAAPC/AgCRfvs6cP8/ArfRAN4CCcK/AAAAABgAAAD8/AD8AAIAAAAAAADwvwKKH2PuWkLkvwJYObTIdr71PwAAAAAkAAAA/PwA/AACAAAAAAAA8L8C2c73U+OlCkACVjAqqRPQzD8AAAAAJAAAAPz8APwAAgAAAAAAAPC/Avp+arx0kw1AAjcawFsgQfK/AAAAACQAAAD8/AD8AAIAAAAAAADwvwLZzvdT46UCQALqJjEIrBz4vwAAAAAYAAAA/PwA/AACAAAAAAAA8L8CvjCZKhiV8T8CbjSAt0CC5L8AAAAAGAAAAPz8APwAAgAAAAAAAPC/AnE9CtejcP8/ApPLf0i/fes/AAAAABgAAAD8/AD8AAIAAAAAAADwvwLlg57Nqs/NPwKwcmiR7XzrPwAAAAAYAAAA/PwA/AACAAAAAAAA8L8C5YOezarPzT8Ct9EA3gIJwr8AAAAAGAAAAPz8APwAAgAAAAAAAPC/Ar4wmSoYlfE/Alg5tMh2vvU/AAAAABgAAAD8/AD8AAIAAAAAAADwvwKcxCCwcugHwAJ5eqUsQxz0vwAAAAAcAAAA/PwA/AACAAAAAAAA8L8Cd76fGi/dD8ACYxBYObTI9b8AAAAAARMEGAFlBAAAAAAAAAAACBABZQQAAAAAAAAAAAwAAWUEAAAAAAAAAAAQAAFlCAgAAAAAAAAAFAwBZQgIAAAAAAAAABgwAWUEAAAAAAAAAAAcCAFlBAAAAAAAAAAAIAQBZQQAAAAAAAAAACQEAWUEAAAAAAAAAAAoBAFlBAAAAAAAAAAALDgBZQQAAAAAAAAAADA8AWUICAAAAAAAAAA0HAFlBAAAAAAAAAAAODQBZQgMAAAAAAAAADw0AWUEAAAAAAAAAAABEAwBZQQAAAAAAAAAAAERARABZQQAAAAAAAAAAAgUAWUEAAAAAAAAAAAYLAFlCAwAAAAAAAAAAAAAAA==</t>
        </r>
      </text>
    </comment>
    <comment ref="A938" authorId="0" shapeId="0" xr:uid="{C18D3D36-A217-431E-83AD-B52928B3DD8B}">
      <text>
        <r>
          <rPr>
            <sz val="9"/>
            <color indexed="81"/>
            <rFont val="MS P ゴシック"/>
            <family val="3"/>
            <charset val="128"/>
          </rPr>
          <t>Insight iXlW00001C0000938R0585476093S00001874P00948LAocjBAQBF1NjaVRlZ2ljLmRhdGEuTW9sZWN1bGUBbwF/ARJTY2lUZWdpYy5Nb2xlY3VsZQAAAQFkAv5qAQAAAAIAAjAYAAAA/PwA/AACAAAAAAAA8L8CZ0Rpb/CF9D8CRPrt68A5sz8AAAAAHAAAAPz8APwAAgAAAAAAAPC/AtZW7C+7J+8/AtV46SYxCOy/AAAAABgAAAD8/AD8AAIAAAAAAADwvwKsrdhfdk/ePwLaPXlYqDXlPwAAAAAYAAAA/PwA/AACAAAAAAAA8L8CA5oIG57eAUACvjCZKhiV2D8AAAAAHAAAAPz8APwAAgAAAAAAAPC/Ar5SliGOddW/AjMzMzMzM7M/AAAAABgAAAD8/AD8AAIAAAAAAADwvwJGJXUCmgibvwLVeOkmMQjsvwAAAAAgAAAA/PwA/AACAAAAAAAA8L8CDk+vlGWIA0ACescpOpLL9T8AAAAAIAAAAPz8APwAAgAAAAAAAPC/Av+ye/Kw0AdAAj4K16NwPdK/AAAAABgAAAD8/AD8AAIAAAAAAADwvwK+MJkqGJX0vwK+MJkqGJXYPwAAAAAgAAAA/PwA/AACAAAAAAAA8L8CK6kT0ETYB8ACt2J/2T15mD8AAAAAGAAAAPz8APwAAgAAAAAAAPC/AiPb+X5qPADAAgK8BRIUP9K/AAAAABgAAAD8/AD8AAIAAAAAAADwvwLu68A5I8oNwAJoImx4eqXkvwAAAAAwBAABZQQAAAAAAAAAAAgAAWUICAAAAAAAAAAMAAFlBAAAAAAAAAAAEAgBZQQAAAAAAAAAABQEAWUICAAAAAAAAAAYDAFlCAAAAAAAAAAAHAwBZQQAAAAAAAAAACAQAWUEAAAAAAAAAAAkKAFlBAAAAAAAAAAAKCABZQQAAAAAAAAAACwkAWUEAAAAAAAAAAAUEAFlBAAAAAAAAAAAAAAAAA==</t>
        </r>
      </text>
    </comment>
    <comment ref="A939" authorId="0" shapeId="0" xr:uid="{6BAF6CCE-97EB-470B-8018-5EEE69A84C00}">
      <text>
        <r>
          <rPr>
            <sz val="9"/>
            <color indexed="81"/>
            <rFont val="MS P ゴシック"/>
            <family val="3"/>
            <charset val="128"/>
          </rPr>
          <t>Insight iXlW00001C0000939R0585476093S00001876P01360LAocjBAQBF1NjaVRlZ2ljLmRhdGEuTW9sZWN1bGUBbwF/ARJTY2lUZWdpYy5Nb2xlY3VsZQAAAQFkAv5qAQAAAAIAAgESHAAAAPz8APwAAgAAAAAAAPC/Amu8dJMYBAFAAuauJeSDngLAAAAAABgAAAD8/AD8AAIAAAAAAADwvwJrvHSTGAQFQAKL/WX35GH3vwAAAAAYAAAA/PwA/AACAAAAAAAA8L8Ca7x0kxgEAUACkzoBTYQN478AAAAAGAAAAPz8APwAAgAAAAAAAPC/AtV46SYxCPI/ApM6AU2EDeO/AAAAABgAAAD8/AD8AAIAAAAAAADwvwKq8dJNYhDkPwLhC5OpglHRPwAAAAAYAAAA/PwA/AACAAAAAAAA8L8C1XjpJjEI8j8COiNKe4Mv8j8AAAAAGAAAAPz8APwAAgAAAAAAAPC/Amu8dJMYBAFAAjojSnuDL/I/AAAAABwAAAD8/AD8AAIAAAAAAADwvwJrvHSTGAQFQALhC5OpglHRPwAAAAAcAAAA/PwA/AACAAAAAAAA8L8CrBxaZDvf178C4QuTqYJR0T8AAAAAGAAAAPz8APwAAgAAAAAAAPC/AlYOLbKd7+u/AjojSnuDL/I/AAAAABgAAAD8/AD8AAIAAAAAAADwvwIrhxbZzvf9vwI6I0p7gy/yPwAAAAABEAAAAPz8APwAAgAAAAAAAPC/ApZDi2zn+wLAAuELk6mCUdE/AAAAACAAAAD8/AD8AAIAAAAAAADwvwLqJjEIrBwJwAKLjuTyH9LXvwAAAAAgAAAA/PwA/AACAAAAAAAA8L8C6iYxCKwcCcACJlMFo5I67T8AAAAAGAAAAPz8APwAAgAAAAAAAPC/AiuHFtnO9/2/ApM6AU2EDeO/AAAAABgAAAD8/AD8AAIAAAAAAADwvwJWDi2yne/rvwKTOgFNhA3jvwAAAAABEQAAAPz8APwAAgAAAAAAAPC/AtEi2/l+agtAAlpkO99PjeO/AAAAAAERAAAA/PwA/AACAAAAAAAA8L8C9wZfmEzVEUACyxDHuriN4r8AAAAAAREABAFlBAAAAAAAAAAABAgBZQQAAAAAAAAAAAgMAWUEAAAAAAAAAAAMEAFlCAgAAAAAAAAAEBQBZQQAAAAAAAAAABQYAWUICAAAAAAAAAAYHAFlBAAAAAAAAAAAHAgBZQgMAAAAAAAAABAgAWUEAAAAAAAAAAAgJAFlBAAAAAAAAAAAJCgBZQQAAAAAAAAAACgsAWUEAAAAAAAAAAAsMAFlCAAAAAAAAAAALDQBZQgAAAAAAAAAACw4AWUEAAAAAAAAAAA4PAFlBAAAAAAAAAAAPCABZQQAAAAAAAAAAAAAAAA=</t>
        </r>
      </text>
    </comment>
    <comment ref="A940" authorId="0" shapeId="0" xr:uid="{F14C9066-34E0-4E17-8D97-608B937150A0}">
      <text>
        <r>
          <rPr>
            <sz val="9"/>
            <color indexed="81"/>
            <rFont val="MS P ゴシック"/>
            <family val="3"/>
            <charset val="128"/>
          </rPr>
          <t>Insight iXlW00001C0000940R0585476093S00001878P01088LAocjBAQBF1NjaVRlZ2ljLmRhdGEuTW9sZWN1bGUBbwF/ARJTY2lUZWdpYy5Nb2xlY3VsZQAAAQFkAv5qAQAAAAIAAjgYAAAA/PwA/AACAAAAAAAA8L8CAAAAAAAA4D8C4ZwRpb3B178AAAAAGAAAAPz8APwAAgAAAAAAAPC/AgAAAAAAAOC/AuGcEaW9wde/AAAAABgAAAD8/AD8AAIAAAAAAADwvwIAAAAAAAAAQALqlbIMcazfPwAAAAAYAAAA/PwA/AACAAAAAAAA8L8CAAAAAAAA+D8C4ZwRpb3B178AAAAAGAAAAPz8APwAAgAAAAAAAPC/AgAAAAAAAPC/Aibkg57Nqt8/AAAAACAAAAD8/AD8AAIAAAAAAADwvwIAAAAAAAD4PwK8BRIUP8b1PwAAAAAkAAAA/PwA/AACAAAAAAAA8L8CAAAAAAAA4L8CvAUSFD/G9T8AAAAAIAAAAPz8APwAAgAAAAAAAPC/AgAAAAAAAAhAAuqVsgxxrN8/AAAAABgAAAD8/AD8AAIAAAAAAADwvwIAAAAAAADgPwKQMXctIR/kPwAAAAAYAAAA/PwA/AACAAAAAAAA8L8CAAAAAAAA4D8COGdEaW/w9b8AAAAAGAAAAPz8APwAAgAAAAAAAPC/AgAAAAAAAPC/AnrHKTqSy/O/AAAAABgAAAD8/AD8AAIAAAAAAADwvwIAAAAAAAAAwAIm5IOezarfPwAAAAAYAAAA/PwA/AACAAAAAAAA8L8CAAAAAAAAAMACescpOpLL878AAAAAGAAAAPz8APwAAgAAAAAAAPC/AgAAAAAAAATAAuGcEaW9wde/AAAAADgEAAFlBAAAAAAAAAAACAwBZQQAAAAAAAAAAAwAAWUEAAAAAAAAAAAQBAFlBAAAAAAAAAAAFAgBZQgAAAAAAAAAABgQAWUEAAAAAAAAAAAcCAFlBAAAAAAAAAAAIAABZQQAAAAAAAAAACQAAWUEAAAAAAAAAAAoBAFlCAwAAAAAAAAALBABZQgIAAAAAAAAADAoAWUEAAAAAAAAAAA0MAFlCAgAAAAAAAAANCwBZQQAAAAAAAAAAAAAAAA=</t>
        </r>
      </text>
    </comment>
    <comment ref="A941" authorId="0" shapeId="0" xr:uid="{81FBEF58-1455-4205-BE96-4D8AEE0CB2B4}">
      <text>
        <r>
          <rPr>
            <sz val="9"/>
            <color indexed="81"/>
            <rFont val="MS P ゴシック"/>
            <family val="3"/>
            <charset val="128"/>
          </rPr>
          <t>Insight iXlW00001C0000941R0585476093S00001880P01088LAocjBAQBF1NjaVRlZ2ljLmRhdGEuTW9sZWN1bGUBbwF/ARJTY2lUZWdpYy5Nb2xlY3VsZQAAAQFkAv5qAQAAAAIAAjgYAAAA/PwA/AACAAAAAAAA8L8CAAAAAAAA4D8C4ZwRpb3B178AAAAAGAAAAPz8APwAAgAAAAAAAPC/AgAAAAAAAOC/AuGcEaW9wde/AAAAABgAAAD8/AD8AAIAAAAAAADwvwIAAAAAAAAAQALqlbIMcazfPwAAAAAYAAAA/PwA/AACAAAAAAAA8L8CAAAAAAAA+D8C4ZwRpb3B178AAAAAGAAAAPz8APwAAgAAAAAAAPC/AgAAAAAAAPC/Aibkg57Nqt8/AAAAACAAAAD8/AD8AAIAAAAAAADwvwIAAAAAAAD4PwK8BRIUP8b1PwAAAAABEQAAAPz8APwAAgAAAAAAAPC/AgAAAAAAAOC/ArwFEhQ/xvU/AAAAACAAAAD8/AD8AAIAAAAAAADwvwIAAAAAAAAIQALqlbIMcazfPwAAAAAYAAAA/PwA/AACAAAAAAAA8L8CAAAAAAAA4D8CkDF3LSEf5D8AAAAAGAAAAPz8APwAAgAAAAAAAPC/AgAAAAAAAOA/AjhnRGlv8PW/AAAAABgAAAD8/AD8AAIAAAAAAADwvwIAAAAAAADwvwJ6xyk6ksvzvwAAAAAYAAAA/PwA/AACAAAAAAAA8L8CAAAAAAAAAMACJuSDns2q3z8AAAAAGAAAAPz8APwAAgAAAAAAAPC/AgAAAAAAAADAAnrHKTqSy/O/AAAAABgAAAD8/AD8AAIAAAAAAADwvwIAAAAAAAAEwALhnBGlvcHXvwAAAAA4BAABZQQAAAAAAAAAAAgMAWUEAAAAAAAAAAAMAAFlBAAAAAAAAAAAEAQBZQQAAAAAAAAAABQIAWUIAAAAAAAAAAAYEAFlBAAAAAAAAAAAHAgBZQQAAAAAAAAAACAAAWUEAAAAAAAAAAAkAAFlBAAAAAAAAAAAKAQBZQgMAAAAAAAAACwQAWUICAAAAAAAAAAwKAFlBAAAAAAAAAAANDABZQgIAAAAAAAAADQsAWUEAAAAAAAAAAAAAAAA</t>
        </r>
      </text>
    </comment>
    <comment ref="A942" authorId="0" shapeId="0" xr:uid="{86D83D3F-4553-4DA1-B1DC-3A32811C5C9E}">
      <text>
        <r>
          <rPr>
            <sz val="9"/>
            <color indexed="81"/>
            <rFont val="MS P ゴシック"/>
            <family val="3"/>
            <charset val="128"/>
          </rPr>
          <t>Insight iXlW00001C0000942R0585476093S00001882P01088LAocjBAQBF1NjaVRlZ2ljLmRhdGEuTW9sZWN1bGUBbwF/ARJTY2lUZWdpYy5Nb2xlY3VsZQAAAQFkAv5qAQAAAAIAAjgYAAAA/PwA/AACAAAAAAAA8L8C6pWyDHGs3z8CyzLEsS5u278AAAAAGAAAAPz8APwAAgAAAAAAAPC/AuGcEaW9wde/Atc07zhFR7I/AAAAABgAAAD8/AD8AAIAAAAAAADwvwL/snvysNABQALLMsSxLm7bvwAAAAAYAAAA/PwA/AACAAAAAAAA8L8CvAUSFD/G9T8CZhniWBe37b8AAAAAGAAAAPz8APwAAgAAAAAAAPC/AnrHKTqSy/O/AssyxLEubtu/AAAAACAAAAD8/AD8AAIAAAAAAADwvwL/snvysNABQAKb5h2n6EjiPwAAAAAYAAAA/PwA/AACAAAAAAAA8L8C3pOHhVrTAMAC1zTvOEVHsj8AAAAAIAAAAPz8APwAAgAAAAAAAPC/AiBj7lpCvghAAmYZ4lgXt+2/AAAAAAERAAAA/PwA/AACAAAAAAAA8L8C/0P67evAB8ACyzLEsS5u278AAAAAGAAAAPz8APwAAgAAAAAAAPC/AvVKWYY41u8/AgAAAAAAANw/AAAAABgAAAD8/AD8AAIAAAAAAADwvwKIhVrTvON0vwL0bFZ9rrb0vwAAAAAYAAAA/PwA/AACAAAAAAAA8L8C4ZwRpb3B178CTvOOU3Qk8T8AAAAAGAAAAPz8APwAAgAAAAAAAPC/AnrHKTqSy/O/Ak7zjlN0JPk/AAAAABgAAAD8/AD8AAIAAAAAAADwvwLek4eFWtMAwAJO845TdCTxPwAAAAA4BAABZQQAAAAAAAAAAAgMAWUEAAAAAAAAAAAMAAFlBAAAAAAAAAAAEAQBZQQAAAAAAAAAABQIAWUIAAAAAAAAAAAYEAFlCAwAAAAAAAAAHAgBZQQAAAAAAAAAACAYAWUEAAAAAAAAAAAkAAFlBAAAAAAAAAAAKAABZQQAAAAAAAAAACwEAWUIDAAAAAAAAAAwLAFlBAAAAAAAAAAANDABZQgIAAAAAAAAABg0AWUEAAAAAAAAAAAAAAAA</t>
        </r>
      </text>
    </comment>
    <comment ref="A943" authorId="0" shapeId="0" xr:uid="{BD06966B-8D31-47D8-A4BB-9B90B337C043}">
      <text>
        <r>
          <rPr>
            <sz val="9"/>
            <color indexed="81"/>
            <rFont val="MS P ゴシック"/>
            <family val="3"/>
            <charset val="128"/>
          </rPr>
          <t>Insight iXlW00001C0000943R0585476093S00001884P01088LAocjBAQBF1NjaVRlZ2ljLmRhdGEuTW9sZWN1bGUBbwF/ARJTY2lUZWdpYy5Nb2xlY3VsZQAAAQFkAv5qAQAAAAIAAjgYAAAA/PwA/AACAAAAAAAA8L8CswxxrIvb5j8CJuSDns2qz78AAAAAGAAAAPz8APwAAgAAAAAAAPC/Ai1DHOvitgFAAnrHKTqSy+M/AAAAABgAAAD8/AD8AAIAAAAAAADwvwJahjjWxW37PwIm5IOezarPvwAAAAAYAAAA/PwA/AACAAAAAAAA8L8Cm+Ydp+hI0r8CJuSDns2qz78AAAAAIAAAAPz8APwAAgAAAAAAAPC/AlqGONbFbfs/Av9D+u3rwPc/AAAAABgAAAD8/AD8AAIAAAAAAADwvwJO845TdCTpvwJ6xyk6ksvjPwAAAAAYAAAA/PwA/AACAAAAAAAA8L8CTvOOU3Qk6b8Cxty1hHzQ8b8AAAAAGAAAAPz8APwAAgAAAAAAAPC/AtS84xQdSQLAAq9H4XoUrs+/AAAAACAAAAD8/AD8AAIAAAAAAADwvwItQxzr4rYJQAJ6xyk6ksvjPwAAAAAYAAAA/PwA/AACAAAAAAAA8L8Cp3nHKTqS/L8COIlBYOXQ8b8AAAAAGAAAAPz8APwAAgAAAAAAAPC/Aqd5xyk6kvy/AnrHKTqSy+M/AAAAAAERAAAA/PwA/AACAAAAAAAA8L8C1LzjFB1JCsACJuSDns2qz78AAAAAGAAAAPz8APwAAgAAAAAAAPC/ArMMcayL2+Y/AvcGX5hMFeg/AAAAABgAAAD8/AD8AAIAAAAAAADwvwKzDHGsi9vmPwKFfNCzWfXzvwAAAAA4BAgBZQQAAAAAAAAAAAgAAWUEAAAAAAAAAAAMAAFlBAAAAAAAAAAAEAQBZQgAAAAAAAAAABQMAWUIDAAAAAAAAAAYDAFlBAAAAAAAAAAAHCQBZQQAAAAAAAAAACAEAWUEAAAAAAAAAAAkGAFlCAgAAAAAAAAAKBQBZQQAAAAAAAAAACwcAWUEAAAAAAAAAAAwAAFlBAAAAAAAAAAANAABZQQAAAAAAAAAABwoAWUICAAAAAAAAAAAAAAA</t>
        </r>
      </text>
    </comment>
    <comment ref="A944" authorId="0" shapeId="0" xr:uid="{93AAC38E-8055-4673-B50E-20602EB68078}">
      <text>
        <r>
          <rPr>
            <sz val="9"/>
            <color indexed="81"/>
            <rFont val="MS P ゴシック"/>
            <family val="3"/>
            <charset val="128"/>
          </rPr>
          <t>Insight iXlW00001C0000944R0585476093S00001886P01088LAocjBAQBF1NjaVRlZ2ljLmRhdGEuTW9sZWN1bGUBbwF/ARJTY2lUZWdpYy5Nb2xlY3VsZQAAAQFkAv5qAQAAAAIAAjgYAAAA/PwA/AACAAAAAAAA8L8CAAAAAAAA4D8C4ZwRpb3B178AAAAAGAAAAPz8APwAAgAAAAAAAPC/AgAAAAAAAOC/AuGcEaW9wde/AAAAABgAAAD8/AD8AAIAAAAAAADwvwIAAAAAAAAAQALqlbIMcazfPwAAAAAYAAAA/PwA/AACAAAAAAAA8L8CAAAAAAAA+D8C4ZwRpb3B178AAAAAIAAAAPz8APwAAgAAAAAAAPC/AgAAAAAAAPg/ArwFEhQ/xvU/AAAAABgAAAD8/AD8AAIAAAAAAADwvwIAAAAAAADwvwIm5IOezarfPwAAAAAgAAAA/PwA/AACAAAAAAAA8L8CAAAAAAAACEAC6pWyDHGs3z8AAAAAGAAAAPz8APwAAgAAAAAAAPC/AgAAAAAAAOA/ApAxdy0hH+Q/AAAAABgAAAD8/AD8AAIAAAAAAADwvwIAAAAAAADgPwI4Z0Rpb/D1vwAAAAAYAAAA/PwA/AACAAAAAAAA8L8CAAAAAAAA8L8CescpOpLL878AAAAAGAAAAPz8APwAAgAAAAAAAPC/AgAAAAAAAOC/ArwFEhQ/xvU/AAAAABgAAAD8/AD8AAIAAAAAAADwvwIAAAAAAAAAwAIm5IOezarfPwAAAAAYAAAA/PwA/AACAAAAAAAA8L8CAAAAAAAAAMACescpOpLL878AAAAAGAAAAPz8APwAAgAAAAAAAPC/AgAAAAAAAATAAuGcEaW9wde/AAAAADgEAAFlBAAAAAAAAAAACAwBZQQAAAAAAAAAAAwAAWUEAAAAAAAAAAAQCAFlCAAAAAAAAAAAFAQBZQQAAAAAAAAAABgIAWUEAAAAAAAAAAAcAAFlBAAAAAAAAAAAIAABZQQAAAAAAAAAACQEAWUIDAAAAAAAAAAoFAFlBAAAAAAAAAAALBQBZQgIAAAAAAAAADAkAWUEAAAAAAAAAAA0MAFlCAgAAAAAAAAANCwBZQQAAAAAAAAAAAAAAAA=</t>
        </r>
      </text>
    </comment>
    <comment ref="A945" authorId="0" shapeId="0" xr:uid="{86A79EA4-0964-4EFB-9947-1FA907651097}">
      <text>
        <r>
          <rPr>
            <sz val="9"/>
            <color indexed="81"/>
            <rFont val="MS P ゴシック"/>
            <family val="3"/>
            <charset val="128"/>
          </rPr>
          <t>Insight iXlW00001C0000945R0585476093S00001888P01304LAocjBAQBF1NjaVRlZ2ljLmRhdGEuTW9sZWN1bGUBbwF/ARJTY2lUZWdpYy5Nb2xlY3VsZQAAAQFkAv5qAQAAAAIAAgERGAAAAPz8APwAAgAAAAAAAPC/ApQYBFYOLQVAAtlfdk8eFso/AAAAABgAAAD8/AD8AAIAAAAAAADwvwJoImx4eqX1vwLZX3ZPHhbKPwAAAAAYAAAA/PwA/AACAAAAAAAA8L8CJzEIrBxa+j8C2V92Tx4Wyj8AAAAAGAAAAPz8APwAAgAAAAAAAPC/AjQRNjy90gbAAm+BBMWPMeW/AAAAABgAAAD8/AD8AAIAAAAAAADwvwI0ETY8vdICwALZX3ZPHhbKPwAAAAAYAAAA/PwA/AACAAAAAAAA8L8CoImw4emV1r8C2V92Tx4Wyj8AAAAAIAAAAPz8APwAAgAAAAAAAPC/AjQRNjy90gLAAvmgZ7Pqc/i/AAAAABgAAAD8/AD8AAIAAAAAAADwvwKY3ZOHhVryPwI9LNSa5h3xPwAAAAAYAAAA/PwA/AACAAAAAAAA8L8CJzEIrBxa8j8CjSjtDb4w5b8AAAAAGAAAAPz8APwAAgAAAAAAAPC/AsDsnjws1MI/Am+BBMWPMeW/AAAAABgAAAD8/AD8AAIAAAAAAADwvwLA7J48LNTCPwI9LNSa5h3xPwAAAAAkAAAA/PwA/AACAAAAAAAA8L8ClBgEVg4tBUAC+8vuycNC8z8AAAAAJAAAAPz8APwAAgAAAAAAAPC/ApQYBFYOLQ1AAtlfdk8eFso/AAAAACQAAAD8/AD8AAIAAAAAAADwvwKUGARWDi0FQAIKaCJseHrpvwAAAAAgAAAA/PwA/AACAAAAAAAA8L8CNBE2PL3SDsACb4EExY8x5b8AAAAAGAAAAPz8APwAAgAAAAAAAPC/AmgibHh6pfW/AgpoImx4eum/AAAAABgAAAD8/AD8AAIAAAAAAADwvwJoImx4eqX1vwL7y+7Jw0LzPwAAAAABEQQUAWUEAAAAAAAAAAAIAAFlBAAAAAAAAAAADBABZQQAAAAAAAAAABAEAWUEAAAAAAAAAAAUJAFlCAwAAAAAAAAAGAwBZQgAAAAAAAAAABwIAWUEAAAAAAAAAAAgCAFlCAwAAAAAAAAAJCABZQQAAAAAAAAAACgcAWUICAAAAAAAAAAsAAFlBAAAAAAAAAAAMAABZQQAAAAAAAAAADQAAWUEAAAAAAAAAAA4DAFlBAAAAAAAAAAAPAQBZQQAAAAAAAAAAAEQBAFlBAAAAAAAAAAAFCgBZQQAAAAAAAAAAAAAAAA=</t>
        </r>
      </text>
    </comment>
    <comment ref="A946" authorId="0" shapeId="0" xr:uid="{50B78944-9C97-4E32-B47A-2D64A3FF1BB8}">
      <text>
        <r>
          <rPr>
            <sz val="9"/>
            <color indexed="81"/>
            <rFont val="MS P ゴシック"/>
            <family val="3"/>
            <charset val="128"/>
          </rPr>
          <t>Insight iXlW00001C0000946R0585476093S00001890P01160LAocjBAQBF1NjaVRlZ2ljLmRhdGEuTW9sZWN1bGUBbwF/ARJTY2lUZWdpYy5Nb2xlY3VsZQAAAQFkAv5qAQAAAAIAAjwYAAAA/PwA/AACAAAAAAAA8L8CGJXUCWgi4j8CHA3gLZCg4L8AAAAAGAAAAPz8APwAAgAAAAAAAPC/AtDVVuwvu9u/AhwN4C2QoOC/AAAAABgAAAD8/AD8AAIAAAAAAADwvwJGJXUCmogAQALQZtXnaivWPwAAAAAYAAAA/PwA/AACAAAAAAAA8L8CjErqBDQR+T8CHA3gLZCg4L8AAAAAGAAAAPz8APwAAgAAAAAAAPC/AuhqK/aX3e2/AtBm1edqK9Y/AAAAACAAAAD8/AD8AAIAAAAAAADwvwKMSuoENBH5PwL2udqK/WXzPwAAAAAgAAAA/PwA/AACAAAAAAAA8L8CRiV1ApqICEAC0GbV52or1j8AAAAAIAAAAPz8APwAAgAAAAAAAPC/AtDVVuwvu9u/Ava52or9ZfM/AAAAABgAAAD8/AD8AAIAAAAAAADwvwIYldQJaCLiPwLK5T+k377ePwAAAAAYAAAA/PwA/AACAAAAAAAA8L8CGJXUCWgi4j8CjgbwFkhQ+L8AAAAAGAAAAPz8APwAAgAAAAAAAPC/AuhqK/aX3e2/AtBm1edqK/a/AAAAABgAAAD8/AD8AAIAAAAAAADwvwJ0tRX7y+7+vwLQZtXnaivWPwAAAAAYAAAA/PwA/AACAAAAAAAA8L8C6Gor9pfd7b8CHA3gLZCgAEAAAAAAGAAAAPz8APwAAgAAAAAAAPC/AnS1FfvL7v6/AtBm1edqK/a/AAAAABgAAAD8/AD8AAIAAAAAAADwvwK62or9ZXcDwAIcDeAtkKDgvwAAAAA8BAABZQQAAAAAAAAAAAgMAWUEAAAAAAAAAAAMAAFlBAAAAAAAAAAAEAQBZQQAAAAAAAAAABQIAWUIAAAAAAAAAAAYCAFlBAAAAAAAAAAAHBABZQQAAAAAAAAAACAAAWUEAAAAAAAAAAAkAAFlBAAAAAAAAAAAKAQBZQgMAAAAAAAAACwQAWUICAAAAAAAAAAwHAFlBAAAAAAAAAAANCgBZQQAAAAAAAAAADg0AWUICAAAAAAAAAA4LAFlBAAAAAAAAAAAAAAAAA==</t>
        </r>
      </text>
    </comment>
    <comment ref="A947" authorId="0" shapeId="0" xr:uid="{F8B34463-7EA0-4AF9-A550-7E0F1B45A3A5}">
      <text>
        <r>
          <rPr>
            <sz val="9"/>
            <color indexed="81"/>
            <rFont val="MS P ゴシック"/>
            <family val="3"/>
            <charset val="128"/>
          </rPr>
          <t>Insight iXlW00001C0000947R0585476093S00001892P01248LAocjBAQBF1NjaVRlZ2ljLmRhdGEuTW9sZWN1bGUBbwF/ARJTY2lUZWdpYy5Nb2xlY3VsZQAAAQFkAv5qAQAAAAIAAgEQGAAAAPz8APwAAgAAAAAAAPC/AlXBqKROQLM/AgK8BRIUP9Y/AAAAABgAAAD8/AD8AAIAAAAAAADwvwKRD3o2qz77PwJMyAc9m1XPvwAAAAAYAAAA/PwA/AACAAAAAAAA8L8CYeXQItv55j8Cnl4pyxDH2r8AAAAAGAAAAPz8APwAAgAAAAAAAPC/Agu1pnnHKeK/Ap5eKcsQx9q/AAAAACAAAAD8/AD8AAIAAAAAAADwvwLr4jYawFsAQAJcsb/snjzmPwAAAAAgAAAA/PwA/AACAAAAAAAA8L8CVcGopE5Asz8CgLdAguLHAkAAAAAAIAAAAPz8APwAAgAAAAAAAPC/Ahb7y+7JwwJAArK/7J48LPC/AAAAABgAAAD8/AD8AAIAAAAAAADwvwKu2F92Tx7uPwIB3gIJih/rPwAAAAAYAAAA/PwA/AACAAAAAAAA8L8CWag1zTtO6b8CAd4CCYof6z8AAAAAGAAAAPz8APwAAgAAAAAAAPC/AlmoNc07Tum/AgFvgQTFj/0/AAAAABgAAAD8/AD8AAIAAAAAAADwvwKu2F92Tx7uPwIBb4EExY/9PwAAAAAYAAAA/PwA/AACAAAAAAAA8L8CACL99nXgzL8CXynLEMe69b8AAAAAGAAAAPz8APwAAgAAAAAAAPC/Amb35GGh1vi/AkzIBz2bVc+/AAAAABgAAAD8/AD8AAIAAAAAAADwvwK2FfvL7snrvwIEeAskKP4AwAAAAAAYAAAA/PwA/AACAAAAAAAA8L8CAW+BBMWPAcACsr/snjws8L8AAAAAGAAAAPz8APwAAgAAAAAAAPC/ArwnDwu1pv2/AmmR7Xw/Nf+/AAAAAAERBAgBZQQAAAAAAAAAAAgAAWUEAAAAAAAAAAAMAAFlBAAAAAAAAAAAEAQBZQgAAAAAAAAAABQkAWUEAAAAAAAAAAAYBAFlBAAAAAAAAAAAHAABZQQAAAAAAAAAACAAAWUEAAAAAAAAAAAkIAFlBAAAAAAAAAAAKBwBZQQAAAAAAAAAACwMAWUEAAAAAAAAAAAwDAFlCAwAAAAAAAAANCwBZQgIAAAAAAAAADgwAWUEAAAAAAAAAAA8OAFlCAgAAAAAAAAAFCgBZQQAAAAAAAAAADQ8AWUEAAAAAAAAAAAAAAAA</t>
        </r>
      </text>
    </comment>
    <comment ref="A948" authorId="0" shapeId="0" xr:uid="{1AF47683-7284-45C5-BA63-74AFC2576B49}">
      <text>
        <r>
          <rPr>
            <sz val="9"/>
            <color indexed="81"/>
            <rFont val="MS P ゴシック"/>
            <family val="3"/>
            <charset val="128"/>
          </rPr>
          <t>Insight iXlW00001C0000948R0585476093S00001894P01324LAocjBAQBF1NjaVRlZ2ljLmRhdGEuTW9sZWN1bGUBbwF/ARJTY2lUZWdpYy5Nb2xlY3VsZQAAAQFkAv5qAQAAAAIAAgERGAAAAPz8APwAAgAAAAAAAPC/AjWAt0CC4sc/AlFrmnecotM/AAAAABgAAAD8/AD8AAIAAAAAAADwvwJR2ht8YTLdvwIUYcPTK2XdvwAAAAAYAAAA/PwA/AACAAAAAAAA8L8CQ61p3nGK6j8CFGHD0ytl3b8AAAAAGAAAAPz8APwAAgAAAAAAAPC/AoJzRpT2Bv0/Atc07zhFR9K/AAAAABgAAAD8/AD8AAIAAAAAAADwvwIE54wo7Q33vwKb5h2n6EjSvwAAAAAgAAAA/PwA/AACAAAAAAAA8L8C5BQdyeU/AUACAwmKH2Pu5D8AAAAAIAAAAPz8APwAAgAAAAAAAPC/AjWAt0CC4sc/AmpN845TdAJAAAAAAAERAAAA/PwA/AACAAAAAAAA8L8Cu0kMAiuH/L8CIbByaJHt5D8AAAAAIAAAAPz8APwAAgAAAAAAAPC/Ag8tsp3vpwNAAk9AE2HD0/C/AAAAABgAAAD8/AD8AAIAAAAAAADwvwJ24JwRpb3lvwKpNc07TtHpPwAAAAAYAAAA/PwA/AACAAAAAAAA8L8CSFD8GHPX8D8CqTXNO07R6T8AAAAAGAAAAPz8APwAAgAAAAAAAPC/AusENBE2PL2/Avyp8dJNYva/AAAAABgAAAD8/AD8AAIAAAAAAADwvwJ24JwRpb3lvwLVmuYdp+j8PwAAAAAYAAAA/PwA/AACAAAAAAAA8L8CSFD8GHPX8D8C1ZrmHafo/D8AAAAAGAAAAPz8APwAAgAAAAAAAPC/As9m1edqqwDAAk9AE2HD0/C/AAAAABgAAAD8/AD8AAIAAAAAAADwvwLTTWIQWDnovwJSuB6F61EBwAAAAAAYAAAA/PwA/AACAAAAAAAA8L8CWRe30QDe+78CBhIUP8bc/78AAAAAARIEAAFlBAAAAAAAAAAACAABZQQAAAAAAAAAAAwIAWUEAAAAAAAAAAAQBAFlBAAAAAAAAAAAFAwBZQgAAAAAAAAAABg0AWUEAAAAAAAAAAAcEAFlBAAAAAAAAAAAIAwBZQQAAAAAAAAAACQAAWUEAAAAAAAAAAAoAAFlBAAAAAAAAAAALAQBZQgMAAAAAAAAADAkAWUEAAAAAAAAAAA0KAFlBAAAAAAAAAAAOBABZQgIAAAAAAAAADwsAWUEAAAAAAAAAAABEDwBZQgIAAAAAAAAABgwAWUEAAAAAAAAAAABEDgBZQQAAAAAAAAAAAAAAAA=</t>
        </r>
      </text>
    </comment>
    <comment ref="A949" authorId="0" shapeId="0" xr:uid="{35E6C923-BD54-45EA-8CA8-42B3F5CC7A60}">
      <text>
        <r>
          <rPr>
            <sz val="9"/>
            <color indexed="81"/>
            <rFont val="MS P ゴシック"/>
            <family val="3"/>
            <charset val="128"/>
          </rPr>
          <t>Insight iXlW00001C0000949R0585476093S00001896P01324LAocjBAQBF1NjaVRlZ2ljLmRhdGEuTW9sZWN1bGUBbwF/ARJTY2lUZWdpYy5Nb2xlY3VsZQAAAQFkAv5qAQAAAAIAAgERGAAAAPz8APwAAgAAAAAAAPC/AqvP1VbsL7s/AoiFWtO84+A/AAAAABgAAAD8/AD8AAIAAAAAAADwvwJBE2HD0yvhvwIiH/RsVn3OvwAAAAAYAAAA/PwA/AACAAAAAAAA8L8CduCcEaW9+z8CUI2XbhKDsL8AAAAAGAAAAPz8APwAAgAAAAAAAPC/Akku/yH99uc/AiIf9GxWfc6/AAAAABgAAAD8/AD8AAIAAAAAAADwvwLVmuYdp+jIvwKbVZ+rrdjyvwAAAAAgAAAA/PwA/AACAAAAAAAA8L8CXkvIBz2bAEAC4lgXt9EA7D8AAAAAIAAAAPz8APwAAgAAAAAAAPC/AqvP1VbsL7s/AmKh1jTvOARAAAAAABgAAAD8/AD8AAIAAAAAAADwvwLrc7UV+8vqvwJEHOviNhr/vwAAAAAgAAAA/PwA/AACAAAAAAAA8L8CUI2XbhIDA0AC3NeBc0aU6r8AAAAAAREAAAD8/AD8AAIAAAAAAADwvwK/DpwzorTfvwL99nXgnBEHwAAAAAAYAAAA/PwA/AACAAAAAAAA8L8CeXqlLEMc7z8CxEKtad5x8D8AAAAAGAAAAPz8APwAAgAAAAAAAPC/Ao4G8BZIUOi/AsRCrWnecfA/AAAAABgAAAD8/AD8AAIAAAAAAADwvwKBJsKGp1f4vwJQjZduEoOwvwAAAAAYAAAA/PwA/AACAAAAAAAA8L8CjgbwFkhQAcAC3NeBc0aU6r8AAAAAGAAAAPz8APwAAgAAAAAAAPC/Ao4G8BZIUOi/AmKh1jTvOABAAAAAABgAAAD8/AD8AAIAAAAAAADwvwJ5eqUsQxzvPwJiodY07zgAQAAAAAAYAAAA/PwA/AACAAAAAAAA8L8C1lbsL7sn/b8CNBE2PL1S/L8AAAAAARIEAAFlBAAAAAAAAAAACAwBZQQAAAAAAAAAAAwAAWUEAAAAAAAAAAAQBAFlBAAAAAAAAAAAFAgBZQgAAAAAAAAAABg4AWUEAAAAAAAAAAAcEAFlCAwAAAAAAAAAIAgBZQQAAAAAAAAAACQcAWUEAAAAAAAAAAAoAAFlBAAAAAAAAAAALAABZQQAAAAAAAAAADAEAWUIDAAAAAAAAAA0MAFlBAAAAAAAAAAAOCwBZQQAAAAAAAAAADwoAWUEAAAAAAAAAAABEDQBZQgIAAAAAAAAABg8AWUEAAAAAAAAAAAcARABZQQAAAAAAAAAAAAAAAA=</t>
        </r>
      </text>
    </comment>
    <comment ref="A950" authorId="0" shapeId="0" xr:uid="{70079186-A017-4263-82FA-9FD723B2FD36}">
      <text>
        <r>
          <rPr>
            <sz val="9"/>
            <color indexed="81"/>
            <rFont val="MS P ゴシック"/>
            <family val="3"/>
            <charset val="128"/>
          </rPr>
          <t>Insight iXlW00001C0000950R0585476093S00001898P01324LAocjBAQBF1NjaVRlZ2ljLmRhdGEuTW9sZWN1bGUBbwF/ARJTY2lUZWdpYy5Nb2xlY3VsZQAAAQFkAv5qAQAAAAIAAgERGAAAAPz8APwAAgAAAAAAAPC/AqvP1VbsL7s/AoiFWtO84+A/AAAAABgAAAD8/AD8AAIAAAAAAADwvwJBE2HD0yvhvwIiH/RsVn3OvwAAAAAYAAAA/PwA/AACAAAAAAAA8L8CduCcEaW9+z8CUI2XbhKDsL8AAAAAGAAAAPz8APwAAgAAAAAAAPC/Akku/yH99uc/AiIf9GxWfc6/AAAAABgAAAD8/AD8AAIAAAAAAADwvwLVmuYdp+jIvwKbVZ+rrdjyvwAAAAAgAAAA/PwA/AACAAAAAAAA8L8CXkvIBz2bAEAC4lgXt9EA7D8AAAAAIAAAAPz8APwAAgAAAAAAAPC/AqvP1VbsL7s/AmKh1jTvOARAAAAAABgAAAD8/AD8AAIAAAAAAADwvwLrc7UV+8vqvwJEHOviNhr/vwAAAAAgAAAA/PwA/AACAAAAAAAA8L8CUI2XbhIDA0AC3NeBc0aU6r8AAAAAASMAAAD8/AD8AAIAAAAAAADwvwK/DpwzorTfvwL99nXgnBEHwAAAAAAYAAAA/PwA/AACAAAAAAAA8L8CeXqlLEMc7z8CxEKtad5x8D8AAAAAGAAAAPz8APwAAgAAAAAAAPC/Ao4G8BZIUOi/AsRCrWnecfA/AAAAABgAAAD8/AD8AAIAAAAAAADwvwKBJsKGp1f4vwJQjZduEoOwvwAAAAAYAAAA/PwA/AACAAAAAAAA8L8CjgbwFkhQAcAC3NeBc0aU6r8AAAAAGAAAAPz8APwAAgAAAAAAAPC/Ao4G8BZIUOi/AmKh1jTvOABAAAAAABgAAAD8/AD8AAIAAAAAAADwvwJ5eqUsQxzvPwJiodY07zgAQAAAAAAYAAAA/PwA/AACAAAAAAAA8L8C1lbsL7sn/b8CNBE2PL1S/L8AAAAAARIEAAFlBAAAAAAAAAAACAwBZQQAAAAAAAAAAAwAAWUEAAAAAAAAAAAQBAFlBAAAAAAAAAAAFAgBZQgAAAAAAAAAABg4AWUEAAAAAAAAAAAcEAFlCAwAAAAAAAAAIAgBZQQAAAAAAAAAACQcAWUEAAAAAAAAAAAoAAFlBAAAAAAAAAAALAABZQQAAAAAAAAAADAEAWUIDAAAAAAAAAA0MAFlBAAAAAAAAAAAOCwBZQQAAAAAAAAAADwoAWUEAAAAAAAAAAABEDQBZQgIAAAAAAAAABg8AWUEAAAAAAAAAAAcARABZQQAAAAAAAAAAAAAAAA=</t>
        </r>
      </text>
    </comment>
    <comment ref="A951" authorId="0" shapeId="0" xr:uid="{76556C7C-2E4C-4F17-AD95-1495F650233B}">
      <text>
        <r>
          <rPr>
            <sz val="9"/>
            <color indexed="81"/>
            <rFont val="MS P ゴシック"/>
            <family val="3"/>
            <charset val="128"/>
          </rPr>
          <t>Insight iXlW00001C0000951R0585476093S00001900P01544LAocjBAQBF1NjaVRlZ2ljLmRhdGEuTW9sZWN1bGUBbwF/ARJTY2lUZWdpYy5Nb2xlY3VsZQAAAQFkAv5qAQAAAAIAAgEUGAAAAPz8APwAAgAAAAAAAPC/ArsnDwu1JgZAAtDVVuwvu+s/AAAAABgAAAD8/AD8AAIAAAAAAADwvwLM7snDQq3vvwJANV66SQzgvwAAAAAYAAAA/PwA/AACAAAAAAAA8L8CwH0dOGdE/T8CRWlv8IXJ4D8AAAAAGAAAAPz8APwAAgAAAAAAAPC/At6Th4Va0wDAAg1xrIvbaOo/AAAAABgAAAD8/AD8AAIAAAAAAADwvwIEVg4tsp3yvwIDCYofY+7ePwAAAAAYAAAA/PwA/AACAAAAAAAA8L8C3bWEfNCzqb8C0SLb+X5qxL8AAAAAIAAAAPz8APwAAgAAAAAAAPC/AmpN845T9AbAAlyPwvUoXMc/AAAAABgAAAD8/AD8AAIAAAAAAADwvwKnCkYldQLxPwI9m1Wfq63yPwAAAAAYAAAA/PwA/AACAAAAAAAA8L8CsHJoke18+j8C+aBns+pz3b8AAAAAGAAAAPz8APwAAgAAAAAAAPC/AvJBz2bV5+Y/AuqVsgxxrOm/AAAAABgAAAD8/AD8AAIAAAAAAADwvwIFVg4tsp2/PwINcayL22jqPwAAAAAkAAAA/PwA/AACAAAAAAAA8L8CYHZPHhZqA0ACnzws1Jrm/D8AAAAAJAAAAPz8APwAAgAAAAAAAPC/Al+6SQwCqw1AAi4hH/RsVvM/AAAAACQAAAD8/AD8AAIAAAAAAADwvwLeAgmKH+MIQAL0bFZ9rrayvwAAAAAgAAAA/PwA/AACAAAAAAAA8L8CZvfkYaHW/78Cku18PzXeAcAAAAAAIAAAAPz8APwAAgAAAAAAAPC/AmUZ4lgXNwLAAmfV52or9vw/AAAAABgAAAD8/AD8AAIAAAAAAADwvwL1SlmGONb/vwJANV66SQzgvwAAAAAYAAAA/PwA/AACAAAAAAAA8L8CmN2Th4Va378C4noUrkfh9b8AAAAAGAAAAPz8APwAAgAAAAAAAPC/AszuycNCre+/ApLtfD813gHAAAAAABgAAAD8/AD8AAIAAAAAAADwvwJ7pSxDHOsDwALiehSuR+H1vwAAAAABFQQUAWUEAAAAAAAAAAAIAAFlBAAAAAAAAAAADBABZQQAAAAAAAAAABAEAWUEAAAAAAAAAAAUJAFlCAwAAAAAAAAAGAwBZQgAAAAAAAAAABwIAWUEAAAAAAAAAAAgCAFlCAwAAAAAAAAAJCABZQQAAAAAAAAAACgcAWUICAAAAAAAAAAsAAFlBAAAAAAAAAAAMAABZQQAAAAAAAAAADQAAWUEAAAAAAAAAAA4ARIBZQQAAAAAAAAAADwMAWUEAAAAAAAAAAABEAQBZQQAAAAAAAAAAAERBAFlBAAAAAAAAAAAARIBEQFlBAAAAAAAAAAAARMBEAFlBAAAAAAAAAAAFCgBZQQAAAAAAAAAADgBEwFlBAAAAAAAAAAAAAAAAA==</t>
        </r>
      </text>
    </comment>
    <comment ref="A952" authorId="0" shapeId="0" xr:uid="{B2E11E82-0B88-4CFA-812D-9B3154563E55}">
      <text>
        <r>
          <rPr>
            <sz val="9"/>
            <color indexed="81"/>
            <rFont val="MS P ゴシック"/>
            <family val="3"/>
            <charset val="128"/>
          </rPr>
          <t>Insight iXlW00001C0000952R0585476093S00001902P01396LAocjBAQBF1NjaVRlZ2ljLmRhdGEuTW9sZWN1bGUBbwF/ARJTY2lUZWdpYy5Nb2xlY3VsZQAAAQFkAv5qAQAAAAIAAgESGAAAAPz8APwAAgAAAAAAAPC/AsiYu5aQD9o/Ardif9k9eeQ/AAAAABgAAAD8/AD8AAIAAAAAAADwvwLXNO84RUcAQAIxKqkT0ESoPwAAAAAYAAAA/PwA/AACAAAAAAAA8L8CzczMzMzM8D8CZapgVFInwL8AAAAAGAAAAPz8APwAAgAAAAAAAPC/AkcDeAskKM6/AmWqYFRSJ8C/AAAAACAAAAD8/AD8AAIAAAAAAADwvwL6D+m3rwMDQAISNjy9UpbvPwAAAAAgAAAA/PwA/AACAAAAAAAA8L8CyJi7lpAP2j8Crthfdk8eBUAAAAAAGAAAAPz8APwAAgAAAAAAAPC/AkqdgCbChvO/AjEqqRPQRKg/AAAAABgAAAD8/AD8AAIAAAAAAADwvwLeJAaBlUO7PwIE54wo7Q3xvwAAAAAYAAAA/PwA/AACAAAAAAAA8L8CLiEf9GxW+L8CDk+vlGWI+r8AAAAAIAAAAPz8APwAAgAAAAAAAPC/AiQofoy5awVAAq36XG3F/ua/AAAAABgAAAD8/AD8AAIAAAAAAADwvwKaCBueXinhvwIdWmQ730/9vwAAAAAYAAAA/PwA/AACAAAAAAAA8L8Cc9cS8kHP/b8CrfpcbcX+5r8AAAAAGAAAAPz8APwAAgAAAAAAAPC/Aj/o2az6XN2/Alyxv+yePPI/AAAAABgAAAD8/AD8AAIAAAAAAADwvwJ0RpT2Bl/0PwJcsb/snjzyPwAAAAAgAAAA/PwA/AACAAAAAAAA8L8C5IOezapPAcAC24r9ZfdkA8AAAAAAGAAAAPz8APwAAgAAAAAAAPC/Aj/o2az6XN2/Aq7YX3ZPHgFAAAAAABgAAAD8/AD8AAIAAAAAAADwvwJ0RpT2Bl/0PwKu2F92Tx4BQAAAAAAYAAAA/PwA/AACAAAAAAAA8L8CVVInoIkwCcACjNtoAG8BAsAAAAAAARMECAFlBAAAAAAAAAAACAABZQQAAAAAAAAAAAwAAWUEAAAAAAAAAAAQBAFlCAAAAAAAAAAAFAEQAWUEAAAAAAAAAAAYDAFlBAAAAAAAAAAAHAwBZQgMAAAAAAAAACAoAWUIDAAAAAAAAAAkBAFlBAAAAAAAAAAAKBwBZQQAAAAAAAAAACwYAWUICAAAAAAAAAAwAAFlBAAAAAAAAAAANAABZQQAAAAAAAAAADggAWUEAAAAAAAAAAA8MAFlBAAAAAAAAAAAARA0AWUEAAAAAAAAAAABETgBZQQAAAAAAAAAABQ8AWUEAAAAAAAAAAAgLAFlBAAAAAAAAAAAAAAAAA==</t>
        </r>
      </text>
    </comment>
    <comment ref="A953" authorId="0" shapeId="0" xr:uid="{7AA34328-4360-4CBA-944B-E86BEFC8814C}">
      <text>
        <r>
          <rPr>
            <sz val="9"/>
            <color indexed="81"/>
            <rFont val="MS P ゴシック"/>
            <family val="3"/>
            <charset val="128"/>
          </rPr>
          <t>Insight iXlW00001C0000953R0585476093S00001904P01232LAocjBAQBF1NjaVRlZ2ljLmRhdGEuTW9sZWN1bGUBbwF/ARJTY2lUZWdpYy5Nb2xlY3VsZQAAAQFkAv5qAQAAAAIAAgEQHAAAAPz8APwAAgAAAAAAAPC/AlJJnYAmwgJAAintDb4wmfO/AAAAABgAAAD8/AD8AAIAAAAAAADwvwLQ1VbsLzsFQAJnRGlv8IXRvwAAAAAYAAAA/PwA/AACAAAAAAAA8L8C4ZwRpb3B/z8CfIMvTKYK3j8AAAAAGAAAAPz8APwAAgAAAAAAAPC/ArRZ9bnaigFAAilcj8L1KPc/AAAAABwAAAD8/AD8AAIAAAAAAADwvwK1pnnHKTr1PwIpXI/C9Sj/PwAAAAAYAAAA/PwA/AACAAAAAAAA8L8CW0I+6Nms4j8Cak3zjlN09D8AAAAAHAAAAPz8APwAAgAAAAAAAPC/AjerPldbse8/Apjdk4eFWtc/AAAAABgAAAD8/AD8AAIAAAAAAADwvwKppE5AE2HfPwK30QDeAgngvwAAAAAYAAAA/PwA/AACAAAAAAAA8L8CrK3YX3ZP4L8Ct9EA3gIJ4L8AAAAAGAAAAPz8APwAAgAAAAAAAPC/AtZW7C+7J/C/Ah3J5T+k3/W/AAAAABgAAAD8/AD8AAIAAAAAAADwvwIzVTAqqRMAwAKOdXEbDeD1vwAAAAAYAAAA/PwA/AACAAAAAAAA8L8CM1UwKqkTBMACt9EA3gIJ4L8AAAAAJAAAAPz8APwAAgAAAAAAAPC/AjNVMCqpEwzAArfRAN4CCeC/AAAAABgAAAD8/AD8AAIAAAAAAADwvwIzVTAqqRMAwAKY3ZOHhVrXPwAAAAAYAAAA/PwA/AACAAAAAAAA8L8CZapgVFIn8L8CmN2Th4Va1z8AAAAAAREAAAD8/AD8AAIAAAAAAADwvwI2PL1SlqELQAJUdCSX/5DSPwAAAAABEAAEAWUEAAAAAAAAAAAECAFlBAAAAAAAAAAACAwBZQgMAAAAAAAAAAwQAWUEAAAAAAAAAAAQFAFlCAgAAAAAAAAAFBgBZQQAAAAAAAAAABgIAWUEAAAAAAAAAAAYHAFlBAAAAAAAAAAAHCABZQQAAAAAAAAAACAkAWUIDAAAAAAAAAAkKAFlBAAAAAAAAAAAKCwBZQgMAAAAAAAAACwwAWUEAAAAAAAAAAAsNAFlBAAAAAAAAAAANDgBZQgIAAAAAAAAADggAWUEAAAAAAAAAAAAAAAA</t>
        </r>
      </text>
    </comment>
    <comment ref="A954" authorId="0" shapeId="0" xr:uid="{F9FE2997-44C7-44EA-8A15-63BFC1A6406F}">
      <text>
        <r>
          <rPr>
            <sz val="9"/>
            <color indexed="81"/>
            <rFont val="MS P ゴシック"/>
            <family val="3"/>
            <charset val="128"/>
          </rPr>
          <t>Insight iXlW00001C0000954R0585476093S00001906P01832LAocjBAQBF1NjaVRlZ2ljLmRhdGEuTW9sZWN1bGUBbwF/ARJTY2lUZWdpYy5Nb2xlY3VsZQAAAQFkAv5qAQAAAAIAAgEYGAAAAPz8APwAAgAAAAAAAPC/AqFns+pzNQHAAndPHhZqTdM/AAAAABwAAAD8/AD8AAIAAAAAAADwvwJCz2bV52ryvwJ3Tx4Wak3TPwAAAAAYAAAA/PwA/AACAAAAAAAA8L8CfGEyVTAq6z8Cd08eFmpN0z8AAAAAIAAAAPz8APwAAgAAAAAAAPC/AqFns+pzNQXAAsiYu5aQD+K/AAAAABgAAAD8/AD8AAIAAAAAAADwvwLImLuWkA/3PwJZF7fRAN7+PwAAAAAYAAAA/PwA/AACAAAAAAAA8L8CZvfkYaHW+T8C8fRKWYY47j8AAAAAGAAAAPz8APwAAgAAAAAAAPC/AtejcD0K1/k/AvVKWYY41tW/AAAAACAAAAD8/AD8AAIAAAAAAADwvwKhZ7PqczUFwAIf9GxWfa7yPwAAAAAYAAAA/PwA/AACAAAAAAAA8L8ChJ7Nqs/V5L8CyJi7lpAP4r8AAAAAGAAAAPz8APwAAgAAAAAAAPC/AoSezarP1eS/Ah/0bFZ9rvI/AAAAABgAAAD8/AD8AAIAAAAAAADwvwL5wmSqYFTWPwLImLuWkA/ivwAAAAAYAAAA/PwA/AACAAAAAAAA8L8C+cJkqmBU1j8CH/RsVn2u8j8AAAAAGAAAAPz8APwAAgAAAAAAAPC/AqFns+pzNQ3AAsiYu5aQD+K/AAAAACAAAAD8/AD8AAIAAAAAAADwvwIijnVxGw3gPwLQZtXnaisCQAAAAAAYAAAA/PwA/AACAAAAAAAA8L8CyJi7lpAP9z8Cnu+nxks39b8AAAAAGAAAAPz8APwAAgAAAAAAAPC/Ao/k8h/SbwRAAi1DHOviNko/AAAAABgAAAD8/AD8AAIAAAAAAADwvwKUGARWDi0JQAKCc0aU9gb6vwAAAAAgAAAA/PwA/AACAAAAAAAA8L8CuK8D54yoAUAC+n5qvHSTBEAAAAAAGAAAAPz8APwAAgAAAAAAAPC/AhueXinLkApAAkOtad5xiuS/AAAAABgAAAD8/AD8AAIAAAAAAADwvwK4rwPnjKgBQALIKTqSy3//vwAAAAABIwAAAPz8APwAAgAAAAAAAPC/AiDSb18HTg9AAg8tsp3vJwLAAAAAABgAAAD8/AD8AAIAAAAAAADwvwKhZ7PqczUNwAJkzF1LyAf5vwAAAAAYAAAA/PwA/AACAAAAAAAA8L8C0bNZ9bmaEsACyJi7lpAP4r8AAAAAGAAAAPz8APwAAgAAAAAAAPC/AqFns+pzNQ3AAnHOiNLe4Ns/AAAAAAEZBAABZQQAAAAAAAAAAAgsAWUEAAAAAAAAAAAMAAFlBAAAAAAAAAAAEBQBZQQAAAAAAAAAABQIAWUEAAAAAAAAAAAYCAFlBAAAAAAAAAAAHAABZQgAAAAAAAAAACAEAWUEAAAAAAAAAAAkBAFlBAAAAAAAAAAAKCABZQQAAAAAAAAAACwkAWUEAAAAAAAAAAAwDAFlBAAAAAAAAAAANBABZQgAAAAAAAAAADgYAWUIDAAAAAAAAAA8GAFlBAAAAAAAAAAAARABEgFlBAAAAAAAAAAAAREQAWUEAAAAAAAAAAABEjwBZQgIAAAAAAAAAAETOAFlBAAAAAAAAAAAARQBEAFlBAAAAAAAAAAAARUwAWUEAAAAAAAAAAABFjABZQQAAAAAAAAAAAEXMAFlBAAAAAAAAAAACCgBZQQAAAAAAAAAAAETARABZQgIAAAAAAAAAAAAAAA=</t>
        </r>
      </text>
    </comment>
    <comment ref="A955" authorId="0" shapeId="0" xr:uid="{9625BEE0-8409-47AE-9480-0A2035683A9F}">
      <text>
        <r>
          <rPr>
            <sz val="9"/>
            <color indexed="81"/>
            <rFont val="MS P ゴシック"/>
            <family val="3"/>
            <charset val="128"/>
          </rPr>
          <t>Insight iXlW00001C0000955R0585476093S00001908P00804LAocjBAQBF1NjaVRlZ2ljLmRhdGEuTW9sZWN1bGUBbwF/ARJTY2lUZWdpYy5Nb2xlY3VsZQAAAQFkAv5qAQAAAAIAAigYAAAA/PwA/AACAAAAAAAA8L8CB/AWSFD88r8CBOeMKO0N3r8AAAAAGAAAAPz8APwAAgAAAAAAAPC/AuY/pN++DtQ/AgOaCBueXtk/AAAAACAAAAD8/AD8AAIAAAAAAADwvwIN4C2QoPjlvwIDmggbnl71vwAAAAAYAAAA/PwA/AACAAAAAAAA8L8CDeAtkKD45b8CA5oIG55e2T8AAAAAIAAAAPz8APwAAgAAAAAAAPC/AgR4CyQofgHAAgTnjCjtDd6/AAAAABgAAAD8/AD8AAIAAAAAAADwvwL6D+m3rwP1PwKBJsKGp1f2PwAAAAAYAAAA/PwA/AACAAAAAAAA8L8C5j+k374O1D8CgSbChqdX9j8AAAAAGAAAAPz8APwAAgAAAAAAAPC/AvoP6bevA/U/AgOaCBueXtk/AAAAABgAAAD8/AD8AAIAAAAAAADwvwLmP6Tfvg7UPwL/snvysFDjvwAAAAAYAAAA/PwA/AACAAAAAAAA8L8CO3DOiNLe8j8CgNk9eVio8b8AAAAAKAQMAWUEAAAAAAAAAAAIAAFlCAAAAAAAAAAADAABZQQAAAAAAAAAABAAAWUEAAAAAAAAAAAUHAFlBAAAAAAAAAAAGAQBZQQAAAAAAAAAABwEAWUEAAAAAAAAAAAgBAFlBAAAAAAAAAAAJCABZQQAAAAAAAAAABgUAWUEAAAAAAAAAAAAAAAA</t>
        </r>
      </text>
    </comment>
    <comment ref="A956" authorId="0" shapeId="0" xr:uid="{49D8D441-40BF-4C17-847C-457700AA769C}">
      <text>
        <r>
          <rPr>
            <sz val="9"/>
            <color indexed="81"/>
            <rFont val="MS P ゴシック"/>
            <family val="3"/>
            <charset val="128"/>
          </rPr>
          <t>Insight iXlW00001C0000956R0585476093S00001910P01176LAocjBAQBF1NjaVRlZ2ljLmRhdGEuTW9sZWN1bGUBbwF/ARJTY2lUZWdpYy5Nb2xlY3VsZQAAAQFkAv5qAQAAAAIAAjwYAAAA/PwA/AACAAAAAAAA8L8Co7Q3+MJk3j8Cm3ecoiO53L8AAAAAGAAAAPz8APwAAgAAAAAAAPC/AmTMXUvIB9m/Ai1DHOviNqo/AAAAABgAAAD8/AD8AAIAAAAAAADwvwIp7Q2+MJn/PwJsCfmgZ7PaPwAAAAAYAAAA/PwA/AACAAAAAAAA8L8CUtobfGEy7z8CbAn5oGez2j8AAAAAGAAAAPz8APwAAgAAAAAAAPC/AlvTvOMUHfS/Apt3nKIjudy/AAAAACAAAAD8/AD8AAIAAAAAAADwvwKV9gZfmMwDQAIOT6+UZYj0PwAAAAAgAAAA/PwA/AACAAAAAAAA8L8ClfYGX5jMA0ACm3ecoiO53L8AAAAAGAAAAPz8APwAAgAAAAAAAPC/As4ZUdob/ADAAi1DHOviNqo/AAAAABgAAAD8/AD8AAIAAAAAAADwvwLb+X5qvHT1PwLOO07RkVzuvwAAAAAYAAAA/PwA/AACAAAAAAAA8L8CmpmZmZmZmb8CKH6MuWsJ9b8AAAAAGAAAAPz8APwAAgAAAAAAAPC/AmTMXUvIB9m/AhriWBe30fA/AAAAABgAAAD8/AD8AAIAAAAAAADwvwK38/3UeOnqPwIpfoy5awn9vwAAAAAYAAAA/PwA/AACAAAAAAAA8L8CW9O84xQd9L8CGuJYF7fR+D8AAAAAGAAAAPz8APwAAgAAAAAAAPC/As4ZUdob/ADAAhriWBe30fA/AAAAABgAAAD8/AD8AAIAAAAAAADwvwLvycNCrekHwAKbd5yiI7ncvwAAAAABEAQAAWUEAAAAAAAAAAAIDAFlBAAAAAAAAAAADAABZQQAAAAAAAAAABAEAWUEAAAAAAAAAAAUCAFlCAAAAAAAAAAAGAgBZQQAAAAAAAAAABwQAWUIDAAAAAAAAAAgAAFlBAAAAAAAAAAAJAABZQQAAAAAAAAAACgEAWUIDAAAAAAAAAAsJAFlBAAAAAAAAAAAMCgBZQQAAAAAAAAAADQwAWUICAAAAAAAAAA4HAFlBAAAAAAAAAAAICwBZQQAAAAAAAAAADQcAWUEAAAAAAAAAAAAAAAA</t>
        </r>
      </text>
    </comment>
    <comment ref="A957" authorId="0" shapeId="0" xr:uid="{DDBE67AF-D8F3-403F-B646-8F80E86FC528}">
      <text>
        <r>
          <rPr>
            <sz val="9"/>
            <color indexed="81"/>
            <rFont val="MS P ゴシック"/>
            <family val="3"/>
            <charset val="128"/>
          </rPr>
          <t>Insight iXlW00001C0000957R0585476093S00001912P01396LAocjBAQBF1NjaVRlZ2ljLmRhdGEuTW9sZWN1bGUBbwF/ARJTY2lUZWdpYy5Nb2xlY3VsZQAAAQFkAv5qAQAAAAIAAgESGAAAAPz8APwAAgAAAAAAAPC/AtIA3gIJigXAAuLplbIMccy/AAAAABgAAAD8/AD8AAIAAAAAAADwvwLsUbgehev0PwLi6ZWyDHHMvwAAAAAYAAAA/PwA/AACAAAAAAAA8L8CpAG8BRIU+78C4umVsgxxzL8AAAAAGAAAAPz8APwAAgAAAAAAAPC/Ak+vlGWIYwFAAsRCrWnecfQ/AAAAABgAAAD8/AD8AAIAAAAAAADwvwLsUbgehev0PwKIhVrTvOPoPwAAAAAYAAAA/PwA/AACAAAAAAAA8L8CrkfhehSu0z8C4umVsgxxzL8AAAAAIAAAAPz8APwAAgAAAAAAAPC/Ak+vlGWIYwFAAmKh1jTvOAJAAAAAABgAAAD8/AD8AAIAAAAAAADwvwKkAbwFEhTzvwJ+HThnRGnxvwAAAAAYAAAA/PwA/AACAAAAAAAA8L8CpAG8BRIU878CC0YldQKa5D8AAAAAGAAAAPz8APwAAgAAAAAAAPC/AhwN4C2QoMi/AgtGJXUCmuQ/AAAAABgAAAD8/AD8AAIAAAAAAADwvwKkcD0K16PIvwJ+HThnRGnxvwAAAAAkAAAA/PwA/AACAAAAAAAA8L8C0gDeAgmKBcACPL1SliGO878AAAAAJAAAAPz8APwAAgAAAAAAAPC/AtIA3gIJig3AAuLplbIMccy/AAAAACQAAAD8/AD8AAIAAAAAAADwvwLSAN4CCYoFwAKIhVrTvOPoPwAAAAAgAAAA/PwA/AACAAAAAAAA8L8CcF8HzhlRCEACiIVa07zj6D8AAAAAGAAAAPz8APwAAgAAAAAAAPC/AvYoXI/CdQJAAuLplbIMccy/AAAAABgAAAD8/AD8AAIAAAAAAADwvwLsUbgehev0PwI8vVKWIY7zvwAAAAAYAAAA/PwA/AACAAAAAAAA8L8C9ihcj8J1AkACPL1SliGO878AAAAAARMEFAFlBAAAAAAAAAAACAABZQQAAAAAAAAAAAwQAWUEAAAAAAAAAAAQBAFlBAAAAAAAAAAAFCQBZQgMAAAAAAAAABgMAWUIAAAAAAAAAAAcCAFlBAAAAAAAAAAAIAgBZQgMAAAAAAAAACQgAWUEAAAAAAAAAAAoHAFlCAgAAAAAAAAALAABZQQAAAAAAAAAADAAAWUEAAAAAAAAAAA0AAFlBAAAAAAAAAAAOAwBZQQAAAAAAAAAADwEAWUEAAAAAAAAAAABEAQBZQQAAAAAAAAAAAERARABZQQAAAAAAAAAACgUAWUEAAAAAAAAAAA8AREBZQQAAAAAAAAAAAAAAAA=</t>
        </r>
      </text>
    </comment>
    <comment ref="A958" authorId="0" shapeId="0" xr:uid="{4C4BF4EF-9D0E-4EA1-BF22-4888236751FF}">
      <text>
        <r>
          <rPr>
            <sz val="9"/>
            <color indexed="81"/>
            <rFont val="MS P ゴシック"/>
            <family val="3"/>
            <charset val="128"/>
          </rPr>
          <t>Insight iXlW00001C0000958R0585476093S00001914P00948LAocjBAQBF1NjaVRlZ2ljLmRhdGEuTW9sZWN1bGUBbwF/ARJTY2lUZWdpYy5Nb2xlY3VsZQAAAQFkAv5qAQAAAAIAAjAYAAAA/PwA/AACAAAAAAAA8L8C/Knx0k1i+D8CqhPQRNjw2L8AAAAAGAAAAPz8APwAAgAAAAAAAPC/AqLWNO84Rce/AlJJnYAmwra/AAAAACAAAAD8/AD8AAIAAAAAAADwvwKaCBueXin7PwLtL7snDwvjPwAAAAAYAAAA/PwA/AACAAAAAAAA8L8CirDh6ZWy4j8CYHZPHhZq578AAAAAIAAAAPz8APwAAgAAAAAAAPC/AmpN845TdAHAAlJJnYAmwra/AAAAACAAAAD8/AD8AAIAAAAAAADwvwJSuB6F61ECQAKF61G4HoXwvwAAAAAYAAAA/PwA/AACAAAAAAAA8L8CirDh6ZWy4j8CDCQofoy54T8AAAAAGAAAAPz8APwAAgAAAAAAAPC/AtWa5h2n6Pq/Aq5p3nGKju6/AAAAABgAAAD8/AD8AAIAAAAAAADwvwLVmuYdp+j6vwJZF7fRAN7oPwAAAAAYAAAA/PwA/AACAAAAAAAA8L8CqTXNO07R5b8CrmnecYqO7r8AAAAAGAAAAPz8APwAAgAAAAAAAPC/Aqk1zTtO0eW/AlkXt9EA3ug/AAAAABgAAAD8/AD8AAIAAAAAAADwvwLXNO84RUfaPwLnriXkg574PwAAAAAwBAwBZQQAAAAAAAAAAAgAAWUIAAAAAAAAAAAMAAFlBAAAAAAAAAAAECABZQQAAAAAAAAAABQAAWUEAAAAAAAAAAAYBAFlBAAAAAAAAAAAHCQBZQQAAAAAAAAAACAoAWUEAAAAAAAAAAAkBAFlBAAAAAAAAAAAKAQBZQQAAAAAAAAAACwYAWUEAAAAAAAAAAAcEAFlBAAAAAAAAAAAAAAAAA==</t>
        </r>
      </text>
    </comment>
    <comment ref="A959" authorId="0" shapeId="0" xr:uid="{DDB8914D-4FD4-4A33-A746-11A1E647877F}">
      <text>
        <r>
          <rPr>
            <sz val="9"/>
            <color indexed="81"/>
            <rFont val="MS P ゴシック"/>
            <family val="3"/>
            <charset val="128"/>
          </rPr>
          <t>Insight iXlW00001C0000959R0585476093S00001916P01324LAocjBAQBF1NjaVRlZ2ljLmRhdGEuTW9sZWN1bGUBbwF/ARJTY2lUZWdpYy5Nb2xlY3VsZQAAAQFkAv5qAQAAAAIAAgERGAAAAPz8APwAAgAAAAAAAPC/AjWAt0CC4sc/AlFrmnecotM/AAAAABgAAAD8/AD8AAIAAAAAAADwvwJR2ht8YTLdvwIUYcPTK2XdvwAAAAAYAAAA/PwA/AACAAAAAAAA8L8CQ61p3nGK6j8CFGHD0ytl3b8AAAAAGAAAAPz8APwAAgAAAAAAAPC/AoJzRpT2Bv0/Atc07zhFR9K/AAAAABgAAAD8/AD8AAIAAAAAAADwvwIE54wo7Q33vwKb5h2n6EjSvwAAAAAgAAAA/PwA/AACAAAAAAAA8L8C5BQdyeU/AUACAwmKH2Pu5D8AAAAAIAAAAPz8APwAAgAAAAAAAPC/AjWAt0CC4sc/AmpN845TdAJAAAAAACQAAAD8/AD8AAIAAAAAAADwvwK7SQwCK4f8vwIhsHJoke3kPwAAAAAgAAAA/PwA/AACAAAAAAAA8L8CDy2yne+nA0ACT0ATYcPT8L8AAAAAGAAAAPz8APwAAgAAAAAAAPC/AnbgnBGlveW/Aqk1zTtO0ek/AAAAABgAAAD8/AD8AAIAAAAAAADwvwJIUPwYc9fwPwKpNc07TtHpPwAAAAAYAAAA/PwA/AACAAAAAAAA8L8C6wQ0ETY8vb8C/Knx0k1i9r8AAAAAGAAAAPz8APwAAgAAAAAAAPC/AnbgnBGlveW/AtWa5h2n6Pw/AAAAABgAAAD8/AD8AAIAAAAAAADwvwJIUPwYc9fwPwLVmuYdp+j8PwAAAAAYAAAA/PwA/AACAAAAAAAA8L8Cz2bV52qrAMACT0ATYcPT8L8AAAAAGAAAAPz8APwAAgAAAAAAAPC/AtNNYhBYOei/AlK4HoXrUQHAAAAAABgAAAD8/AD8AAIAAAAAAADwvwJZF7fRAN77vwIGEhQ/xtz/vwAAAAABEgQAAWUEAAAAAAAAAAAIAAFlBAAAAAAAAAAADAgBZQQAAAAAAAAAABAEAWUEAAAAAAAAAAAUDAFlCAAAAAAAAAAAGDQBZQQAAAAAAAAAABwQAWUEAAAAAAAAAAAgDAFlBAAAAAAAAAAAJAABZQQAAAAAAAAAACgAAWUEAAAAAAAAAAAsBAFlCAwAAAAAAAAAMCQBZQQAAAAAAAAAADQoAWUEAAAAAAAAAAA4EAFlCAgAAAAAAAAAPCwBZQQAAAAAAAAAAAEQPAFlCAgAAAAAAAAAMBgBZQQAAAAAAAAAADgBEAFlBAAAAAAAAAAAAAAAAA==</t>
        </r>
      </text>
    </comment>
    <comment ref="A960" authorId="0" shapeId="0" xr:uid="{AC2D8A15-9F4D-4B2F-9527-CE8562FA042F}">
      <text>
        <r>
          <rPr>
            <sz val="9"/>
            <color indexed="81"/>
            <rFont val="MS P ゴシック"/>
            <family val="3"/>
            <charset val="128"/>
          </rPr>
          <t>Insight iXlW00001C0000960R0585476093S00001918P01320LAocjBAQBF1NjaVRlZ2ljLmRhdGEuTW9sZWN1bGUBbwF/ARJTY2lUZWdpYy5Nb2xlY3VsZQAAAQFkAv5qAQAAAAIAAgERGAAAAPz8APwAAgAAAAAAAPC/AtEi2/l+asw/Alyxv+yePOA/AAAAABgAAAD8/AD8AAIAAAAAAADwvwLW52or9pf9PwLD9Shcj8K1vwAAAAAYAAAA/PwA/AACAAAAAAAA8L8C6pWyDHGs6z8C6bevA+eM0L8AAAAAGAAAAPz8APwAAgAAAAAAAPC/AgMJih9j7tq/Aum3rwPnjNC/AAAAACAAAAD8/AD8AAIAAAAAAADwvwIOT6+UZYgBQAK2hHzQs1nrPwAAAAAgAAAA/PwA/AACAAAAAAAA8L8C0SLb+X5qzD8CV+wvuycPBEAAAAAAGAAAAPz8APwAAgAAAAAAAPC/AiEf9GxWffa/AsP1KFyPwrW/AAAAABgAAAD8/AD8AAIAAAAAAADwvwKyv+yePCy0vwKyv+yePCzzvwAAAAAgAAAA/PwA/AACAAAAAAAA8L8COGdEaW/wA0ACCawcWmQ7678AAAAAGAAAAPz8APwAAgAAAAAAAPC/AkoMAiuHFue/AlqGONbFbf+/AAAAABgAAAD8/AD8AAIAAAAAAADwvwKmLEMc62IAwAIJrBxaZDvrvwAAAAAYAAAA/PwA/AACAAAAAAAA8L8CBqOSOgFN+78CvCcPC7Wm/L8AAAAAGAAAAPz8APwAAgAAAAAAAPC/ApzEILByaPE/Aq7YX3ZPHvA/AAAAABgAAAD8/AD8AAIAAAAAAADwvwLP91PjpZvkvwKu2F92Tx7wPwAAAAAYAAAA/PwA/AACAAAAAAAA8L8Cz/dT46Wb5L8CV+wvuycPAEAAAAAAGAAAAPz8APwAAgAAAAAAAPC/ApzEILByaPE/AlfsL7snDwBAAAAAABgAAAD8/AD8AAIAAAAAAADwvwLQRNjw9MoCwAIydy0hH3QEwAAAAAABEgQIAWUEAAAAAAAAAAAIAAFlBAAAAAAAAAAADAABZQQAAAAAAAAAABAEAWUIAAAAAAAAAAAUOAFlBAAAAAAAAAAAGAwBZQQAAAAAAAAAABwMAWUIDAAAAAAAAAAgBAFlBAAAAAAAAAAAJBwBZQQAAAAAAAAAACgYAWUICAAAAAAAAAAsJAFlCAwAAAAAAAAAMAABZQQAAAAAAAAAADQAAWUEAAAAAAAAAAA4NAFlBAAAAAAAAAAAPDABZQQAAAAAAAAAAAEQLAFlBAAAAAAAAAAAPBQBZQQAAAAAAAAAACgsAWUEAAAAAAAAAAAAAAAA</t>
        </r>
      </text>
    </comment>
    <comment ref="A961" authorId="0" shapeId="0" xr:uid="{42570F4E-8E6F-422E-9E24-7149F12AC6E6}">
      <text>
        <r>
          <rPr>
            <sz val="9"/>
            <color indexed="81"/>
            <rFont val="MS P ゴシック"/>
            <family val="3"/>
            <charset val="128"/>
          </rPr>
          <t>Insight iXlW00001C0000961R0585476093S00001920P01248LAocjBAQBF1NjaVRlZ2ljLmRhdGEuTW9sZWN1bGUBbwF/ARJTY2lUZWdpYy5Nb2xlY3VsZQAAAQFkAv5qAQAAAAIAAgEQGAAAAPz8APwAAgAAAAAAAPC/AsNkqmBUUuE/AgAAAAAAANy/AAAAABgAAAD8/AD8AAIAAAAAAADwvwKjkjoBTYT2PwIAAAAAAADuvwAAAAAYAAAA/PwA/AACAAAAAAAA8L8Cw2SqYFRS4T8CAAAAAAAA4j8AAAAAGAAAAPz8APwAAgAAAAAAAPC/AnP5D+m3LwJAAgAAAAAAANy/AAAAABgAAAD8/AD8AAIAAAAAAADwvwKjkjoBTYT2PwIAAAAAAADxPwAAAAAgAAAA/PwA/AACAAAAAAAA8L8CRWlv8IXJ1L8CAAAAAAAA7r8AAAAAGAAAAPz8APwAAgAAAAAAAPC/AnP5D+m3LwJAAgAAAAAAAOI/AAAAACAAAAD8/AD8AAIAAAAAAADwvwKL/WX35GEHwAIAAAAAAADiPwAAAAAkAAAA/PwA/AACAAAAAAAA8L8Co5I6AU2E9j8CAAAAAAAA/78AAAAAJAAAAPz8APwAAgAAAAAAAPC/AkVpb/CFydS/AgAAAAAAAPE/AAAAABgAAAD8/AD8AAIAAAAAAADwvwKTOgFNhA3zvwIAAAAAAADcvwAAAAAcAAAA/PwA/AACAAAAAAAA8L8Ck6mCUUkdCUACAAAAAAAA8T8AAAAAGAAAAPz8APwAAgAAAAAAAPC/ApM6AU2EDfO/AgAAAAAAAOI/AAAAABgAAAD8/AD8AAIAAAAAAADwvwJqTfOOU3QAwAIAAAAAAADuvwAAAAAYAAAA/PwA/AACAAAAAAAA8L8Ci/1l9+RhB8ACAAAAAAAA3L8AAAAAGAAAAPz8APwAAgAAAAAAAPC/AmpN845TdADAAgAAAAAAAPE/AAAAAAERBAABZQgIAAAAAAAAAAgAAWUEAAAAAAAAAAAMBAFlBAAAAAAAAAAAEAgBZQgIAAAAAAAAABQAAWUEAAAAAAAAAAAYEAFlBAAAAAAAAAAAHDgBZQQAAAAAAAAAACAEAWUEAAAAAAAAAAAkCAFlBAAAAAAAAAAAKBQBZQQAAAAAAAAAACwYAWUEAAAAAAAAAAAwKAFlBAAAAAAAAAAANCgBZQQAAAAAAAAAADg0AWUEAAAAAAAAAAA8MAFlBAAAAAAAAAAAGAwBZQgIAAAAAAAAADwcAWUEAAAAAAAAAAAAAAAA</t>
        </r>
      </text>
    </comment>
    <comment ref="A962" authorId="0" shapeId="0" xr:uid="{65EA6631-8469-4875-987A-25914CE1E055}">
      <text>
        <r>
          <rPr>
            <sz val="9"/>
            <color indexed="81"/>
            <rFont val="MS P ゴシック"/>
            <family val="3"/>
            <charset val="128"/>
          </rPr>
          <t>Insight iXlW00001C0000962R0585476093S00001922P00964LAocjBAQBF1NjaVRlZ2ljLmRhdGEuTW9sZWN1bGUBbwF/ARJTY2lUZWdpYy5Nb2xlY3VsZQAAAQFkAv5qAQAAAAIAAjAYAAAA/PwA/AACAAAAAAAA8L8C0ETY8PRK6z8Cu0kMAiuH6j8AAAAAHAAAAPz8APwAAgAAAAAAAPC/AiKOdXEbDfc/AnsUrkfhepQ/AAAAABgAAAD8/AD8AAIAAAAAAADwvwJsmnecoiO5vwK5HoXrUbjevwAAAAAYAAAA/PwA/AACAAAAAAAA8L8CbJp3nKIjub8CpHA9Ctej4D8AAAAAGAAAAPz8APwAAgAAAAAAAPC/AtBE2PD0Sus/AnNoke18P+m/AAAAABgAAAD8/AD8AAIAAAAAAADwvwLRs1n1udruvwJdj8L1KFzvvwAAAAAgAAAA/PwA/AACAAAAAAAA8L8C9I5TdCSX8j8C7MA5I0p7/D8AAAAAHAAAAPz8APwAAgAAAAAAAPC/AtGzWfW52u6/Aq9H4XoUrv+/AAAAABgAAAD8/AD8AAIAAAAAAADwvwIRx7q4jYYDQAJ7FK5H4XqUPwAAAAAYAAAA/PwA/AACAAAAAAAA8L8C0bNZ9bna7r8CUrgehetR8D8AAAAAGAAAAPz8APwAAgAAAAAAAPC/Aio6kst/SP2/AqRwPQrXo+A/AAAAABgAAAD8/AD8AAIAAAAAAADwvwIqOpLLf0j9vwK5HoXrUbjevwAAAAA0BAABZQQAAAAAAAAAAAgMAWUEAAAAAAAAAAAMAAFlBAAAAAAAAAAAEAQBZQQAAAAAAAAAABQIAWUIDAAAAAAAAAAYAAFlCAAAAAAAAAAAHBQBZQQAAAAAAAAAACAEAWUEAAAAAAAAAAAkDAFlCAgAAAAAAAAAKCQBZQQAAAAAAAAAACwoAWUICAAAAAAAAAAIEAFlBAAAAAAAAAAAFCwBZQQAAAAAAAAAAAAAAAA=</t>
        </r>
      </text>
    </comment>
    <comment ref="A963" authorId="0" shapeId="0" xr:uid="{98D6BACB-68BD-4F17-A115-741A6E075C83}">
      <text>
        <r>
          <rPr>
            <sz val="9"/>
            <color indexed="81"/>
            <rFont val="MS P ゴシック"/>
            <family val="3"/>
            <charset val="128"/>
          </rPr>
          <t>Insight iXlW00001C0000963R0585476093S00001924P01320LAocjBAQBF1NjaVRlZ2ljLmRhdGEuTW9sZWN1bGUBbwF/ARJTY2lUZWdpYy5Nb2xlY3VsZQAAAQFkAv5qAQAAAAIBAgERJAAAAPz8APwAAgAAAAAAAPC/AoPAyqFFtgvAAnsUrkfheuq/AAAAABgAAAD8/AD8AAIAAAAAAADwvwIqOpLLf8gEwAL2KFyPwvXUvwAAAAAYAAAA/PwA/AACAAAAAAAA8L8CKjqSy3/IBMAChetRuB6F5T8AAAAAGAAAAPz8APwAAgAAAAAAAPC/AhIUP8bctfu/AsP1KFyPwvI/AAAAABgAAAD8/AD8AAIAAAAAAADwvwKhZ7Pqc7XrvwKF61G4HoXlPwAAAAAYAAAA/PwA/AACAAAAAAAA8L8C5IOezarPtT8CnMQgsHJo7z8AAAAAHAAAAPz8APwAAgAAAAAAAPC/AvCnxks3ieU/AhWuR+F6FMY/AAAAABgIAAD8/AD8AAIAAAAAAADwvwL4U+Olm8T6PwIVrkfhehTGPwAAAAAYAAAA/PwA/AACAAAAAAAA8L8C2V92Tx4WAkACnMQgsHJo7z8AAAAAGAAAAPz8APwAAgAAAAAAAPC/AqhXyjLEsQlAAqOSOgFNhOU/AAAAABwAAAD8/AD8AAIAAAAAAADwvwKoV8oyxLEJQAL2KFyPwvXUvwAAAAAYAAAA/PwA/AACAAAAAAAA8L8C2V92Tx4WAkACku18PzVe5L8AAAAAGAAAAPz8APwAAgAAAAAAAPC/AuSDns2qz7U/ApLtfD81XuS/AAAAACAAAAD8/AD8AAIAAAAAAADwvwImUwWjkjrZPwJnZmZmZmb5vwAAAAAYAAAA/PwA/AACAAAAAAAA8L8CoWez6nO1678C9ihcj8L11L8AAAAAGAAAAPz8APwAAgAAAAAAAPC/AhIUP8bctfu/AnsUrkfheuq/AAAAAAERAAAA/PwA/AACAAAAAAAA8L8CB1+YTBUMEEACkML1KFyPyr8AAAAAARIABAFlBAAAAAAAAAAABAgBZQgMAAAAAAAAAAgMAWUEAAAAAAAAAAAMEAFlCAwAAAAAAAAAEBQBZQQAAAAAAAAAABQYAWUEAAAAAAAAAAAcGAFlBBAAAAAAAAAAHCABZQQAAAAAAAAAACAkAWUEAAAAAAAAAAAkKAFlBAAAAAAAAAAAKCwBZQQAAAAAAAAAACwcAWUEAAAAAAAAAAAYMAFlBAAAAAAAAAAAMDQBZQgAAAAAAAAAADA4AWUEAAAAAAAAAAA4EAFlBAAAAAAAAAAAODwBZQgMAAAAAAAAADwEAWUEAAAAAAAAAAAAAAAA</t>
        </r>
      </text>
    </comment>
    <comment ref="A964" authorId="0" shapeId="0" xr:uid="{2F8171A4-CBA1-4528-8293-FE8134C172FD}">
      <text>
        <r>
          <rPr>
            <sz val="9"/>
            <color indexed="81"/>
            <rFont val="MS P ゴシック"/>
            <family val="3"/>
            <charset val="128"/>
          </rPr>
          <t>Insight iXlW00001C0000964R0585476093S00001926P01468LAocjBAQBF1NjaVRlZ2ljLmRhdGEuTW9sZWN1bGUBbwF/ARJTY2lUZWdpYy5Nb2xlY3VsZQAAAQFkAv5qAQAAAAIBAgETHAAAAPz8APwAAgAAAAAAAPC/AobJVMGo5BBAAlFrmnecosM/AAAAABgMAAD8/AD8AAIAAAAAAADwvwIMk6mCUckJQAJRa5p3nKLDPwAAAAAYAAAA/PwA/AACAAAAAAAA8L8CRWlv8IXJBUACrK3YX3ZP8D8AAAAAGAAAAPz8APwAAgAAAAAAAPC/AonS3uALk/s/Aqyt2F92T/A/AAAAABgMAAD8/AD8AAIAAAAAAADwvwKJ0t7gC5PzPwLJBz2bVZ/DPwAAAAAYAAAA/PwA/AACAAAAAAAA8L8CidLe4AuT+z8CkX77OnDO5r8AAAAAGAAAAPz8APwAAgAAAAAAAPC/AgyTqYJRyQVAApF++zpwzua/AAAAABwAAAD8/AD8AAIAAAAAAADwvwJHlPYGX5jMPwLJBz2bVZ/DPwAAAAAYAAAA/PwA/AACAAAAAAAA8L8Cw2SqYFRS178CCRueXinL7j8AAAAAGAAAAPz8APwAAgAAAAAAAPC/AkA1XrpJDPW/AvJBz2bV5+Q/AAAAABgAAAD8/AD8AAIAAAAAAADwvwLByqFFtnMBwAL5oGez6nPyPwAAAAAYAAAA/PwA/AACAAAAAAAA8L8C4noUrkdhCMAC8kHPZtXn5D8AAAAAGAAAAPz8APwAAgAAAAAAAPC/AuJ6FK5HYQjAAhx8YTJVMNa/AAAAACQAAAD8/AD8AAIAAAAAAADwvwICK4cW2U4PwAIOvjCZKhjrvwAAAAAYAAAA/PwA/AACAAAAAAAA8L8CwcqhRbZzAcACDr4wmSoY678AAAAAGAAAAPz8APwAAgAAAAAAAPC/AkA1XrpJDPW/Ahx8YTJVMNa/AAAAABgAAAD8/AD8AAIAAAAAAADwvwLDZKpgVFLXvwIll/+QfvvkvwAAAAAgAAAA/PwA/AACAAAAAAAA8L8CsJRliGNdrL8CMLsnDwu1+b8AAAAAAREAAAD8/AD8AAIAAAAAAADwvwK5/If02xcUQALcaABvgQTNvwAAAAABFAQAAWUEEAAAAAAAAAAECAFlBAAAAAAAAAAACAwBZQQAAAAAAAAAAAwQAWUEAAAAAAAAAAAQFAFlBAAAAAAAAAAAFBgBZQQAAAAAAAAAABgEAWUEAAAAAAAAAAAQHAFlBBQAAAAAAAAAHCABZQQAAAAAAAAAACAkAWUEAAAAAAAAAAAkKAFlCAwAAAAAAAAAKCwBZQQAAAAAAAAAACwwAWUIDAAAAAAAAAAwNAFlBAAAAAAAAAAAMDgBZQQAAAAAAAAAADg8AWUICAAAAAAAAAA8JAFlBAAAAAAAAAAAPAEQAWUEAAAAAAAAAAABEBwBZQQAAAAAAAAAAAEQAREBZQgAAAAAAAAAAAAAAAA=</t>
        </r>
      </text>
    </comment>
    <comment ref="A965" authorId="0" shapeId="0" xr:uid="{9A416413-FA21-410D-BE2D-D95863A9AA1F}">
      <text>
        <r>
          <rPr>
            <sz val="9"/>
            <color indexed="81"/>
            <rFont val="MS P ゴシック"/>
            <family val="3"/>
            <charset val="128"/>
          </rPr>
          <t>Insight iXlW00001C0000965R0585476093S00001928P01468LAocjBAQBF1NjaVRlZ2ljLmRhdGEuTW9sZWN1bGUBbwF/ARJTY2lUZWdpYy5Nb2xlY3VsZQAAAQFkAv5qAQAAAAIAAgETJAAAAPz8APwAAgAAAAAAAPC/AigPC7Wm+Q3AAmMQWDm0yPa/AAAAABgAAAD8/AD8AAIAAAAAAADwvwIHX5hMFQwHwALFILByaJHtvwAAAAAYAAAA/PwA/AACAAAAAAAA8L8CB1+YTBUMB8AC2/l+arx0sz8AAAAAGAAAAPz8APwAAgAAAAAAAPC/AuauJeSDHgDAAjzfT42XbuI/AAAAABgAAAD8/AD8AAIAAAAAAADwvwKL/WX35GHyvwLb+X5qvHSzPwAAAAAYAAAA/PwA/AACAAAAAAAA8L8C4QuTqYJRyb8CpHA9Ctej2D8AAAAAHAAAAPz8APwAAgAAAAAAAPC/AvYoXI/C9dg/AopBYOXQItu/AAAAABgAAAD8/AD8AAIAAAAAAADwvwI+CtejcD32PwKKQWDl0CLbvwAAAAAYAAAA/PwA/AACAAAAAAAA8L8CPgrXo3A9/j8CfT81XrpJ3D8AAAAAGAAAAPz8APwAAgAAAAAAAPC/Aq+2Yn/ZPfY/AiGwcmiR7fQ/AAAAABgAAAD8/AD8AAIAAAAAAADwvwKvtmJ/2T3+PwIxCKwcWmQBQAAAAAAcAAAA/PwA/AACAAAAAAAA8L8CH4XrUbgeB0ACat5xio5kAUAAAAAAGAAAAPz8APwAAgAAAAAAAPC/Ah+F61G4HgtAAiGwcmiR7fQ/AAAAABgAAAD8/AD8AAIAAAAAAADwvwIfhetRuB4HQAJ9PzVeukncPwAAAAAYAAAA/PwA/AACAAAAAAAA8L8C4QuTqYJRyb8C7nw/NV66878AAAAAIAAAAPz8APwAAgAAAAAAAPC/AgR4CyQofrw/An6MuWsJeQHAAAAAABgAAAD8/AD8AAIAAAAAAADwvwKL/WX35GHyvwLFILByaJHtvwAAAAAYAAAA/PwA/AACAAAAAAAA8L8C5q4l5IMeAMACYxBYObTI9r8AAAAAAREAAAD8/AD8AAIAAAAAAADwvwLD9Shcj8IQQAJ7FK5H4Xp0vwAAAAABFAAEAWUEAAAAAAAAAAAECAFlCAwAAAAAAAAACAwBZQQAAAAAAAAAAAwQAWUIDAAAAAAAAAAQFAFlBAAAAAAAAAAAFBgBZQQAAAAAAAAAABgcAWUEAAAAAAAAAAAcIAFlBAAAAAAAAAAAICQBZQQAAAAAAAAAACQoAWUEAAAAAAAAAAAoLAFlBAAAAAAAAAAALDABZQQAAAAAAAAAADA0AWUEAAAAAAAAAAA0IAFlBAAAAAAAAAAAGDgBZQQAAAAAAAAAADg8AWUIAAAAAAAAAAA4ARABZQQAAAAAAAAAAAEQEAFlBAAAAAAAAAAAARABEQFlCAwAAAAAAAAAAREEAWUEAAAAAAAAAAAAAAAA</t>
        </r>
      </text>
    </comment>
    <comment ref="A966" authorId="0" shapeId="0" xr:uid="{5E09FD13-F74E-41C9-B632-8FC295F44828}">
      <text>
        <r>
          <rPr>
            <sz val="9"/>
            <color indexed="81"/>
            <rFont val="MS P ゴシック"/>
            <family val="3"/>
            <charset val="128"/>
          </rPr>
          <t>Insight iXlW00001C0000966R0585476093S00001930P01116LAocjBAQBF1NjaVRlZ2ljLmRhdGEuTW9sZWN1bGUBbwF/ARJTY2lUZWdpYy5Nb2xlY3VsZQAAAQFkAv5qAQAAAAIAAjwYAAAA/PwA/AACAAAAAAAA8L8CQYLix5i7CUABAAAAABgAAAD8/AD8AAIAAAAAAADwvwIg0m9fB84CQAIAAAAAAADgPwAAAAAYAAAA/PwA/AACAAAAAAAA8L8C/0P67evA9z8BAAAAABgAAAD8/AD8AAIAAAAAAADwvwJ6xyk6ksvjPwIAAAAAAADgPwAAAAAYAAAA/PwA/AACAAAAAAAA8L8CescpOpLL4z8CAAAAAAAA4L8AAAAAIAAAAPz8APwAAgAAAAAAAPC/Aibkg57Nqs+/AgAAAAAAAPC/AAAAABgAAAD8/AD8AAIAAAAAAADwvwLG3LWEfNDxvwIAAAAAAADgvwAAAAAYAAAA/PwA/AACAAAAAAAA8L8CeekmMQis/78CAAAAAAAA8L8AAAAAGAAAAPz8APwAAgAAAAAAAPC/At0kBoGVwwbAAgAAAAAAAOC/AAAAABwAAAD8/AD8AAIAAAAAAADwvwLdJAaBlcMGwAIAAAAAAADgPwAAAAAYAAAA/PwA/AACAAAAAAAA8L8CeekmMQis/78BAAAAABgAAAD8/AD8AAIAAAAAAADwvwI4iUFg5dDxvwIAAAAAAADgPwAAAAAcAAAA/PwA/AACAAAAAAAA8L8C/0P67evA9z8CAAAAAAAA8L8AAAAAGAAAAPz8APwAAgAAAAAAAPC/AiDSb18HzgJAAgAAAAAAAOC/AAAAAAERAAAA/PwA/AACAAAAAAAA8L8CVHQkl/8QEEAAAAAAADwABAFlBAAAAAAAAAAABAgBZQgMAAAAAAAAAAgMAWUEAAAAAAAAAAAMEAFlCAwAAAAAAAAAEBQBZQQAAAAAAAAAABQYAWUEAAAAAAAAAAAYHAFlBAAAAAAAAAAAHCABZQQAAAAAAAAAACAkAWUEAAAAAAAAAAAkKAFlBAAAAAAAAAAAKCwBZQQAAAAAAAAAACwYAWUEAAAAAAAAAAAQMAFlBAAAAAAAAAAAMDQBZQgIAAAAAAAAADQEAWUEAAAAAAAAAAAAAAAA</t>
        </r>
      </text>
    </comment>
    <comment ref="A967" authorId="0" shapeId="0" xr:uid="{5EFC9376-3A77-4810-97D6-CD4569CE8F1E}">
      <text>
        <r>
          <rPr>
            <sz val="9"/>
            <color indexed="81"/>
            <rFont val="MS P ゴシック"/>
            <family val="3"/>
            <charset val="128"/>
          </rPr>
          <t>Insight iXlW00001C0000967R0585476093S00001932P01160LAocjBAQBF1NjaVRlZ2ljLmRhdGEuTW9sZWN1bGUBbwF/ARJTY2lUZWdpYy5Nb2xlY3VsZQAAAQFkAv5qAQAAAAIAAjwYAAAA/PwA/AACAAAAAAAA8L8CQYLix5i7+T8CswxxrIvb/j8AAAAAGAAAAPz8APwAAgAAAAAAAPC/AkGC4seYu/k/AmYZ4lgXt+0/AAAAABgAAAD8/AD8AAIAAAAAAADwvwJB8WPMXcsDQALLMsSxLm7bPwAAAAAYAAAA/PwA/AACAAAAAAAA8L8CQfFjzF3LA0ACm+Ydp+hI4r8AAAAAHAAAAPz8APwAAgAAAAAAAPC/AkGC4seYu/k/Ak7zjlN0JPG/AAAAABgAAAD8/AD8AAIAAAAAAADwvwL/Q/rt68DnPwKb5h2n6EjivwAAAAAgAAAA/PwA/AACAAAAAAAA8L8CJuSDns2qv78CTvOOU3Qk8b8AAAAAGAAAAPz8APwAAgAAAAAAAPC/Agg9m1Wfq++/ApvmHafoSOK/AAAAABgAAAD8/AD8AAIAAAAAAADwvwLG/rJ78rD9vwJO845TdCTxvwAAAAAYAAAA/PwA/AACAAAAAAAA8L8CvAUSFD/GBcACm+Ydp+hI4r8AAAAAHAAAAPz8APwAAgAAAAAAAPC/ArwFEhQ/xgXAAssyxLEubts/AAAAABgAAAD8/AD8AAIAAAAAAADwvwI3qz5XW7H9vwKDwMqhRbbtPwAAAAAYAAAA/PwA/AACAAAAAAAA8L8CCD2bVZ+r778CB4GVQ4ts2z8AAAAAGAAAAPz8APwAAgAAAAAAAPC/Av9D+u3rwOc/AssyxLEubts/AAAAAAERAAAA/PwA/AACAAAAAAAA8L8CqFfKMsQxCkACyzLEsS5u2z8AAAAAPAAEAWUEAAAAAAAAAAAECAFlCAwAAAAAAAAACAwBZQQAAAAAAAAAAAwQAWUICAAAAAAAAAAQFAFlBAAAAAAAAAAAFBgBZQQAAAAAAAAAABgcAWUEAAAAAAAAAAAcIAFlBAAAAAAAAAAAICQBZQQAAAAAAAAAACQoAWUEAAAAAAAAAAAoLAFlBAAAAAAAAAAALDABZQQAAAAAAAAAADAcAWUEAAAAAAAAAAAUNAFlCAgAAAAAAAAANAQBZQQAAAAAAAAAAAAAAAA=</t>
        </r>
      </text>
    </comment>
    <comment ref="A968" authorId="0" shapeId="0" xr:uid="{95801F39-084C-4101-82C7-DD487DA962C9}">
      <text>
        <r>
          <rPr>
            <sz val="9"/>
            <color indexed="81"/>
            <rFont val="MS P ゴシック"/>
            <family val="3"/>
            <charset val="128"/>
          </rPr>
          <t>Insight iXlW00001C0000968R0585476093S00001934P01248LAocjBAQBF1NjaVRlZ2ljLmRhdGEuTW9sZWN1bGUBbwF/ARJTY2lUZWdpYy5Nb2xlY3VsZQAAAQFkAv5qAQAAAAIAAgEQGAAAAPz8APwAAgAAAAAAAPC/Am6jAbwFEgJAAjEqqRPQROA/AAAAABgAAAD8/AD8AAIAAAAAAADwvwKb5h2n6Ej2PwIWjErqBDSBPwAAAAAYAAAA/PwA/AACAAAAAAAA8L8Cj1N0JJd/B8ACMSqpE9BE4D8AAAAAGAAAAPz8APwAAgAAAAAAAPC/Ao9TdCSXfwvAAlr1udqK/fU/AAAAABgAAAD8/AD8AAIAAAAAAADwvwKPU3Qkl38PwAIxKqkT0ETgPwAAAAAYAAAA/PwA/AACAAAAAAAA8L8CswxxrIvb4D8CMSqpE9BE4D8AAAAAGAAAAPz8APwAAgAAAAAAAPC/ApvmHafoSPY/AtDVVuwvu++/AAAAABgAAAD8/AD8AAIAAAAAAADwvwJlGeJYF7fVvwIWjErqBDSBPwAAAAAYAAAA/PwA/AACAAAAAAAA8L8C0bNZ9bna4D8C6Gor9pfd978AAAAAGAAAAPz8APwAAgAAAAAAAPC/AmUZ4lgXt9W/AtDVVuwvu++/AAAAACQAAAD8/AD8AAIAAAAAAADwvwLdRgN4CyT8PwJa9bnaiv31PwAAAAAkAAAA/PwA/AACAAAAAAAA8L8Cj1N0JJf/CEACGJXUCWgi8D8AAAAAJAAAAPz8APwAAgAAAAAAAPC/Am6jAbwFEgZAAqYsQxzr4ta/AAAAACAAAAD8/AD8AAIAAAAAAADwvwKb5h2n6EjzvwIxKqkT0ETgPwAAAAAYAAAA/PwA/AACAAAAAAAA8L8CbqMBvAWSAMACFoxK6gQ0gT8AAAAAHAAAAPz8APwAAgAAAAAAAPC/ArMMcayL2+A/AnS1FfvL7gPAAAAAAAERBAABZQQAAAAAAAAAAAg4AWUEAAAAAAAAAAAMCAFlBAAAAAAAAAAAEAgBZQQAAAAAAAAAABQEAWUIDAAAAAAAAAAYBAFlBAAAAAAAAAAAHBQBZQQAAAAAAAAAACAYAWUICAAAAAAAAAAkIAFlBAAAAAAAAAAAKAABZQQAAAAAAAAAACwAAWUEAAAAAAAAAAAwAAFlBAAAAAAAAAAANBwBZQQAAAAAAAAAADg0AWUEAAAAAAAAAAA8IAFlBAAAAAAAAAAAHCQBZQgIAAAAAAAAABAMAWUEAAAAAAAAAAAAAAAA</t>
        </r>
      </text>
    </comment>
    <comment ref="A969" authorId="0" shapeId="0" xr:uid="{8D33F985-71C7-42EF-9F52-5E8BC4BD7C33}">
      <text>
        <r>
          <rPr>
            <sz val="9"/>
            <color indexed="81"/>
            <rFont val="MS P ゴシック"/>
            <family val="3"/>
            <charset val="128"/>
          </rPr>
          <t>Insight iXlW00001C0000969R0585476093S00001936P01176LAocjBAQBF1NjaVRlZ2ljLmRhdGEuTW9sZWN1bGUBbwF/ARJTY2lUZWdpYy5Nb2xlY3VsZQAAAQFkAv5qAQAAAAIAAjwYAAAA/PwA/AACAAAAAAAA8L8CrK3YX3ZP4L8CTRWMSuoEpL8AAAAAGAAAAPz8APwAAgAAAAAAAPC/Ahi30QDeAva/AlXBqKROQOG/AAAAABgAAAD8/AD8AAIAAAAAAADwvwKsrdhfdk/gvwKsPldbsb/uPwAAAAAgAAAA/PwA/AACAAAAAAAA8L8CryXkg57N1j8CVcGopE5A4b8AAAAAGAAAAPz8APwAAgAAAAAAAPC/Ahi30QDeAva/Alafq63YX/c/AAAAABgAAAD8/AD8AAIAAAAAAADwvwKti9toAO8BwAJNFYxK6gSkvwAAAAAYAAAA/PwA/AACAAAAAAAA8L8CrYvbaADvAcACrD5XW7G/7j8AAAAAJAAAAPz8APwAAgAAAAAAAPC/Aq8l5IOezdY/Alafq63YX/c/AAAAACQAAAD8/AD8AAIAAAAAAADwvwIYt9EA3gL2vwKrYFRSJ6D4vwAAAAAYAAAA/PwA/AACAAAAAAAA8L8CrmnecYqO8z8CK4cW2c73o78AAAAAHAAAAPz8APwAAgAAAAAAAPC/AgYSFD/G3AjAAlafq63YX/c/AAAAABgAAAD8/AD8AAIAAAAAAADwvwIwuycPC7UAQAJzaJHtfD/hvwAAAAAYAAAA/PwA/AACAAAAAAAA8L8CVAWjkjqBCkACx7q4jQbw878AAAAAGAAAAPz8APwAAgAAAAAAAPC/AuVhodY0bwhAAnS1FfvL7tG/AAAAABgAAAD8/AD8AAIAAAAAAADwvwKeXinLEMcCQAIVrkfhehT4vwAAAAABEAQAAWUICAAAAAAAAAAIAAFlBAAAAAAAAAAADAABZQQAAAAAAAAAABAIAWUICAAAAAAAAAAUBAFlBAAAAAAAAAAAGBABZQQAAAAAAAAAABwIAWUEAAAAAAAAAAAgBAFlBAAAAAAAAAAAJAwBZQQAAAAAAAAAACgYAWUEAAAAAAAAAAAsJAFlBAAAAAAAAAAAMDgBZQQAAAAAAAAAADQsAWUEAAAAAAAAAAA4LAFlBAAAAAAAAAAAGBQBZQgIAAAAAAAAADQwAWUEAAAAAAAAAAAAAAAA</t>
        </r>
      </text>
    </comment>
    <comment ref="A970" authorId="0" shapeId="0" xr:uid="{C19BFE2C-EBBA-44BB-94E1-12D4FC2FC841}">
      <text>
        <r>
          <rPr>
            <sz val="9"/>
            <color indexed="81"/>
            <rFont val="MS P ゴシック"/>
            <family val="3"/>
            <charset val="128"/>
          </rPr>
          <t>Insight iXlW00001C0000970R0585476093S00001938P01016LAocjBAQBF1NjaVRlZ2ljLmRhdGEuTW9sZWN1bGUBbwF/ARJTY2lUZWdpYy5Nb2xlY3VsZQAAAQFkAv5qAQAAAAIAAjQYAAAA/PwA/AACAAAAAAAA8L8CseHplbIMsT8CRwN4CyQo1r8AAAAAGAAAAPz8APwAAgAAAAAAAPC/Ak2EDU+vlOm/AqQBvAUSFOu/AAAAABgAAAD8/AD8AAIAAAAAAADwvwKx4emVsgyxPwJd/kP67evkPwAAAAAYAAAA/PwA/AACAAAAAAAA8L8CaCJseHql+r8CRwN4CyQo1r8AAAAAGAAAAPz8APwAAgAAAAAAAPC/Ak2EDU+vlOm/Ai//If32dfI/AAAAACAAAAD8/AD8AAIAAAAAAADwvwK6/If029ftPwKkAbwFEhTrvwAAAAAYAAAA/PwA/AACAAAAAAAA8L8CaCJseHql+r8CXf5D+u3r5D8AAAAAJAAAAPz8APwAAgAAAAAAAPC/Arr8h/Tb1+0/Ai//If32dfI/AAAAACQAAAD8/AD8AAIAAAAAAADwvwJNhA1Pr5TpvwLSAN4CCYr9vwAAAAAcAAAA/PwA/AACAAAAAAAA8L8CVcGopE5ABMACL/8h/fZ18j8AAAAAGAAAAPz8APwAAgAAAAAAAPC/AhALtaZ5x/w/AoNRSZ2AJta/AAAAABgAAAD8/AD8AAIAAAAAAADwvwKeXinLEMf8PwI/V1uxv+zkPwAAAAAYAAAA/PwA/AACAAAAAAAA8L8CqTXNO05RBUACwqikTkAT678AAAAANAQAAWUICAAAAAAAAAAIAAFlBAAAAAAAAAAADAQBZQQAAAAAAAAAABAIAWUICAAAAAAAAAAUAAFlBAAAAAAAAAAAGBABZQQAAAAAAAAAABwIAWUEAAAAAAAAAAAgBAFlBAAAAAAAAAAAJBgBZQQAAAAAAAAAACgUAWUEAAAAAAAAAAAsKAFlBAAAAAAAAAAAMCgBZQQAAAAAAAAAABgMAWUICAAAAAAAAAAAAAAA</t>
        </r>
      </text>
    </comment>
    <comment ref="A971" authorId="0" shapeId="0" xr:uid="{2378FA99-5F34-4A8B-B4DF-E1B3531726C9}">
      <text>
        <r>
          <rPr>
            <sz val="9"/>
            <color indexed="81"/>
            <rFont val="MS P ゴシック"/>
            <family val="3"/>
            <charset val="128"/>
          </rPr>
          <t>Insight iXlW00001C0000971R0585476093S00001940P01252LAocjBAQBF1NjaVRlZ2ljLmRhdGEuTW9sZWN1bGUBbwF/ARJTY2lUZWdpYy5Nb2xlY3VsZQAAAQFkAv5qAQAAAAIBAgEQIAAAAPz8APwAAgAAAAAAAPC/AhDpt68D58Q/Aio6kst/SPq/AAAAABgAAAD8/AD8AAIAAAAAAADwvwLT3uALk6nCvwIYldQJaCLmvwAAAAAcAAAA/PwA/AACAAAAAAAA8L8CfT81XrpJ3D8C8x/Sb18Hvj8AAAAAGAAAAPz8APwAAgAAAAAAAPC/AtPe4AuTqcK/AhUdyeU/pO0/AAAAABgAAAD8/AD8AAIAAAAAAADwvwLpt68D54zxvwL/Q/rt68DjPwAAAAAYAAAA/PwA/AACAAAAAAAA8L8CKxiV1Alo/78C/yH99nXg8T8AAAAAGAAAAPz8APwAAgAAAAAAAPC/AjY8vVKWoQbAAv9D+u3rwOM/AAAAABgAAAD8/AD8AAIAAAAAAADwvwI2PL1SlqEGwAIEeAskKH7YvwAAAAAYAAAA/PwA/AACAAAAAAAA8L8CKxiV1Alo/78CArwFEhQ/7L8AAAAAGAAAAPz8APwAAgAAAAAAAPC/Aum3rwPnjPG/AgR4CyQofti/AAAAABgIAAD8/AD8AAIAAAAAAADwvwLgT42XbhL3PwLzH9JvXwe+PwAAAAAYAAAA/PwA/AACAAAAAAAA8L8CzV1LyAc9AEAC93XgnBGl7T8AAAAAGAAAAPz8APwAAgAAAAAAAPC/AtQrZRni2AdAAv9D+u3rwOM/AAAAABwAAAD8/AD8AAIAAAAAAADwvwKcVZ+rrdgHQAIEeAskKH7YvwAAAAAYAAAA/PwA/AACAAAAAAAA8L8CBTQRNjw9AEACGJXUCWgi5r8AAAAAAREAAAD8/AD8AAIAAAAAAADwvwI7kst/SD8OQAJVMCqpE9DQvwAAAAABEQAEAWUIAAAAAAAAAAAECAFlBAAAAAAAAAAACAwBZQQAAAAAAAAAAAwQAWUEAAAAAAAAAAAQFAFlBAAAAAAAAAAAFBgBZQgIAAAAAAAAABgcAWUEAAAAAAAAAAAcIAFlCAgAAAAAAAAAICQBZQQAAAAAAAAAACQEAWUEAAAAAAAAAAAkEAFlCAwAAAAAAAAAKAgBZQQQAAAAAAAAACgsAWUEAAAAAAAAAAAsMAFlBAAAAAAAAAAAMDQBZQQAAAAAAAAAADQ4AWUEAAAAAAAAAAA4KAFlBAAAAAAAAAAAAAAAAA==</t>
        </r>
      </text>
    </comment>
    <comment ref="A972" authorId="0" shapeId="0" xr:uid="{15C473CA-4D3D-4825-9449-246D18920BF0}">
      <text>
        <r>
          <rPr>
            <sz val="9"/>
            <color indexed="81"/>
            <rFont val="MS P ゴシック"/>
            <family val="3"/>
            <charset val="128"/>
          </rPr>
          <t>Insight iXlW00001C0000972R0585476093S00001942P01320LAocjBAQBF1NjaVRlZ2ljLmRhdGEuTW9sZWN1bGUBbwF/ARJTY2lUZWdpYy5Nb2xlY3VsZQAAAQFkAv5qAQAAAAIBAgERIAAAAPz8APwAAgAAAAAAAPC/AjzfT42XbqK/AtgS8kHPZvq/AAAAABgAAAD8/AD8AAIAAAAAAADwvwLZX3ZPHhbWvwKS7Xw/NV7mvwAAAAAcAAAA/PwA/AACAAAAAAAA8L8CG55eKcsQzz8CKVyPwvUovD8AAAAAGAAAAPz8APwAAgAAAAAAAPC/Atlfdk8eFta/ApzEILByaO0/AAAAABgAAAD8/AD8AAIAAAAAAADwvwIFNBE2PL30vwKF61G4HoXjPwAAAAAYAAAA/PwA/AACAAAAAAAA8L8CI0p7gy9MAcACw/UoXI/C8T8AAAAAGAAAAPz8APwAAgAAAAAAAPC/AkT67evAOQjAAoXrUbgeheM/AAAAABgAAAD8/AD8AAIAAAAAAADwvwJE+u3rwDkIwAL2KFyPwvXYvwAAAAAYAAAA/PwA/AACAAAAAAAA8L8CI0p7gy9MAcACexSuR+F67L8AAAAAGAAAAPz8APwAAgAAAAAAAPC/AgU0ETY8vfS/AvYoXI/C9di/AAAAABgIAAD8/AD8AAIAAAAAAADwvwLE0ytlGeLzPwIpXI/C9Si8PwAAAAAYAAAA/PwA/AACAAAAAAAA8L8CxNMrZRni+z8C/tR46SYx6L8AAAAAGAAAAPz8APwAAgAAAAAAAPC/AuLplbIM8QVAAv7UeOkmMei/AAAAABgAAAD8/AD8AAIAAAAAAADwvwLi6ZWyDPEJQAIpXI/C9Si8PwAAAAAcAAAA/PwA/AACAAAAAAAA8L8C4umVsgzxBUACCawcWmQ77z8AAAAAGAAAAPz8APwAAgAAAAAAAPC/AsTTK2UZ4vs/AgmsHFpkO+8/AAAAAAERAAAA/PwA/AACAAAAAAAA8L8CJCh+jLkrEEACSOF6FK5H0b8AAAAAARIABAFlCAAAAAAAAAAABAgBZQQAAAAAAAAAAAgMAWUEAAAAAAAAAAAMEAFlBAAAAAAAAAAAEBQBZQQAAAAAAAAAABQYAWUICAAAAAAAAAAYHAFlBAAAAAAAAAAAHCABZQgIAAAAAAAAACAkAWUEAAAAAAAAAAAkBAFlBAAAAAAAAAAAJBABZQgMAAAAAAAAACgIAWUEFAAAAAAAAAAoLAFlBAAAAAAAAAAALDABZQQAAAAAAAAAADA0AWUEAAAAAAAAAAA0OAFlBAAAAAAAAAAAODwBZQQAAAAAAAAAADwoAWUEAAAAAAAAAAAAAAAA</t>
        </r>
      </text>
    </comment>
    <comment ref="A973" authorId="0" shapeId="0" xr:uid="{C900D12C-1335-44A0-8FDC-510FC2CB7477}">
      <text>
        <r>
          <rPr>
            <sz val="9"/>
            <color indexed="81"/>
            <rFont val="MS P ゴシック"/>
            <family val="3"/>
            <charset val="128"/>
          </rPr>
          <t>Insight iXlW00001C0000973R0585476093S00001944P01268LAocjBAQBF1NjaVRlZ2ljLmRhdGEuTW9sZWN1bGUBbwF/ARJTY2lUZWdpYy5Nb2xlY3VsZQAAAQFkAv5qAQAAAAIBAgEQHAAAAPz8APwAAgAAAAAAAPC/AhueXinLEM8/Ailcj8L1KLw/AAAAABgAAAD8/AD8AAIAAAAAAADwvwLZX3ZPHhbWvwKS7Xw/NV7mvwAAAAAYAAAA/PwA/AACAAAAAAAA8L8C2V92Tx4W1r8CnMQgsHJo7T8AAAAAGAAAAPz8APwAAgAAAAAAAPC/AgU0ETY8vfS/AvYoXI/C9di/AAAAABgAAAD8/AD8AAIAAAAAAADwvwIFNBE2PL30vwKF61G4HoXjPwAAAAAgAAAA/PwA/AACAAAAAAAA8L8CPN9PjZduor8C2BLyQc9m+r8AAAAAGAgAAPz8APwAAgAAAAAAAPC/AsTTK2UZ4vM/Ailcj8L1KLw/AAAAABwAAAD8/AD8AAIAAAAAAADwvwLi6ZWyDPEFQAIJrBxaZDvvPwAAAAAYAAAA/PwA/AACAAAAAAAA8L8CxNMrZRni+z8CCawcWmQ77z8AAAAAGAAAAPz8APwAAgAAAAAAAPC/AiNKe4MvTAHAAnsUrkfheuy/AAAAABgAAAD8/AD8AAIAAAAAAADwvwIjSnuDL0wBwALD9Shcj8LxPwAAAAAYAAAA/PwA/AACAAAAAAAA8L8C4umVsgzxCUACKVyPwvUovD8AAAAAGAAAAPz8APwAAgAAAAAAAPC/AsTTK2UZ4vs/Av7UeOkmMei/AAAAABgAAAD8/AD8AAIAAAAAAADwvwLi6ZWyDPEFQAL+1HjpJjHovwAAAAAYAAAA/PwA/AACAAAAAAAA8L8CRPrt68A5CMAC9ihcj8L12L8AAAAAGAAAAPz8APwAAgAAAAAAAPC/AkT67evAOQjAAoXrUbgeheM/AAAAAAESBAABZQQAAAAAAAAAAAgAAWUEAAAAAAAAAAAMBAFlBAAAAAAAAAAAEAgBZQQAAAAAAAAAABQEAWUIAAAAAAAAAAAYAAFlBBAAAAAAAAAAHCABZQQAAAAAAAAAACAYAWUEAAAAAAAAAAAkDAFlBAAAAAAAAAAAKBABZQQAAAAAAAAAACw0AWUEAAAAAAAAAAAwGAFlBAAAAAAAAAAANDABZQQAAAAAAAAAADgkAWUICAAAAAAAAAA8KAFlCAgAAAAAAAAADBABZQgIAAAAAAAAABwsAWUEAAAAAAAAAAA4PAFlBAAAAAAAAAAAAAAAAA==</t>
        </r>
      </text>
    </comment>
    <comment ref="A974" authorId="0" shapeId="0" xr:uid="{277BFA22-FFA3-4016-B103-D4159FDD9282}">
      <text>
        <r>
          <rPr>
            <sz val="9"/>
            <color indexed="81"/>
            <rFont val="MS P ゴシック"/>
            <family val="3"/>
            <charset val="128"/>
          </rPr>
          <t>Insight iXlW00001C0000974R0585476093S00001946P01396LAocjBAQBF1NjaVRlZ2ljLmRhdGEuTW9sZWN1bGUBbwF/ARJTY2lUZWdpYy5Nb2xlY3VsZQAAAQFkAv5qAQAAAAIBAgESJAAAAPz8APwAAgAAAAAAAPC/AkjhehSuRwDAArwFEhQ/xv+/AAAAABgAAAD8/AD8AAIAAAAAAADwvwJI4XoUrkcAwAJ4CyQofozvvwAAAAAYAAAA/PwA/AACAAAAAAAA8L8CaZHtfD81B8AC8BZIUPwY378AAAAAGAAAAPz8APwAAgAAAAAAAPC/AmmR7Xw/NQfAAoj029eBc+A/AAAAABgAAAD8/AD8AAIAAAAAAADwvwJI4XoUrkcAwAJE+u3rwDnwPwAAAAAYAAAA/PwA/AACAAAAAAAA8L8CTmIQWDm08r8CiPTb14Fz4D8AAAAAGAAAAPz8APwAAgAAAAAAAPC/Avkx5q4l5Mu/Ap/Nqs/VVuo/AAAAACAAAAD8/AD8AAIAAAAAAADwvwLUK2UZ4li3PwLeAgmKH2P8PwAAAAAcAAAA/PwA/AACAAAAAAAA8L8C6pWyDHGs1z8CACL99nXgjD8AAAAAGAAAAPz8APwAAgAAAAAAAPC/Avkx5q4l5Mu/Ao/k8h/Sb+m/AAAAABgAAAD8/AD8AAIAAAAAAADwvwJOYhBYObTyvwLwFkhQ/BjfvwAAAAAYDAAA/PwA/AACAAAAAAAA8L8Ce6UsQxzr9T8CACL99nXgjD8AAAAAGAAAAPz8APwAAgAAAAAAAPC/AnulLEMc6/0/AvvL7snDQuu/AAAAABgAAAD8/AD8AAIAAAAAAADwvwK+UpYhjvUGQAL7y+7Jw0LrvwAAAAAYAAAA/PwA/AACAAAAAAAA8L8CvlKWIY71CkACACL99nXgjD8AAAAAHAAAAPz8APwAAgAAAAAAAPC/Ar5SliGO9QZAAu4NvjCZKuw/AAAAABgAAAD8/AD8AAIAAAAAAADwvwJ7pSxDHOv9PwILtaZ5xynsPwAAAAABEQAAAPz8APwAAgAAAAAAAPC/ApJc/kP6rRBAAnl6pSxDHLu/AAAAAAETAAQBZQQAAAAAAAAAAAQIAWUIDAAAAAAAAAAIDAFlBAAAAAAAAAAADBABZQgIAAAAAAAAABAUAWUEAAAAAAAAAAAUGAFlBAAAAAAAAAAAGBwBZQgAAAAAAAAAABggAWUEAAAAAAAAAAAgJAFlBAAAAAAAAAAAJCgBZQQAAAAAAAAAACgEAWUEAAAAAAAAAAAoFAFlCAwAAAAAAAAALCABZQQQAAAAAAAAACwwAWUEAAAAAAAAAAAwNAFlBAAAAAAAAAAANDgBZQQAAAAAAAAAADg8AWUEAAAAAAAAAAA8ARABZQQAAAAAAAAAAAEQLAFlBAAAAAAAAAAAAAAAAA==</t>
        </r>
      </text>
    </comment>
    <comment ref="A975" authorId="0" shapeId="0" xr:uid="{D0A04D3D-07DB-4D4D-A6E7-4DBC86E05A69}">
      <text>
        <r>
          <rPr>
            <sz val="9"/>
            <color indexed="81"/>
            <rFont val="MS P ゴシック"/>
            <family val="3"/>
            <charset val="128"/>
          </rPr>
          <t>Insight iXlW00001C0000975R0585476093S00001948P01116LAocjBAQBF1NjaVRlZ2ljLmRhdGEuTW9sZWN1bGUBbwF/ARJTY2lUZWdpYy5Nb2xlY3VsZQAAAQFkAv5qAQAAAAIAAjwYAAAA/PwA/AACAAAAAAAA8L8CQYLix5i7CUABAAAAABgAAAD8/AD8AAIAAAAAAADwvwIg0m9fB84CQAIAAAAAAADgPwAAAAAYAAAA/PwA/AACAAAAAAAA8L8C/0P67evA9z8BAAAAABgAAAD8/AD8AAIAAAAAAADwvwJ6xyk6ksvjPwIAAAAAAADgPwAAAAAYAAAA/PwA/AACAAAAAAAA8L8CescpOpLL4z8CAAAAAAAA4L8AAAAAIAAAAPz8APwAAgAAAAAAAPC/Aibkg57Nqs+/AgAAAAAAAPC/AAAAABgAAAD8/AD8AAIAAAAAAADwvwI4iUFg5dDxvwIAAAAAAADgvwAAAAAYAAAA/PwA/AACAAAAAAAA8L8Cxty1hHzQ8b8CAAAAAAAA4D8AAAAAGAAAAPz8APwAAgAAAAAAAPC/AnnpJjEIrP+/AQAAAAAYAAAA/PwA/AACAAAAAAAA8L8C3SQGgZXDBsACAAAAAAAA4D8AAAAAHAAAAPz8APwAAgAAAAAAAPC/At0kBoGVwwbAAgAAAAAAAOC/AAAAABgAAAD8/AD8AAIAAAAAAADwvwJ56SYxCKz/vwIAAAAAAADwvwAAAAAcAAAA/PwA/AACAAAAAAAA8L8C/0P67evA9z8CAAAAAAAA8L8AAAAAGAAAAPz8APwAAgAAAAAAAPC/AiDSb18HzgJAAgAAAAAAAOC/AAAAAAERAAAA/PwA/AACAAAAAAAA8L8CVHQkl/8QEEAAAAAAADwABAFlBAAAAAAAAAAABAgBZQgMAAAAAAAAAAgMAWUEAAAAAAAAAAAMEAFlCAwAAAAAAAAAEBQBZQQAAAAAAAAAABgUAWUEAAAAAAAAAAAYHAFlBAAAAAAAAAAAHCABZQQAAAAAAAAAACAkAWUEAAAAAAAAAAAkKAFlBAAAAAAAAAAAKCwBZQQAAAAAAAAAACwYAWUEAAAAAAAAAAAQMAFlBAAAAAAAAAAAMDQBZQgIAAAAAAAAADQEAWUEAAAAAAAAAAAAAAAA</t>
        </r>
      </text>
    </comment>
    <comment ref="A976" authorId="0" shapeId="0" xr:uid="{12F4D3AC-A0C3-4BE7-B531-D89E1E82D6F0}">
      <text>
        <r>
          <rPr>
            <sz val="9"/>
            <color indexed="81"/>
            <rFont val="MS P ゴシック"/>
            <family val="3"/>
            <charset val="128"/>
          </rPr>
          <t>Insight iXlW00001C0000976R0585476093S00001950P01160LAocjBAQBF1NjaVRlZ2ljLmRhdGEuTW9sZWN1bGUBbwF/ARJTY2lUZWdpYy5Nb2xlY3VsZQAAAQFkAv5qAQAAAAIAAjwkAAAA/PwA/AACAAAAAAAA8L8CQYLix5i7+T8Cp3nHKTqS/L8AAAAAGAAAAPz8APwAAgAAAAAAAPC/AkGC4seYu/k/Ak7zjlN0JOm/AAAAABgAAAD8/AD8AAIAAAAAAADwvwJB8WPMXcsDQAKb5h2n6EjSvwAAAAAYAAAA/PwA/AACAAAAAAAA8L8CQfFjzF3LA0AC0bNZ9bna5j8AAAAAGAAAAPz8APwAAgAAAAAAAPC/AkGC4seYu/k/AlqGONbFbfM/AAAAABwAAAD8/AD8AAIAAAAAAADwvwL/Q/rt68DnPwKzDHGsi9vmPwAAAAAYAAAA/PwA/AACAAAAAAAA8L8C/0P67evA5z8Cm+Ydp+hI0r8AAAAAIAAAAPz8APwAAgAAAAAAAPC/Aibkg57Nqr+/Ak7zjlN0JOm/AAAAABgAAAD8/AD8AAIAAAAAAADwvwIIPZtVn6vvvwKb5h2n6EjSvwAAAAAYAAAA/PwA/AACAAAAAAAA8L8CCD2bVZ+r778CswxxrIvb5j8AAAAAGAAAAPz8APwAAgAAAAAAAPC/Asb+snvysP2/AlqGONbFbfM/AAAAABgAAAD8/AD8AAIAAAAAAADwvwK8BRIUP8YFwAKzDHGsi9vmPwAAAAAcAAAA/PwA/AACAAAAAAAA8L8CvAUSFD/GBcACm+Ydp+hI0r8AAAAAGAAAAPz8APwAAgAAAAAAAPC/AjerPldbsf2/Ak7zjlN0JOm/AAAAAAERAAAA/PwA/AACAAAAAAAA8L8CqFfKMsQxCkACm+Ydp+hI0r8AAAAAPAAEAWUEAAAAAAAAAAAECAFlCAwAAAAAAAAACAwBZQQAAAAAAAAAAAwQAWUICAAAAAAAAAAQFAFlBAAAAAAAAAAAFBgBZQgIAAAAAAAAABgEAWUEAAAAAAAAAAAYHAFlBAAAAAAAAAAAIBwBZQQAAAAAAAAAACAkAWUEAAAAAAAAAAAkKAFlBAAAAAAAAAAAKCwBZQQAAAAAAAAAACwwAWUEAAAAAAAAAAAwNAFlBAAAAAAAAAAANCABZQQAAAAAAAAAAAAAAAA=</t>
        </r>
      </text>
    </comment>
    <comment ref="A977" authorId="0" shapeId="0" xr:uid="{57AA8464-C94E-4C94-ADE4-AAFC3B3E2138}">
      <text>
        <r>
          <rPr>
            <sz val="9"/>
            <color indexed="81"/>
            <rFont val="MS P ゴシック"/>
            <family val="3"/>
            <charset val="128"/>
          </rPr>
          <t>Insight iXlW00001C0000977R0585476093S00001952P01468LAocjBAQBF1NjaVRlZ2ljLmRhdGEuTW9sZWN1bGUBbwF/ARJTY2lUZWdpYy5Nb2xlY3VsZQAAAQFkAv5qAQAAAAIBAgETHAAAAPz8APwAAgAAAAAAAPC/AlJJnYAmghBAAlOWIY51cYs/AAAAABgMAAD8/AD8AAIAAAAAAADwvwKjkjoBTQQJQAJTliGOdXGLPwAAAAAYAAAA/PwA/AACAAAAAAAA8L8Co5I6AU0EBUAC3UYDeAsk7D8AAAAAGAAAAPz8APwAAgAAAAAAAPC/ArfRAN4CCfo/At1GA3gLJOw/AAAAABgMAAD8/AD8AAIAAAAAAADwvwK30QDeAgnyPwLNXUvIBz2LPwAAAAAYAAAA/PwA/AACAAAAAAAA8L8CRiV1ApoI+j8CDJOpglFJ678AAAAAGAAAAPz8APwAAgAAAAAAAPC/AqOSOgFNBAVAAgyTqYJRSeu/AAAAABwAAAD8/AD8AAIAAAAAAADwvwK5jQbwFkjAPwLNXUvIBz2LPwAAAAAYAAAA/PwA/AACAAAAAAAA8L8CCmgibHh63b8CoKut2F926b8AAAAAGAAAAPz8APwAAgAAAAAAAPC/AhI2PL1Slva/AhKlvcEXJt+/AAAAABgAAAD8/AD8AAIAAAAAAADwvwIqyxDHujgCwAKJ0t7gC5PvvwAAAAAkAAAA/PwA/AACAAAAAAAA8L8CKssQx7o4AsACRWlv8IXJ/78AAAAAGAAAAPz8APwAAgAAAAAAAPC/Akp7gy9MJgnAAhKlvcEXJt+/AAAAABgAAAD8/AD8AAIAAAAAAADwvwJKe4MvTCYJwAJ3LSEf9GzgPwAAAAAYAAAA/PwA/AACAAAAAAAA8L8CKssQx7o4AsACvJaQD3o28D8AAAAAGAAAAPz8APwAAgAAAAAAAPC/AhI2PL1Slva/AnctIR/0bOA/AAAAABgAAAD8/AD8AAIAAAAAAADwvwIKaCJseHrdvwKOBvAWSFDqPwAAAAAgAAAA/PwA/AACAAAAAAAA8L8CumsJ+aBnw78CVp+rrdhf/D8AAAAAAREAAAD8/AD8AAIAAAAAAADwvwKFfNCzWbUTQAL/snvysFC7vwAAAAABFAQAAWUEEAAAAAAAAAAECAFlBAAAAAAAAAAACAwBZQQAAAAAAAAAAAwQAWUEAAAAAAAAAAAQFAFlBAAAAAAAAAAAFBgBZQQAAAAAAAAAABgEAWUEAAAAAAAAAAAQHAFlBBQAAAAAAAAAHCABZQQAAAAAAAAAACAkAWUEAAAAAAAAAAAkKAFlCAgAAAAAAAAAKCwBZQQAAAAAAAAAACgwAWUEAAAAAAAAAAAwNAFlCAgAAAAAAAAANDgBZQQAAAAAAAAAADg8AWUICAAAAAAAAAA8JAFlBAAAAAAAAAAAPAEQAWUEAAAAAAAAAAABEBwBZQQAAAAAAAAAAAEQAREBZQgAAAAAAAAAAAAAAAA=</t>
        </r>
      </text>
    </comment>
    <comment ref="A978" authorId="0" shapeId="0" xr:uid="{96FA8606-8F87-4461-AE15-F8AD8EADB7EF}">
      <text>
        <r>
          <rPr>
            <sz val="9"/>
            <color indexed="81"/>
            <rFont val="MS P ゴシック"/>
            <family val="3"/>
            <charset val="128"/>
          </rPr>
          <t>Insight iXlW00001C0000978R0585476093S00001954P01392LAocjBAQBF1NjaVRlZ2ljLmRhdGEuTW9sZWN1bGUBbwF/ARJTY2lUZWdpYy5Nb2xlY3VsZQAAAQFkAv5qAQAAAAIBAgESHAAAAPz8APwAAgAAAAAAAPC/AsRCrWne8Q9AAveX3ZOHhbo/AAAAABgMAAD8/AD8AAIAAAAAAADwvwLEQq1p3vEHQAL3l92Th4W6PwAAAAAYAAAA/PwA/AACAAAAAAAA8L8CxEKtad7xA0ACgnNGlPYG7z8AAAAAGAAAAPz8APwAAgAAAAAAAPC/Avkx5q4l5Pc/AoJzRpT2Bu8/AAAAABgMAAD8/AD8AAIAAAAAAADwvwLyY8xdS8jvPwLm0CLb+X66PwAAAAAYAAAA/PwA/AACAAAAAAAA8L8C+THmriXk9z8CZ2ZmZmZm6L8AAAAAGAAAAPz8APwAAgAAAAAAAPC/AsRCrWne8QNAAmdmZmZmZui/AAAAABwAAAD8/AD8AAIAAAAAAADwvwJgB84ZUdp7vwLm0CLb+X66PwAAAAAYAAAA/PwA/AACAAAAAAAA8L8CgnNGlPYG478CNDMzMzMz7T8AAAAAGAAAAPz8APwAAgAAAAAAAPC/AtDVVuwvu/i/Ah1aZDvfT+M/AAAAABgAAAD8/AD8AAIAAAAAAADwvwIJG55eKUsDwAIPLbKd76fxPwAAAAAYAAAA/PwA/AACAAAAAAAA8L8CKssQx7o4CsACHVpkO99P4z8AAAAAGAAAAPz8APwAAgAAAAAAAPC/AirLEMe6OArAAsdLN4lBYNm/AAAAABgAAAD8/AD8AAIAAAAAAADwvwIJG55eKUsDwALkpZvEILDsvwAAAAAYAAAA/PwA/AACAAAAAAAA8L8C0NVW7C+7+L8Cx0s3iUFg2b8AAAAAGAAAAPz8APwAAgAAAAAAAPC/AoJzRpT2BuO/Avp+arx0k+a/AAAAACAAAAD8/AD8AAIAAAAAAADwvwLXNO84RUfSvwIbL90kBoH6vwAAAAABEQAAAPz8APwAAgAAAAAAAPC/ApXUCWgiLBNAAhkEVg4tstG/AAAAAAETBAABZQQQAAAAAAAAAAQIAWUEAAAAAAAAAAAIDAFlBAAAAAAAAAAADBABZQQAAAAAAAAAABAUAWUEAAAAAAAAAAAUGAFlBAAAAAAAAAAAGAQBZQQAAAAAAAAAABAcAWUEFAAAAAAAAAAcIAFlBAAAAAAAAAAAICQBZQQAAAAAAAAAACQoAWUIDAAAAAAAAAAoLAFlBAAAAAAAAAAALDABZQgIAAAAAAAAADA0AWUEAAAAAAAAAAA0OAFlCAgAAAAAAAAAOCQBZQQAAAAAAAAAADg8AWUEAAAAAAAAAAA8HAFlBAAAAAAAAAAAPAEQAWUIAAAAAAAAAAAAAAAA</t>
        </r>
      </text>
    </comment>
    <comment ref="A979" authorId="0" shapeId="0" xr:uid="{452E51A9-EB73-405D-B2AF-44D3B8B9CD0D}">
      <text>
        <r>
          <rPr>
            <sz val="9"/>
            <color indexed="81"/>
            <rFont val="MS P ゴシック"/>
            <family val="3"/>
            <charset val="128"/>
          </rPr>
          <t>Insight iXlW00001C0000979R0585476093S00001956P01468LAocjBAQBF1NjaVRlZ2ljLmRhdGEuTW9sZWN1bGUBbwF/ARJTY2lUZWdpYy5Nb2xlY3VsZQAAAQFkAv5qAQAAAAIAAgETJAAAAPz8APwAAgAAAAAAAPC/Aov9Zffk4QhAAqRwPQrXo/I/AAAAABgAAAD8/AD8AAIAAAAAAADwvwKL/WX35OEEQALFjzF3LSHTPwAAAAAYAAAA/PwA/AACAAAAAAAA8L8CUyegibDhCEACofgx5q4l4r8AAAAAGAAAAPz8APwAAgAAAAAAAPC/AlMnoImw4QRAApJc/kP67fa/AAAAABgAAAD8/AD8AAIAAAAAAADwvwIW+8vuycP5PwKSXP5D+u32vwAAAAAYAAAA/PwA/AACAAAAAAAA8L8CFvvL7snD8T8Cofgx5q4l4r8AAAAAGAAAAPz8APwAAgAAAAAAAPC/AtSa5h2n6MA/AulILv8h/da/AAAAACAAAAD8/AD8AAIAAAAAAADwvwJaZDvfT43jvwL5oGez6nPwvwAAAAAcAAAA/PwA/AACAAAAAAAA8L8CbXh6pSxDnD8C2xt8YTJV5D8AAAAAGAAAAPz8APwAAgAAAAAAAPC/AqJFtvP91Oq/Au0NvjCZKvI/AAAAABgAAAD8/AD8AAIAAAAAAADwvwITg8DKoUX7vwLbG3xhMlXkPwAAAAAYAAAA/PwA/AACAAAAAAAA8L8CE4PAyqFF+78CTMgHPZtV178AAAAAGAAAAPz8APwAAgAAAAAAAPC/Aqrx0k1ikATAAibkg57Nquu/AAAAABwAAAD8/AD8AAIAAAAAAADwvwLLoUW2830LwAJMyAc9m1XXvwAAAAAYAAAA/PwA/AACAAAAAAAA8L8Cy6FFtvN9C8AC+MJkqmBU5D8AAAAAGAAAAPz8APwAAgAAAAAAAPC/Aqrx0k1ikATAAnxhMlUwKvI/AAAAABgAAAD8/AD8AAIAAAAAAADwvwLMf0i/fR3uPwLqlbIMcazwPwAAAAAYAAAA/PwA/AACAAAAAAAA8L8CFvvL7snD+T8CxY8xdy0h0z8AAAAAAREAAAD8/AD8AAIAAAAAAADwvwLyY8xdS0gPQAJ8YTJVMCrBvwAAAAABFAAEAWUEAAAAAAAAAAAECAFlBAAAAAAAAAAACAwBZQgIAAAAAAAAAAwQAWUEAAAAAAAAAAAQFAFlCAwAAAAAAAAAFBgBZQQAAAAAAAAAABgcAWUIAAAAAAAAAAAYIAFlBAAAAAAAAAAAICQBZQQAAAAAAAAAACQoAWUEAAAAAAAAAAAoLAFlBAAAAAAAAAAALDABZQQAAAAAAAAAADA0AWUEAAAAAAAAAAA0OAFlBAAAAAAAAAAAODwBZQQAAAAAAAAAADwoAWUEAAAAAAAAAAAgARABZQQAAAAAAAAAAAEQAREBZQQAAAAAAAAAAAERBAFlCAgAAAAAAAAAAREUAWUEAAAAAAAAAAAAAAAA</t>
        </r>
      </text>
    </comment>
    <comment ref="A980" authorId="0" shapeId="0" xr:uid="{CB755264-D954-4D13-828B-59E637840D59}">
      <text>
        <r>
          <rPr>
            <sz val="9"/>
            <color indexed="81"/>
            <rFont val="MS P ゴシック"/>
            <family val="3"/>
            <charset val="128"/>
          </rPr>
          <t>Insight iXlW00001C0000980R0585476093S00001958P01236LAocjBAQBF1NjaVRlZ2ljLmRhdGEuTW9sZWN1bGUBbwF/ARJTY2lUZWdpYy5Nb2xlY3VsZQAAAQFkAv5qAQAAAAIAAgEQHAAAAPz8APwAAgAAAAAAAPC/AjerPldbsfY/ApX2Bl+YzADAAAAAABgAAAD8/AD8AAIAAAAAAADwvwKYbhKDwEoBQAL5MeauJeT2vwAAAAAYAAAA/PwA/AACAAAAAAAA8L8CGXPXEvJB/z8CutqK/WX33L8AAAAAGAAAAPz8APwAAgAAAAAAAPC/AiWX/5B++wRAAintDb4wmdI/AAAAABwAAAD8/AD8AAIAAAAAAADwvwLswDkjSvsAQAKM22gAb4HyPwAAAAAYAAAA/PwA/AACAAAAAAAA8L8CjgbwFkhQ8j8CCYofY+5a7j8AAAAAHAAAAPz8APwAAgAAAAAAAPC/AhUdyeU/pPA/AhdIUPwYc6e/AAAAABgAAAD8/AD8AAIAAAAAAADwvwKb5h2n6EjGPwKCBMWPMXfhvwAAAAAYAAAA/PwA/AACAAAAAAAA8L8C3UYDeAsk5r8CF0hQ/Bhzp78AAAAAGAAAAPz8APwAAgAAAAAAAPC/At1GA3gLJOa/An/7OnDOiO4/AAAAABgAAAD8/AD8AAIAAAAAAADwvwKwA+eMKO34vwLAfR04Z0T3PwAAAAAYAAAA/PwA/AACAAAAAAAA8L8C+THmriVkA8ACf/s6cM6I7j8AAAAAGAAAAPz8APwAAgAAAAAAAPC/Avkx5q4lZAPAAhdIUPwYc6e/AAAAAAERAAAA/PwA/AACAAAAAAAA8L8CUrgehetRCsACggTFjzF34b8AAAAAGAAAAPz8APwAAgAAAAAAAPC/ArAD54wo7fi/AoIExY8xd+G/AAAAAAERAAAA/PwA/AACAAAAAAAA8L8Ci/1l9+RhC0AC8YXJVMGo1L8AAAAAARAABAFlBAAAAAAAAAAABAgBZQQAAAAAAAAAAAgMAWUIDAAAAAAAAAAMEAFlBAAAAAAAAAAAEBQBZQgIAAAAAAAAABQYAWUEAAAAAAAAAAAYCAFlBAAAAAAAAAAAGBwBZQQAAAAAAAAAABwgAWUEAAAAAAAAAAAgJAFlCAwAAAAAAAAAJCgBZQQAAAAAAAAAACgsAWUICAAAAAAAAAAsMAFlBAAAAAAAAAAAMDQBZQQAAAAAAAAAADA4AWUICAAAAAAAAAA4IAFlBAAAAAAAAAAAAAAAAA==</t>
        </r>
      </text>
    </comment>
    <comment ref="A981" authorId="0" shapeId="0" xr:uid="{EDDDE501-BB75-4BE4-BA97-B4697253CB63}">
      <text>
        <r>
          <rPr>
            <sz val="9"/>
            <color indexed="81"/>
            <rFont val="MS P ゴシック"/>
            <family val="3"/>
            <charset val="128"/>
          </rPr>
          <t>Insight iXlW00001C0000981R0585476093S00001960P01832LAocjBAQBF1NjaVRlZ2ljLmRhdGEuTW9sZWN1bGUBbwF/ARJTY2lUZWdpYy5Nb2xlY3VsZQAAAQFkAv5qAQAAAAIAAgEYGAAAAPz8APwAAgAAAAAAAPC/AqFns+pzNQHAAndPHhZqTdM/AAAAABwAAAD8/AD8AAIAAAAAAADwvwJCz2bV52ryvwJ3Tx4Wak3TPwAAAAAYAAAA/PwA/AACAAAAAAAA8L8CfGEyVTAq6z8Cd08eFmpN0z8AAAAAIAAAAPz8APwAAgAAAAAAAPC/AqFns+pzNQXAAsiYu5aQD+K/AAAAABgAAAD8/AD8AAIAAAAAAADwvwLImLuWkA/3PwJZF7fRAN7+PwAAAAAYAAAA/PwA/AACAAAAAAAA8L8CZvfkYaHW+T8C8fRKWYY47j8AAAAAGAAAAPz8APwAAgAAAAAAAPC/AtejcD0K1/k/AvVKWYY41tW/AAAAACAAAAD8/AD8AAIAAAAAAADwvwKhZ7PqczUFwAIf9GxWfa7yPwAAAAAYAAAA/PwA/AACAAAAAAAA8L8ChJ7Nqs/V5L8CyJi7lpAP4r8AAAAAGAAAAPz8APwAAgAAAAAAAPC/AoSezarP1eS/Ah/0bFZ9rvI/AAAAABgAAAD8/AD8AAIAAAAAAADwvwL5wmSqYFTWPwLImLuWkA/ivwAAAAAYAAAA/PwA/AACAAAAAAAA8L8C+cJkqmBU1j8CH/RsVn2u8j8AAAAAGAAAAPz8APwAAgAAAAAAAPC/AqFns+pzNQ3AAsiYu5aQD+K/AAAAACAAAAD8/AD8AAIAAAAAAADwvwIijnVxGw3gPwLQZtXnaisCQAAAAAAYAAAA/PwA/AACAAAAAAAA8L8CyJi7lpAP9z8Cnu+nxks39b8AAAAAGAAAAPz8APwAAgAAAAAAAPC/Ao/k8h/SbwRAAi1DHOviNko/AAAAABgAAAD8/AD8AAIAAAAAAADwvwKUGARWDi0JQAKCc0aU9gb6vwAAAAAgAAAA/PwA/AACAAAAAAAA8L8CuK8D54yoAUAC+n5qvHSTBEAAAAAAGAAAAPz8APwAAgAAAAAAAPC/AhueXinLkApAAkOtad5xiuS/AAAAABgAAAD8/AD8AAIAAAAAAADwvwK4rwPnjKgBQALIKTqSy3//vwAAAAABEQAAAPz8APwAAgAAAAAAAPC/AiDSb18HTg9AAg8tsp3vJwLAAAAAABgAAAD8/AD8AAIAAAAAAADwvwKhZ7PqczUNwAJkzF1LyAf5vwAAAAAYAAAA/PwA/AACAAAAAAAA8L8C0bNZ9bmaEsACyJi7lpAP4r8AAAAAGAAAAPz8APwAAgAAAAAAAPC/AqFns+pzNQ3AAnHOiNLe4Ns/AAAAAAEZBAABZQQAAAAAAAAAAAgsAWUEAAAAAAAAAAAMAAFlBAAAAAAAAAAAEBQBZQQAAAAAAAAAABQIAWUEAAAAAAAAAAAYCAFlBAAAAAAAAAAAHAABZQgAAAAAAAAAACAEAWUEAAAAAAAAAAAkBAFlBAAAAAAAAAAAKCABZQQAAAAAAAAAACwkAWUEAAAAAAAAAAAwDAFlBAAAAAAAAAAANBABZQgAAAAAAAAAADgYAWUIDAAAAAAAAAA8GAFlBAAAAAAAAAAAARABEgFlBAAAAAAAAAAAAREQAWUEAAAAAAAAAAABEjwBZQgIAAAAAAAAAAETOAFlBAAAAAAAAAAAARQBEAFlBAAAAAAAAAAAARUwAWUEAAAAAAAAAAABFjABZQQAAAAAAAAAAAEXMAFlBAAAAAAAAAAACCgBZQQAAAAAAAAAAAETARABZQgIAAAAAAAAAAAAAAA=</t>
        </r>
      </text>
    </comment>
    <comment ref="A982" authorId="0" shapeId="0" xr:uid="{24D74EAB-96E9-4F9D-BAE9-BB1815B38786}">
      <text>
        <r>
          <rPr>
            <sz val="9"/>
            <color indexed="81"/>
            <rFont val="MS P ゴシック"/>
            <family val="3"/>
            <charset val="128"/>
          </rPr>
          <t>Insight iXlW00001C0000982R0585476093S00001962P00808LAocjBAQBF1NjaVRlZ2ljLmRhdGEuTW9sZWN1bGUBbwF/ARJTY2lUZWdpYy5Nb2xlY3VsZQAAAQFkAv5qAQAAAAIAAigcAAAA/PwA/AACAAAAAAAA8L8CBOeMKO2NAMACf/s6cM6Iyr8AAAAAGAAAAPz8APwAAgAAAAAAAPC/AsZtNIC3QPO/AkGC4seYu9I/AAAAABgAAAD8/AD8AAIAAAAAAADwvwKM22gAb4HmvwLSAN4CCYryPwAAAAAYAAAA/PwA/AACAAAAAAAA8L8CL26jAbwFyr8CfdCzWfW50j8AAAAAGAAAAPz8APwAAgAAAAAAAPC/AvjkYaHWNOU/Aj/o2az6XOk/AAAAABgAAAD8/AD8AAIAAAAAAADwvwK+UpYhjnX4PwJBguLHmLvSPwAAAAAgAAAA/PwA/AACAAAAAAAA8L8CvlKWIY51+D8C4L4OnDOi5r8AAAAAGAAAAPz8APwAAgAAAAAAAPC/AvjkYaHWNOU/AnBfB84ZUfO/AAAAABgAAAD8/AD8AAIAAAAAAADwvwK30QDeAgnKvwLgvg6cM6LmvwAAAAABEQAAAPz8APwAAgAAAAAAAPC/AsWPMXctoQJAAsTTK2UZ4pi/AAAAACgEAAFlBAAAAAAAAAAABAgBZQQAAAAAAAAAAAgMAWUEAAAAAAAAAAAMBAFlBAAAAAAAAAAADBABZQQAAAAAAAAAABAUAWUEAAAAAAAAAAAUGAFlBAAAAAAAAAAAGBwBZQQAAAAAAAAAABwgAWUEAAAAAAAAAAAgDAFlBAAAAAAAAAAAAAAAAA==</t>
        </r>
      </text>
    </comment>
    <comment ref="A983" authorId="0" shapeId="0" xr:uid="{6CAACA2C-3CAF-47FC-9F6E-8A6377ADAE86}">
      <text>
        <r>
          <rPr>
            <sz val="9"/>
            <color indexed="81"/>
            <rFont val="MS P ゴシック"/>
            <family val="3"/>
            <charset val="128"/>
          </rPr>
          <t>Insight iXlW00001C0000983R0585476093S00001964P01320LAocjBAQBF1NjaVRlZ2ljLmRhdGEuTW9sZWN1bGUBbwF/ARJTY2lUZWdpYy5Nb2xlY3VsZQAAAQFkAv5qAQAAAAIBAgERJAAAAPz8APwAAgAAAAAAAPC/AoPAyqFFtgvAAsP1KFyPwvC/AAAAABgAAAD8/AD8AAIAAAAAAADwvwIqOpLLf8gEwAKF61G4HoXhvwAAAAAYAAAA/PwA/AACAAAAAAAA8L8CKjqSy3/IBMAC9ihcj8L13D8AAAAAGAAAAPz8APwAAgAAAAAAAPC/AhIUP8bctfu/AnsUrkfheu4/AAAAABgAAAD8/AD8AAIAAAAAAADwvwKhZ7Pqc7XrvwL2KFyPwvXcPwAAAAAYAAAA/PwA/AACAAAAAAAA8L8C5IOezarPtT8Cku18PzVe6D8AAAAAIAAAAPz8APwAAgAAAAAAAPC/AiZTBaOSOtk/AtgS8kHPZvs/AAAAABwAAAD8/AD8AAIAAAAAAADwvwLwp8ZLN4nlPwJSuB6F61GovwAAAAAYAAAA/PwA/AACAAAAAAAA8L8C5IOezarPtT8CnMQgsHJo678AAAAAGAAAAPz8APwAAgAAAAAAAPC/AqFns+pzteu/AoXrUbgeheG/AAAAABgAAAD8/AD8AAIAAAAAAADwvwISFD/G3LX7vwLD9Shcj8LwvwAAAAAYDAAA/PwA/AACAAAAAAAA8L8C+FPjpZvE+j8CUrgehetRqL8AAAAAGAAAAPz8APwAAgAAAAAAAPC/Atlfdk8eFgJAApLtfD81Xug/AAAAABgAAAD8/AD8AAIAAAAAAADwvwKoV8oyxLEJQAIydy0hH/TcPwAAAAAcAAAA/PwA/AACAAAAAAAA8L8CqFfKMsSxCUAChetRuB6F4b8AAAAAGAAAAPz8APwAAgAAAAAAAPC/Atlfdk8eFgJAApzEILByaOu/AAAAAAERAAAA/PwA/AACAAAAAAAA8L8CB1+YTBUMEEACSOF6FK5H1T8AAAAAARIABAFlBAAAAAAAAAAABAgBZQQAAAAAAAAAAAgMAWUICAAAAAAAAAAMEAFlBAAAAAAAAAAAEBQBZQQAAAAAAAAAABQYAWUIAAAAAAAAAAAUHAFlBAAAAAAAAAAAHCABZQQAAAAAAAAAACAkAWUEAAAAAAAAAAAkEAFlCAwAAAAAAAAAJCgBZQQAAAAAAAAAACgEAWUIDAAAAAAAAAAsHAFlBBQAAAAAAAAALDABZQQAAAAAAAAAADA0AWUEAAAAAAAAAAA0OAFlBAAAAAAAAAAAODwBZQQAAAAAAAAAADwsAWUEAAAAAAAAAAAAAAAA</t>
        </r>
      </text>
    </comment>
    <comment ref="A984" authorId="0" shapeId="0" xr:uid="{BB7189D3-D0E0-4099-A34B-CA736F9B823B}">
      <text>
        <r>
          <rPr>
            <sz val="9"/>
            <color indexed="81"/>
            <rFont val="MS P ゴシック"/>
            <family val="3"/>
            <charset val="128"/>
          </rPr>
          <t>Insight iXlW00001C0000984R0585476093S00001966P01020LAocjBAQBF1NjaVRlZ2ljLmRhdGEuTW9sZWN1bGUBbwF/ARJTY2lUZWdpYy5Nb2xlY3VsZQAAAQFkAv5qAQAAAAIAAjQYAAAA/PwA/AACAAAAAAAA8L8ClBgEVg4tAcAC3UYDeAsk6r8AAAAAGAAAAPz8APwAAgAAAAAAAPC/AmwJ+aBns/K/ArByaJHtfOO/AAAAABgAAAD8/AD8AAIAAAAAAADwvwKCc0aU9gbxvwJ56SYxCKzYPwAAAAAYAAAA/PwA/AACAAAAAAAA8L8C93XgnBGl/78CmN2Th4Va6T8AAAAAHAAAAPz8APwAAgAAAAAAAPC/AltCPujZLAXAAmyad5yiI6k/AAAAACAAAAD8/AD8AAIAAAAAAADwvwIDmggbnl7JvwK9dJMYBFbsPwAAAAAYAAAA/PwA/AACAAAAAAAA8L8CA5oIG55e5T8CPZtVn6ut2D8AAAAAGAAAAPz8APwAAgAAAAAAAPC/AgOaCBueXuU/AmIyVTAqqeO/AAAAABwAAAD8/AD8AAIAAAAAAADwvwJDrWnecYr4PwIxmSoYldTxvwAAAAAYAAAA/PwA/AACAAAAAAAA8L8CwoanV8oyA0ACYjJVMCqp478AAAAAGAAAAPz8APwAAgAAAAAAAPC/AsKGp1fKMgNAAj2bVZ+rrdg/AAAAABwAAAD8/AD8AAIAAAAAAADwvwJDrWnecYr4PwKfzarP1VbsPwAAAAABEQAAAPz8APwAAgAAAAAAAPC/AintDb4wmQlAAgyTqYJRSb2/AAAAADQABAFlBAAAAAAAAAAABAgBZQQAAAAAAAAAAAgMAWUEAAAAAAAAAAAMEAFlBAAAAAAAAAAAEAABZQQAAAAAAAAAAAgUAWUEAAAAAAAAAAAUGAFlBAAAAAAAAAAAGBwBZQgMAAAAAAAAABwgAWUEAAAAAAAAAAAgJAFlCAgAAAAAAAAAJCgBZQQAAAAAAAAAACgsAWUICAAAAAAAAAAsGAFlBAAAAAAAAAAAAAAAAA==</t>
        </r>
      </text>
    </comment>
    <comment ref="A985" authorId="0" shapeId="0" xr:uid="{AC71FAF2-BFD1-4B32-800D-49B130B74D76}">
      <text>
        <r>
          <rPr>
            <sz val="9"/>
            <color indexed="81"/>
            <rFont val="MS P ゴシック"/>
            <family val="3"/>
            <charset val="128"/>
          </rPr>
          <t>Insight iXlW00001C0000985R0585476093S00001968P01160LAocjBAQBF1NjaVRlZ2ljLmRhdGEuTW9sZWN1bGUBbwF/ARJTY2lUZWdpYy5Nb2xlY3VsZQAAAQFkAv5qAQAAAAIAAjwYAAAA/PwA/AACAAAAAAAA8L8CDJOpglHJB8ACjSjtDb4w7T8AAAAAIAAAAPz8APwAAgAAAAAAAPC/AhgmUwWjkv+/Ao0o7Q2+MO0/AAAAABgAAAD8/AD8AAIAAAAAAADwvwIYJlMFo5L3vwKegCbChqenPwAAAAAYAAAA/PwA/AACAAAAAAAA8L8CX5hMFYxK3r8CnoAmwoanpz8AAAAAGAAAAPz8APwAAgAAAAAAAPC/AhB6Nqs+V5s/AnpYqDXNO+q/AAAAACAAAAD8/AD8AAIAAAAAAADwvwLo2az6XG3wPwJ6WKg1zTvqvwAAAAAYAAAA/PwA/AACAAAAAAAA8L8C6dms+lxt+D8CnoAmwoanpz8AAAAAGAAAAPz8APwAAgAAAAAAAPC/AnulLEMc6/E/AhIUP8bcte4/AAAAABgAAAD8/AD8AAIAAAAAAADwvwJz1xLyQc/9PwI5RUdy+Q/6PwAAAAAcAAAA/PwA/AACAAAAAAAA8L8C2xt8YTLVBUACyJi7lpAP8j8AAAAAGAAAAPz8APwAAgAAAAAAAPC/AtBm1edqKwRAAu7rwDkjSsM/AAAAABgAAAD8/AD8AAIAAAAAAADwvwJfmEwVjErevwJ/jLlrCfn6vwAAAAAYAAAA/PwA/AACAAAAAAAA8L8CGCZTBaOS978Cf4y5awn5+r8AAAAAHAAAAPz8APwAAgAAAAAAAPC/AhgmUwWjkv+/AnpYqDXNO+q/AAAAAAERAAAA/PwA/AACAAAAAAAA8L8CQYLix5g7DEACyXa+nxovnb8AAAAAPAAEAWUEAAAAAAAAAAAECAFlBAAAAAAAAAAACAwBZQgMAAAAAAAAAAwQAWUEAAAAAAAAAAAQFAFlBAAAAAAAAAAAGBQBZQQAAAAAAAAAABgcAWUEAAAAAAAAAAAcIAFlBAAAAAAAAAAAICQBZQQAAAAAAAAAACQoAWUEAAAAAAAAAAAoGAFlBAAAAAAAAAAAECwBZQgIAAAAAAAAACwwAWUEAAAAAAAAAAAwNAFlCAgAAAAAAAAANAgBZQQAAAAAAAAAAAAAAAA=</t>
        </r>
      </text>
    </comment>
    <comment ref="A986" authorId="0" shapeId="0" xr:uid="{8890B503-EB17-4A9B-BD58-F26AA3AD476E}">
      <text>
        <r>
          <rPr>
            <sz val="9"/>
            <color indexed="81"/>
            <rFont val="MS P ゴシック"/>
            <family val="3"/>
            <charset val="128"/>
          </rPr>
          <t>Insight iXlW00001C0000986R0585476093S00001970P01396LAocjBAQBF1NjaVRlZ2ljLmRhdGEuTW9sZWN1bGUBbwF/ARJTY2lUZWdpYy5Nb2xlY3VsZQAAAQFkAv5qAQAAAAIBAgESJAAAAPz8APwAAgAAAAAAAPC/AouO5PIfUg3AAq8l5IOezeq/AAAAABgAAAD8/AD8AAIAAAAAAADwvwJq3nGKjmQGwAIi/fZ14JzVvwAAAAAYAAAA/PwA/AACAAAAAAAA8L8Cat5xio5kBsACb4EExY8x5T8AAAAAGAAAAPz8APwAAgAAAAAAAPC/ApJc/kP67f6/ArhAguLHmPI/AAAAABgAAAD8/AD8AAIAAAAAAADwvwJR/Bhz1xLxvwJvgQTFjzHlPwAAAAAYAAAA/PwA/AACAAAAAAAA8L8CGQRWDi2yvb8ChlrTvOMU7z8AAAAAHAAAAPz8APwAAgAAAAAAAPC/AuAtkKD4Md4/ArwFEhQ/xsQ/AAAAABgIAAD8/AD8AAIAAAAAAADwvwJ4CyQofoz3PwK8BRIUP8bEPwAAAAAYAAAA/PwA/AACAAAAAAAA8L8CeAskKH6M/z8CFD/G3LWE5r8AAAAAGAAAAPz8APwAAgAAAAAAAPC/ArwFEhQ/xgdAAjLmriXkg+a/AAAAABgAAAD8/AD8AAIAAAAAAADwvwK8BRIUP8YLQAJFaW/whcnEPwAAAAAcAAAA/PwA/AACAAAAAAAA8L8CvAUSFD/GB0ACak3zjlN08D8AAAAAGAAAAPz8APwAAgAAAAAAAPC/AngLJCh+jP8/AmpN845TdPA/AAAAABgAAAD8/AD8AAIAAAAAAADwvwIZBFYOLbK9vwKoV8oyxLHkvwAAAAAgAAAA/PwA/AACAAAAAAAA8L8CTmIQWDm0yD8CchsN4C2Q+b8AAAAAGAAAAPz8APwAAgAAAAAAAPC/AlH8GHPXEvG/AiL99nXgnNW/AAAAABgAAAD8/AD8AAIAAAAAAADwvwKSXP5D+u3+vwKRfvs6cM7qvwAAAAABEQAAAPz8APwAAgAAAAAAAPC/AhE2PL1SFhFAAuhqK/aX3cu/AAAAAAETAAQBZQQAAAAAAAAAAAQIAWUIDAAAAAAAAAAIDAFlBAAAAAAAAAAADBABZQgMAAAAAAAAABAUAWUEAAAAAAAAAAAUGAFlBAAAAAAAAAAAHBgBZQQUAAAAAAAAABwgAWUEAAAAAAAAAAAgJAFlBAAAAAAAAAAAJCgBZQQAAAAAAAAAACgsAWUEAAAAAAAAAAAsMAFlBAAAAAAAAAAAMBwBZQQAAAAAAAAAABg0AWUEAAAAAAAAAAA0OAFlCAAAAAAAAAAANDwBZQQAAAAAAAAAADwQAWUEAAAAAAAAAAA8ARABZQgMAAAAAAAAAAEQBAFlBAAAAAAAAAAAAAAAAA==</t>
        </r>
      </text>
    </comment>
    <comment ref="A987" authorId="0" shapeId="0" xr:uid="{8F20AB33-F293-4EE4-8876-7A5532FD134C}">
      <text>
        <r>
          <rPr>
            <sz val="9"/>
            <color indexed="81"/>
            <rFont val="MS P ゴシック"/>
            <family val="3"/>
            <charset val="128"/>
          </rPr>
          <t>Insight iXlW00001C0000987R0585476093S00001972P01396LAocjBAQBF1NjaVRlZ2ljLmRhdGEuTW9sZWN1bGUBbwF/ARJTY2lUZWdpYy5Nb2xlY3VsZQAAAQFkAv5qAQAAAAIBAgESJAAAAPz8APwAAgAAAAAAAPC/AouO5PIfUg3AAmUZ4lgXt/C/AAAAABgAAAD8/AD8AAIAAAAAAADwvwJq3nGKjmQGwALLMsSxLm7hvwAAAAAYAAAA/PwA/AACAAAAAAAA8L8Cat5xio5kBsACbJp3nKIj3T8AAAAAGAAAAPz8APwAAgAAAAAAAPC/ApJc/kP67f6/AjbNO07Rke4/AAAAABgAAAD8/AD8AAIAAAAAAADwvwJR/Bhz1xLxvwJsmnecoiPdPwAAAAAYAAAA/PwA/AACAAAAAAAA8L8CGQRWDi2yvb8CTaYKRiV16D8AAAAAIAAAAPz8APwAAgAAAAAAAPC/Ak5iEFg5tMg/AsRCrWnecfs/AAAAABwAAAD8/AD8AAIAAAAAAADwvwLgLZCg+DHePwKmLEMc6+KmvwAAAAAYAAAA/PwA/AACAAAAAAAA8L8CGQRWDi2yvb8C4QuTqYJR678AAAAAGAAAAPz8APwAAgAAAAAAAPC/AlH8GHPXEvG/AssyxLEubuG/AAAAABgAAAD8/AD8AAIAAAAAAADwvwKSXP5D+u3+vwJlGeJYF7fwvwAAAAAYCAAA/PwA/AACAAAAAAAA8L8CeAskKH6M9z8CpixDHOvipr8AAAAAGAAAAPz8APwAAgAAAAAAAPC/AngLJCh+jP8/Ak7zjlN0JO2/AAAAABgAAAD8/AD8AAIAAAAAAADwvwK8BRIUP8YHQAJO845TdCTtvwAAAAAYAAAA/PwA/AACAAAAAAAA8L8CvAUSFD/GC0ACpixDHOvipr8AAAAAHAAAAPz8APwAAgAAAAAAAPC/ArwFEhQ/xgdAArmNBvAWSOo/AAAAABgAAAD8/AD8AAIAAAAAAADwvwJ4CyQofoz/PwK5jQbwFkjqPwAAAAABEQAAAPz8APwAAgAAAAAAAPC/AhE2PL1SFhFAAr5SliGOddU/AAAAAAETAAQBZQQAAAAAAAAAAAQIAWUEAAAAAAAAAAAIDAFlCAgAAAAAAAAADBABZQQAAAAAAAAAABAUAWUEAAAAAAAAAAAUGAFlCAAAAAAAAAAAFBwBZQQAAAAAAAAAABwgAWUEAAAAAAAAAAAgJAFlBAAAAAAAAAAAJBABZQgMAAAAAAAAACQoAWUEAAAAAAAAAAAoBAFlCAwAAAAAAAAALBwBZQQUAAAAAAAAACwwAWUEAAAAAAAAAAAwNAFlBAAAAAAAAAAANDgBZQQAAAAAAAAAADg8AWUEAAAAAAAAAAA8ARABZQQAAAAAAAAAAAEQLAFlBAAAAAAAAAAAAAAAAA==</t>
        </r>
      </text>
    </comment>
    <comment ref="A988" authorId="0" shapeId="0" xr:uid="{B4D77AD6-0A1D-47F6-9DEA-C6D143C1A71C}">
      <text>
        <r>
          <rPr>
            <sz val="9"/>
            <color indexed="81"/>
            <rFont val="MS P ゴシック"/>
            <family val="3"/>
            <charset val="128"/>
          </rPr>
          <t>Insight iXlW00001C0000988R0585476093S00001974P01396LAocjBAQBF1NjaVRlZ2ljLmRhdGEuTW9sZWN1bGUBbwF/ARJTY2lUZWdpYy5Nb2xlY3VsZQAAAQFkAv5qAQAAAAIBAgESJAAAAPz8APwAAgAAAAAAAPC/AouO5PIfUg3AAmUZ4lgXt/C/AAAAABgAAAD8/AD8AAIAAAAAAADwvwJq3nGKjmQGwALLMsSxLm7hvwAAAAAYAAAA/PwA/AACAAAAAAAA8L8Cat5xio5kBsACbJp3nKIj3T8AAAAAGAAAAPz8APwAAgAAAAAAAPC/ApJc/kP67f6/AjbNO07Rke4/AAAAABgAAAD8/AD8AAIAAAAAAADwvwJR/Bhz1xLxvwJsmnecoiPdPwAAAAAYAAAA/PwA/AACAAAAAAAA8L8CGQRWDi2yvb8CTaYKRiV16D8AAAAAIAAAAPz8APwAAgAAAAAAAPC/Ak5iEFg5tMg/AsRCrWnecfs/AAAAABwAAAD8/AD8AAIAAAAAAADwvwLgLZCg+DHePwKmLEMc6+KmvwAAAAAYAAAA/PwA/AACAAAAAAAA8L8CGQRWDi2yvb8C4QuTqYJR678AAAAAGAAAAPz8APwAAgAAAAAAAPC/AlH8GHPXEvG/AssyxLEubuG/AAAAABgAAAD8/AD8AAIAAAAAAADwvwKSXP5D+u3+vwJlGeJYF7fwvwAAAAAYDAAA/PwA/AACAAAAAAAA8L8CeAskKH6M9z8CpixDHOvipr8AAAAAGAAAAPz8APwAAgAAAAAAAPC/AngLJCh+jP8/Ak7zjlN0JO2/AAAAABgAAAD8/AD8AAIAAAAAAADwvwK8BRIUP8YHQAJO845TdCTtvwAAAAAYAAAA/PwA/AACAAAAAAAA8L8CvAUSFD/GC0ACpixDHOvipr8AAAAAHAAAAPz8APwAAgAAAAAAAPC/ArwFEhQ/xgdAArmNBvAWSOo/AAAAABgAAAD8/AD8AAIAAAAAAADwvwJ4CyQofoz/PwK5jQbwFkjqPwAAAAABEQAAAPz8APwAAgAAAAAAAPC/AhE2PL1SFhFAAr5SliGOddU/AAAAAAETAAQBZQQAAAAAAAAAAAQIAWUEAAAAAAAAAAAIDAFlCAgAAAAAAAAADBABZQQAAAAAAAAAABAUAWUEAAAAAAAAAAAUGAFlCAAAAAAAAAAAFBwBZQQAAAAAAAAAABwgAWUEAAAAAAAAAAAgJAFlBAAAAAAAAAAAJBABZQgMAAAAAAAAACQoAWUEAAAAAAAAAAAoBAFlCAwAAAAAAAAALBwBZQQQAAAAAAAAACwwAWUEAAAAAAAAAAAwNAFlBAAAAAAAAAAANDgBZQQAAAAAAAAAADg8AWUEAAAAAAAAAAA8ARABZQQAAAAAAAAAAAEQLAFlBAAAAAAAAAAAAAAAAA==</t>
        </r>
      </text>
    </comment>
    <comment ref="A989" authorId="0" shapeId="0" xr:uid="{70A7FB57-5111-4E07-A9C4-3B805D9235A8}">
      <text>
        <r>
          <rPr>
            <sz val="9"/>
            <color indexed="81"/>
            <rFont val="MS P ゴシック"/>
            <family val="3"/>
            <charset val="128"/>
          </rPr>
          <t>Insight iXlW00001C0000989R0585476093S00001976P01116LAocjBAQBF1NjaVRlZ2ljLmRhdGEuTW9sZWN1bGUBbwF/ARJTY2lUZWdpYy5Nb2xlY3VsZQAAAQFkAv5qAQAAAAIAAjwkAAAA/PwA/AACAAAAAAAA8L8CQYLix5i7CUABAAAAABgAAAD8/AD8AAIAAAAAAADwvwIg0m9fB84CQAIAAAAAAADgPwAAAAAYAAAA/PwA/AACAAAAAAAA8L8C/0P67evA9z8BAAAAABgAAAD8/AD8AAIAAAAAAADwvwJ6xyk6ksvjPwIAAAAAAADgPwAAAAAYAAAA/PwA/AACAAAAAAAA8L8CescpOpLL4z8CAAAAAAAA4L8AAAAAIAAAAPz8APwAAgAAAAAAAPC/Aibkg57Nqs+/AgAAAAAAAPC/AAAAABgAAAD8/AD8AAIAAAAAAADwvwI4iUFg5dDxvwIAAAAAAADgvwAAAAAYAAAA/PwA/AACAAAAAAAA8L8Cxty1hHzQ8b8CAAAAAAAA4D8AAAAAGAAAAPz8APwAAgAAAAAAAPC/AnnpJjEIrP+/AQAAAAAYAAAA/PwA/AACAAAAAAAA8L8C3SQGgZXDBsACAAAAAAAA4D8AAAAAHAAAAPz8APwAAgAAAAAAAPC/At0kBoGVwwbAAgAAAAAAAOC/AAAAABgAAAD8/AD8AAIAAAAAAADwvwJ56SYxCKz/vwIAAAAAAADwvwAAAAAcAAAA/PwA/AACAAAAAAAA8L8C/0P67evA9z8CAAAAAAAA8L8AAAAAGAAAAPz8APwAAgAAAAAAAPC/AiDSb18HzgJAAgAAAAAAAOC/AAAAAAERAAAA/PwA/AACAAAAAAAA8L8CVHQkl/8QEEAAAAAAADwABAFlBAAAAAAAAAAABAgBZQgMAAAAAAAAAAgMAWUEAAAAAAAAAAAMEAFlCAwAAAAAAAAAEBQBZQQAAAAAAAAAABgUAWUEAAAAAAAAAAAYHAFlBAAAAAAAAAAAHCABZQQAAAAAAAAAACAkAWUEAAAAAAAAAAAkKAFlBAAAAAAAAAAAKCwBZQQAAAAAAAAAACwYAWUEAAAAAAAAAAAQMAFlBAAAAAAAAAAAMDQBZQgIAAAAAAAAADQEAWUEAAAAAAAAAAAAAAAA</t>
        </r>
      </text>
    </comment>
    <comment ref="A990" authorId="0" shapeId="0" xr:uid="{1CCA40B7-48BE-4DA3-9DBD-518E48F8822A}">
      <text>
        <r>
          <rPr>
            <sz val="9"/>
            <color indexed="81"/>
            <rFont val="MS P ゴシック"/>
            <family val="3"/>
            <charset val="128"/>
          </rPr>
          <t>Insight iXlW00001C0000990R0585476093S00001978P01468LAocjBAQBF1NjaVRlZ2ljLmRhdGEuTW9sZWN1bGUBbwF/ARJTY2lUZWdpYy5Nb2xlY3VsZQAAAQFkAv5qAQAAAAIAAgETJAAAAPz8APwAAgAAAAAAAPC/AigPC7Wm+Q3AAiigibDh6fm/AAAAABgAAAD8/AD8AAIAAAAAAADwvwIHX5hMFQwHwAIooImw4enxvwAAAAAYAAAA/PwA/AACAAAAAAAA8L8CB1+YTBUMB8ACdgKaCBuevr8AAAAAGAAAAPz8APwAAgAAAAAAAPC/AuauJeSDHgDAAmN/2T15WNg/AAAAABgAAAD8/AD8AAIAAAAAAADwvwKL/WX35GHyvwJ2ApoIG56+vwAAAAAYAAAA/PwA/AACAAAAAAAA8L8C4QuTqYJRyb8CIGPuWkI+yD8AAAAAIAAAAPz8APwAAgAAAAAAAPC/AgR4CyQofrw/AnNoke18P/I/AAAAABwAAAD8/AD8AAIAAAAAAADwvwL2KFyPwvXYPwJPQBNhw9PjvwAAAAAYAAAA/PwA/AACAAAAAAAA8L8CPgrXo3A99j8CT0ATYcPT478AAAAAGAAAAPz8APwAAgAAAAAAAPC/Aj4K16NwPf4/AtIA3gIJis8/AAAAABgAAAD8/AD8AAIAAAAAAADwvwKvtmJ/2T32PwLNzMzMzMzxPwAAAAAYAAAA/PwA/AACAAAAAAAA8L8Cr7Zif9k9/j8CDy2yne+n/z8AAAAAHAAAAPz8APwAAgAAAAAAAPC/Ah+F61G4HgdAAg8tsp3vp/8/AAAAABgAAAD8/AD8AAIAAAAAAADwvwIfhetRuB4LQALNzMzMzMzxPwAAAAAYAAAA/PwA/AACAAAAAAAA8L8CH4XrUbgeB0ACW2Q730+Nzz8AAAAAGAAAAPz8APwAAgAAAAAAAPC/AuELk6mCUcm/ArMMcayL2/a/AAAAABgAAAD8/AD8AAIAAAAAAADwvwKL/WX35GHyvwIooImw4enxvwAAAAAYAAAA/PwA/AACAAAAAAAA8L8C5q4l5IMeAMACKKCJsOHp+b8AAAAAAREAAAD8/AD8AAIAAAAAAADwvwLD9Shcj8IQQAJh5dAi2/nGPwAAAAABFAAEAWUEAAAAAAAAAAAECAFlCAwAAAAAAAAACAwBZQQAAAAAAAAAAAwQAWUIDAAAAAAAAAAQFAFlBAAAAAAAAAAAFBgBZQgAAAAAAAAAABQcAWUEAAAAAAAAAAAcIAFlBAAAAAAAAAAAICQBZQQAAAAAAAAAACQoAWUEAAAAAAAAAAAoLAFlBAAAAAAAAAAALDABZQQAAAAAAAAAADA0AWUEAAAAAAAAAAA0OAFlBAAAAAAAAAAAOCQBZQQAAAAAAAAAABw8AWUEAAAAAAAAAAA8ARABZQQAAAAAAAAAAAEQEAFlBAAAAAAAAAAAARABEQFlCAwAAAAAAAAAAREEAWUEAAAAAAAAAAAAAAAA</t>
        </r>
      </text>
    </comment>
    <comment ref="A991" authorId="0" shapeId="0" xr:uid="{DBF1452F-9705-45EB-B0BB-6157A5233709}">
      <text>
        <r>
          <rPr>
            <sz val="9"/>
            <color indexed="81"/>
            <rFont val="MS P ゴシック"/>
            <family val="3"/>
            <charset val="128"/>
          </rPr>
          <t>Insight iXlW00001C0000991R0585476093S00001980P01252LAocjBAQBF1NjaVRlZ2ljLmRhdGEuTW9sZWN1bGUBbwF/ARJTY2lUZWdpYy5Nb2xlY3VsZQAAAQFkAv5qAQAAAAIAAgEQHAAAAPz8APwAAgAAAAAAAPC/AicxCKwc2glAAljKMsSxLvO/AAAAABgAAAD8/AD8AAIAAAAAAADwvwIGgZVDi+wCQAKS7Xw/NV7mvwAAAAAYAAAA/PwA/AACAAAAAAAA8L8Co7Q3+MJk9j8CS3uDL0ym7r8AAAAAHAAAAPz8APwAAgAAAAAAAPC/AlXBqKROQPI/AoLix5i7loA/AAAAABgAAAD8/AD8AAIAAAAAAADwvwJgB84ZUdoAQAJKDAIrhxbRPwAAAAAYAAAA/PwA/AACAAAAAAAA8L8CTYQNT6+U0T8Cih9j7lpC4D8AAAAAHAAAAPz8APwAAgAAAAAAAPC/Ak2EDU+vlNE/AsWPMXctIfg/AAAAABgAAAD8/AD8AAIAAAAAAADwvwI/V1uxv+zivwLjx5i7lhAAQAAAAAAcAAAA/PwA/AACAAAAAAAA8L8C4QuTqYJR978CxY8xdy0h+D8AAAAAGAAAAPz8APwAAgAAAAAAAPC/AuELk6mCUfe/AqjGSzeJQeA/AAAAABgAAAD8/AD8AAIAAAAAAADwvwIRNjy9UpYCwAL8qfHSTWKAPwAAAAAYAAAA/PwA/AACAAAAAAAA8L8CETY8vVKWAsACduCcEaW9778AAAAAGAAAAPz8APwAAgAAAAAAAPC/AuELk6mCUfe/AjtwzojS3ve/AAAAABgAAAD8/AD8AAIAAAAAAADwvwI/V1uxv+zivwJ24JwRpb3vvwAAAAAYAAAA/PwA/AACAAAAAAAA8L8CP1dbsb/s4r8C/Knx0k1igD8AAAAAAREAAAD8/AD8AAIAAAAAAADwvwLHSzeJQSAQQAIUP8bctYTQPwAAAAABEQAEAWUEAAAAAAAAAAAECAFlBAAAAAAAAAAACAwBZQQAAAAAAAAAAAwQAWUEAAAAAAAAAAAQBAFlBAAAAAAAAAAADBQBZQQAAAAAAAAAABQYAWUEAAAAAAAAAAAYHAFlCAgAAAAAAAAAHCABZQQAAAAAAAAAACAkAWUIDAAAAAAAAAAkKAFlBAAAAAAAAAAAKCwBZQgIAAAAAAAAACwwAWUEAAAAAAAAAAAwNAFlCAgAAAAAAAAANDgBZQQAAAAAAAAAADgUAWUICAAAAAAAAAA4JAFlBAAAAAAAAAAAAAAAAA==</t>
        </r>
      </text>
    </comment>
    <comment ref="A992" authorId="0" shapeId="0" xr:uid="{DD612796-44D3-489C-94A8-CEEA9132E488}">
      <text>
        <r>
          <rPr>
            <sz val="9"/>
            <color indexed="81"/>
            <rFont val="MS P ゴシック"/>
            <family val="3"/>
            <charset val="128"/>
          </rPr>
          <t>Insight iXlW00001C0000992R0585476093S00001982P01396LAocjBAQBF1NjaVRlZ2ljLmRhdGEuTW9sZWN1bGUBbwF/ARJTY2lUZWdpYy5Nb2xlY3VsZQAAAQFkAv5qAQAAAAIAAgESHAAAAPz8APwAAgAAAAAAAPC/AtuK/WX35OE/AgR4CyQofsy/AAAAABgAAAD8/AD8AAIAAAAAAADwvwIBb4EExY/3PwJrK/aX3ZPHPwAAAAAYAAAA/PwA/AACAAAAAAAA8L8CFvvL7snD8r8CBHgLJCh+zL8AAAAAGAAAAPz8APwAAgAAAAAAAPC/AlFrmnecotO/Av9D+u3rwNE/AAAAABgAAAD8/AD8AAIAAAAAAADwvwIW+8vuycPyvwIBb4EExY/zvwAAAAAYAAAA/PwA/AACAAAAAAAA8L8CF9nO91Pj+j8CKe0NvjCZ8j8AAAAAHAAAAPz8APwAAgAAAAAAAPC/AjEqqRPQRPo/As3MzMzMzPa/AAAAABgAAAD8/AD8AAIAAAAAAADwvwLrBDQRNjzlPwJGtvP91HjzvwAAAAAYAAAA/PwA/AACAAAAAAAA8L8CGJXUCWgiAUACF9nO91Pj4b8AAAAAIAAAAPz8APwAAgAAAAAAAPC/AjxO0ZFc/u0/AndPHhZqTf0/AAAAACQAAAD8/AD8AAIAAAAAAADwvwKu2F92Tx7GvwIBb4EExY/zvwAAAAAkAAAA/PwA/AACAAAAAAAA8L8CFvvL7snD8r8CgLdAguLHAcAAAAAAJAAAAPz8APwAAgAAAAAAAPC/Aov9ZffkYQHAAgFvgQTFj/O/AAAAACAAAAD8/AD8AAIAAAAAAADwvwJaZDvfTw0FQAK0WfW52or3PwAAAAAYAAAA/PwA/AACAAAAAAAA8L8CrK3YX3ZPAMAC/0P67evA0T8AAAAAGAAAAPz8APwAAgAAAAAAAPC/AlFrmnecotO/AgCRfvs6cPQ/AAAAABgAAAD8/AD8AAIAAAAAAADwvwKsrdhfdk8AwAIAkX77OnD0PwAAAAAYAAAA/PwA/AACAAAAAAAA8L8CFvvL7snD8r8CAJF++zpw/D8AAAAAARMEAAFlBAAAAAAAAAAACAwBZQQAAAAAAAAAAAwAAWUEAAAAAAAAAAAQCAFlBAAAAAAAAAAAFAQBZQQAAAAAAAAAABgcAWUICAAAAAAAAAAcAAFlBAAAAAAAAAAAIAQBZQgIAAAAAAAAACQUAWUIAAAAAAAAAAAoEAFlBAAAAAAAAAAALBABZQQAAAAAAAAAADAQAWUEAAAAAAAAAAA0FAFlBAAAAAAAAAAAOAgBZQgIAAAAAAAAADwMAWUICAAAAAAAAAABEAERAWUICAAAAAAAAAABETwBZQQAAAAAAAAAABggAWUEAAAAAAAAAAA4ARABZQQAAAAAAAAAAAAAAAA=</t>
        </r>
      </text>
    </comment>
    <comment ref="A993" authorId="0" shapeId="0" xr:uid="{0BA1C3B4-F703-4E1D-A33B-A9B108F51FE9}">
      <text>
        <r>
          <rPr>
            <sz val="9"/>
            <color indexed="81"/>
            <rFont val="MS P ゴシック"/>
            <family val="3"/>
            <charset val="128"/>
          </rPr>
          <t>Insight iXlW00001C0000993R0585476093S00001984P01392LAocjBAQBF1NjaVRlZ2ljLmRhdGEuTW9sZWN1bGUBbwF/ARJTY2lUZWdpYy5Nb2xlY3VsZQAAAQFkAv5qAQAAAAIAAgESGAAAAPz8APwAAgAAAAAAAPC/AiIf9GxWff4/AiZ1ApoIG+I/AAAAABwAAAD8/AD8AAIAAAAAAADwvwId6+I2GsDvPwIB3gIJih/vPwAAAAAYAAAA/PwA/AACAAAAAAAA8L8C9dvXgXPGA8ACAJF++zpw8L8AAAAAGAAAAPz8APwAAgAAAAAAAPC/ApzEILBy6ABAAqO0N/jCZNq/AAAAABwAAAD8/AD8AAIAAAAAAADwvwIp7Q2+MJkAQAJnZmZmZmYBQAAAAAAYAAAA/PwA/AACAAAAAAAA8L8CB1+YTBWM8T8CRrbz/dR4/z8AAAAAGAAAAPz8APwAAgAAAAAAAPC/AintDb4wmQRAAoxs5/up8fQ/AAAAABgAAAD8/AD8AAIAAAAAAADwvwJlqmBUUifAPwICvAUSFD/ePwAAAAAYAAAA/PwA/AACAAAAAAAA8L8CN6s+V1ux+b8C/yH99nXg4L8AAAAAIAAAAPz8APwAAgAAAAAAAPC/AqOSOgFNhAhAAmiz6nO1Fee/AAAAABgAAAD8/AD8AAIAAAAAAADwvwLqlbIMcaznvwIB3gIJih/vPwAAAAAYAAAA/PwA/AACAAAAAAAA8L8CZapgVFInwD8C/yH99nXg4L8AAAAAGAAAAPz8APwAAgAAAAAAAPC/AuqVsgxxrOe/AgCRfvs6cPC/AAAAABgAAAD8/AD8AAIAAAAAAADwvwI3qz5XW7H5vwICvAUSFD/ePwAAAAAkAAAA/PwA/AACAAAAAAAA8L8C6bevA+eM/78CQvFjzF1L/r8AAAAAJAAAAPz8APwAAgAAAAAAAPC/AhaMSuoEtArAAgCRfvs6cPi/AAAAACQAAAD8/AD8AAIAAAAAAADwvwL129eBc8YHwALxhclUwajEvwAAAAAgAAAA/PwA/AACAAAAAAAA8L8CP1dbsb/s9T8Cd08eFmpN8b8AAAAAARMEAAFlBAAAAAAAAAAACCABZQQAAAAAAAAAAAwAAWUEAAAAAAAAAAAQGAFlBAAAAAAAAAAAFAQBZQQAAAAAAAAAABgAAWUICAAAAAAAAAAcBAFlBAAAAAAAAAAAIDABZQQAAAAAAAAAACQMAWUIAAAAAAAAAAAoHAFlCAwAAAAAAAAALBwBZQQAAAAAAAAAADAsAWUICAAAAAAAAAA0KAFlBAAAAAAAAAAAOAgBZQQAAAAAAAAAADwIAWUEAAAAAAAAAAABEAgBZQQAAAAAAAAAAAERDAFlBAAAAAAAAAAAFBABZQgIAAAAAAAAADQgAWUIDAAAAAAAAAAAAAAA</t>
        </r>
      </text>
    </comment>
    <comment ref="A994" authorId="0" shapeId="0" xr:uid="{7C48EFEE-F4EF-42C9-9851-EC5BBAD32F77}">
      <text>
        <r>
          <rPr>
            <sz val="9"/>
            <color indexed="81"/>
            <rFont val="MS P ゴシック"/>
            <family val="3"/>
            <charset val="128"/>
          </rPr>
          <t>Insight iXlW00001C0000994R0585476093S00001986P01016LAocjBAQBF1NjaVRlZ2ljLmRhdGEuTW9sZWN1bGUBbwF/ARJTY2lUZWdpYy5Nb2xlY3VsZQAAAQFkAv5qAQAAAAIAAjQcAAAA/PwA/AACAAAAAAAA8L8CbVZ9rrZi578CH4XrUbge8r8AAAAAGAAAAPz8APwAAgAAAAAAAPC/AmN/2T152AHAAnWTGARWDtG/AAAAABgAAAD8/AD8AAIAAAAAAADwvwLG/rJ78rDzvwJ1kxgEVg7RvwAAAAAYAAAA/PwA/AACAAAAAAAA8L8CZapgVFInAkACq8/VVuwv4z8AAAAAIAAAAPz8APwAAgAAAAAAAPC/ApxVn6ut2AXAAh+F61G4HvK/AAAAACAAAAD8/AD8AAIAAAAAAADwvwLKVMGopE78PwJ1kxgEVg7RvwAAAAAYAAAA/PwA/AACAAAAAAAA8L8Ci/1l9+Rh578CyXa+nxov4z8AAAAAGAAAAPz8APwAAgAAAAAAAPC/AiZTBaOSOtE/Ah+F61G4HvK/AAAAABgAAAD8/AD8AAIAAAAAAADwvwKTqYJRSZ3oPwJ1kxgEVg7RvwAAAAAkAAAA/PwA/AACAAAAAAAA8L8CylTBqKRO/D8CF0hQ/Bhz9z8AAAAAJAAAAPz8APwAAgAAAAAAAPC/AmWqYFRSJwpAAqvP1VbsL+M/AAAAACAAAAD8/AD8AAIAAAAAAADwvwJjf9k9edgFwALJdr6fGi/jPwAAAAAYAAAA/PwA/AACAAAAAAAA8L8CJlMFo5I60T8Cq8/VVuwv4z8AAAAANAQIAWUEAAAAAAAAAAAIAAFlBAAAAAAAAAAADBQBZQQAAAAAAAAAABAEAWUIAAAAAAAAAAAUIAFlBAAAAAAAAAAAGAgBZQgMAAAAAAAAABwAAWUICAAAAAAAAAAgHAFlBAAAAAAAAAAAJAwBZQQAAAAAAAAAACgMAWUEAAAAAAAAAAAsBAFlBAAAAAAAAAAAMCABZQgMAAAAAAAAABgwAWUEAAAAAAAAAAAAAAAA</t>
        </r>
      </text>
    </comment>
    <comment ref="A995" authorId="0" shapeId="0" xr:uid="{3953A690-5EE4-44AA-90E4-10C277E188B6}">
      <text>
        <r>
          <rPr>
            <sz val="9"/>
            <color indexed="81"/>
            <rFont val="MS P ゴシック"/>
            <family val="3"/>
            <charset val="128"/>
          </rPr>
          <t>Insight iXlW00001C0000995R0585476093S00001988P01016LAocjBAQBF1NjaVRlZ2ljLmRhdGEuTW9sZWN1bGUBbwF/ARJTY2lUZWdpYy5Nb2xlY3VsZQAAAQFkAv5qAQAAAAIAAjQYAAAA/PwA/AACAAAAAAAA8L8CpAG8BRIU678CseHplbIMwT8AAAAAGAAAAPz8APwAAgAAAAAAAPC/AmFUUiegifW/AhdIUPwYc+e/AAAAABgAAAD8/AD8AAIAAAAAAADwvwJz+Q/pt6/DPwI5RUdy+Q/BPwAAAAAgAAAA/PwA/AACAAAAAAAA8L8CXf5D+u3r5D8CF0hQ/Bhz578AAAAAHAAAAPz8APwAAgAAAAAAAPC/AtIA3gIJivW/AvA4RUdy+e8/AAAAABgAAAD8/AD8AAIAAAAAAADwvwIv/yH99nX6PwIXSFD8GHPnvwAAAAAgAAAA/PwA/AACAAAAAAAA8L8CwqikTkAT678CTYQNT6+U+b8AAAAAJAAAAPz8APwAAgAAAAAAAPC/Apf/kH77OgFAArHh6ZWyDME/AAAAACQAAAD8/AD8AAIAAAAAAADwvwKX/5B++zoBQAJNhA1Pr5T5vwAAAAAgAAAA/PwA/AACAAAAAAAA8L8CMSqpE9DEAsACF0hQ/Bhz578AAAAAGAAAAPz8APwAAgAAAAAAAPC/Al3+Q/rt6+Q/AtKRXP5D+u8/AAAAABgAAAD8/AD8AAIAAAAAAADwvwKkAbwFEhTrvwK6/If029f9PwAAAAAYAAAA/PwA/AACAAAAAAAA8L8Cc/kP6bevwz8CK6kT0ETY/T8AAAAANAQAAWUEAAAAAAAAAAAIAAFlBAAAAAAAAAAADAgBZQQAAAAAAAAAABAAAWUIDAAAAAAAAAAUDAFlBAAAAAAAAAAAGAQBZQgAAAAAAAAAABwUAWUEAAAAAAAAAAAgFAFlBAAAAAAAAAAAJAQBZQQAAAAAAAAAACgIAWUICAAAAAAAAAAsEAFlBAAAAAAAAAAAMCwBZQgIAAAAAAAAACgwAWUEAAAAAAAAAAAAAAAA</t>
        </r>
      </text>
    </comment>
    <comment ref="A996" authorId="0" shapeId="0" xr:uid="{6FE1C470-658E-4084-ACCA-DDF64F0BE528}">
      <text>
        <r>
          <rPr>
            <sz val="9"/>
            <color indexed="81"/>
            <rFont val="MS P ゴシック"/>
            <family val="3"/>
            <charset val="128"/>
          </rPr>
          <t>Insight iXlW00001C0000996R0585476093S00001990P01016LAocjBAQBF1NjaVRlZ2ljLmRhdGEuTW9sZWN1bGUBbwF/ARJTY2lUZWdpYy5Nb2xlY3VsZQAAAQFkAv5qAQAAAAIAAjQYAAAA/PwA/AACAAAAAAAA8L8Cc/kP6bevw78COUVHcvkPwT8AAAAAGAAAAPz8APwAAgAAAAAAAPC/AqQBvAUSFOs/AjlFR3L5D8E/AAAAACAAAAD8/AD8AAIAAAAAAADwvwJd/kP67evkvwIXSFD8GHPnvwAAAAAYAAAA/PwA/AACAAAAAAAA8L8CYVRSJ6CJ9T8CF0hQ/Bhz578AAAAAGAAAAPz8APwAAgAAAAAAAPC/Ai//If32dfq/AhdIUPwYc+e/AAAAABwAAAD8/AD8AAIAAAAAAADwvwJd/kP67evkvwLwOEVHcvnvPwAAAAAgAAAA/PwA/AACAAAAAAAA8L8CMSqpE9DEAkACF0hQ/Bhz578AAAAAJAAAAPz8APwAAgAAAAAAAPC/Apf/kH77OgHAAk2EDU+vlPm/AAAAACQAAAD8/AD8AAIAAAAAAADwvwKX/5B++zoBwAKx4emVsgzBPwAAAAAgAAAA/PwA/AACAAAAAAAA8L8CwqikTkAT6z8CTYQNT6+U+b8AAAAAGAAAAPz8APwAAgAAAAAAAPC/AtIA3gIJivU/AtKRXP5D+u8/AAAAABgAAAD8/AD8AAIAAAAAAADwvwJz+Q/pt6/DvwIrqRPQRNj9PwAAAAAYAAAA/PwA/AACAAAAAAAA8L8CpAG8BRIU6z8CK6kT0ETY/T8AAAAANAQAAWUEAAAAAAAAAAAIAAFlBAAAAAAAAAAADAQBZQQAAAAAAAAAABAIAWUEAAAAAAAAAAAUAAFlCAgAAAAAAAAAGAwBZQgAAAAAAAAAABwQAWUEAAAAAAAAAAAgEAFlBAAAAAAAAAAAJAwBZQQAAAAAAAAAACgEAWUICAAAAAAAAAAsFAFlBAAAAAAAAAAAMCwBZQgIAAAAAAAAACgwAWUEAAAAAAAAAAAAAAAA</t>
        </r>
      </text>
    </comment>
    <comment ref="A997" authorId="0" shapeId="0" xr:uid="{CA529685-7B8F-4B0B-9289-B20E845125B5}">
      <text>
        <r>
          <rPr>
            <sz val="9"/>
            <color indexed="81"/>
            <rFont val="MS P ゴシック"/>
            <family val="3"/>
            <charset val="128"/>
          </rPr>
          <t>Insight iXlW00001C0000997R0585476093S00001992P01016LAocjBAQBF1NjaVRlZ2ljLmRhdGEuTW9sZWN1bGUBbwF/ARJTY2lUZWdpYy5Nb2xlY3VsZQAAAQFkAv5qAQAAAAIAAjQYAAAA/PwA/AACAAAAAAAA8L8Cxv6ye/Kw8z8CdZMYBFYO0T8AAAAAIAAAAPz8APwAAgAAAAAAAPC/AspUwaikTvy/AnWTGARWDtE/AAAAABgAAAD8/AD8AAIAAAAAAADwvwJjf9k9edgBQAJ1kxgEVg7RPwAAAAAcAAAA/PwA/AACAAAAAAAA8L8CJlMFo5I60b8Cq8/VVuwv478AAAAAGAAAAPz8APwAAgAAAAAAAPC/ApOpglFJnei/AnWTGARWDtE/AAAAABgAAAD8/AD8AAIAAAAAAADwvwJlqmBUUicCwAKrz9VW7C/jvwAAAAAYAAAA/PwA/AACAAAAAAAA8L8Ci/1l9+Rh5z8CyXa+nxov478AAAAAIAAAAPz8APwAAgAAAAAAAPC/ApxVn6ut2AVAAh+F61G4HvI/AAAAABgAAAD8/AD8AAIAAAAAAADwvwJtVn2utmLnPwIfhetRuB7yPwAAAAAYAAAA/PwA/AACAAAAAAAA8L8CJlMFo5I60b8CH4XrUbge8j8AAAAAJAAAAPz8APwAAgAAAAAAAPC/AspUwaikTvy/AhdIUPwYc/e/AAAAACQAAAD8/AD8AAIAAAAAAADwvwJlqmBUUicKwAKrz9VW7C/jvwAAAAAgAAAA/PwA/AACAAAAAAAA8L8CY3/ZPXnYBUACyXa+nxov478AAAAANAQQAWUEAAAAAAAAAAAIAAFlBAAAAAAAAAAADBgBZQQAAAAAAAAAABAkAWUEAAAAAAAAAAAUBAFlBAAAAAAAAAAAGAABZQgMAAAAAAAAABwIAWUIAAAAAAAAAAAgAAFlBAAAAAAAAAAAJCABZQgIAAAAAAAAACgUAWUEAAAAAAAAAAAsFAFlBAAAAAAAAAAAMAgBZQQAAAAAAAAAAAwQAWUIDAAAAAAAAAAAAAAA</t>
        </r>
      </text>
    </comment>
    <comment ref="A998" authorId="0" shapeId="0" xr:uid="{1DD3FEC5-0BE2-4CAB-8604-5AE1FBA6174B}">
      <text>
        <r>
          <rPr>
            <sz val="9"/>
            <color indexed="81"/>
            <rFont val="MS P ゴシック"/>
            <family val="3"/>
            <charset val="128"/>
          </rPr>
          <t>Insight iXlW00001C0000998R0585476093S00001994P01016LAocjBAQBF1NjaVRlZ2ljLmRhdGEuTW9sZWN1bGUBbwF/ARJTY2lUZWdpYy5Nb2xlY3VsZQAAAQFkAv5qAQAAAAIAAjQYAAAA/PwA/AACAAAAAAAA8L8CTYQNT6+U6b8CN6s+V1ux078AAAAAGAAAAPz8APwAAgAAAAAAAPC/ArHh6ZWyDLE/ApOpglFJncg/AAAAABgAAAD8/AD8AAIAAAAAAADwvwJNhA1Pr5TpvwLOqs/VVuz0vwAAAAAgAAAA/PwA/AACAAAAAAAA8L8CuvyH9NvX7T8CN6s+V1ux078AAAAAGAAAAPz8APwAAgAAAAAAAPC/AhALtaZ5x/w/ApOpglFJncg/AAAAACAAAAD8/AD8AAIAAAAAAADwvwKx4emVsgyxPwLOqs/VVuz8vwAAAAAcAAAA/PwA/AACAAAAAAAA8L8CTYQNT6+U6b8CM1UwKqkT+z8AAAAAJAAAAPz8APwAAgAAAAAAAPC/Ap5eKcsQx/w/AjNVMCqpE/M/AAAAACQAAAD8/AD8AAIAAAAAAADwvwKpNc07TlEFQAI3qz5XW7HTvwAAAAAgAAAA/PwA/AACAAAAAAAA8L8CaCJseHql+r8CzqrP1Vbs/L8AAAAAGAAAAPz8APwAAgAAAAAAAPC/ArHh6ZWyDLE/AjNVMCqpE/M/AAAAABgAAAD8/AD8AAIAAAAAAADwvwJoImx4eqX6vwKTqYJRSZ3IPwAAAAAYAAAA/PwA/AACAAAAAAAA8L8CaCJseHql+r8CM1UwKqkT8z8AAAAANAQAAWUEAAAAAAAAAAAIAAFlBAAAAAAAAAAADAQBZQQAAAAAAAAAABAMAWUEAAAAAAAAAAAUCAFlCAAAAAAAAAAAGDABZQgIAAAAAAAAABwQAWUEAAAAAAAAAAAgEAFlBAAAAAAAAAAAJAgBZQQAAAAAAAAAACgEAWUICAAAAAAAAAAsAAFlCAgAAAAAAAAAMCwBZQQAAAAAAAAAABgoAWUEAAAAAAAAAAAAAAAA</t>
        </r>
      </text>
    </comment>
    <comment ref="A999" authorId="0" shapeId="0" xr:uid="{E7CBB407-F964-491C-968B-7118598FC751}">
      <text>
        <r>
          <rPr>
            <sz val="9"/>
            <color indexed="81"/>
            <rFont val="MS P ゴシック"/>
            <family val="3"/>
            <charset val="128"/>
          </rPr>
          <t>Insight iXlW00001C0000999R0585476093S00001996P01016LAocjBAQBF1NjaVRlZ2ljLmRhdGEuTW9sZWN1bGUBbwF/ARJTY2lUZWdpYy5Nb2xlY3VsZQAAAQFkAv5qAQAAAAIAAjQgAAAA/PwA/AACAAAAAAAA8L8C/Knx0k1i9r8CL/8h/fZ14j8AAAAAGAAAAPz8APwAAgAAAAAAAPC/ApM6AU2EDeG/AnP5D+m3r7M/AAAAABgAAAD8/AD8AAIAAAAAAADwvwK+wRcmU4UAQAIv/yH99nXiPwAAAAAYAAAA/PwA/AACAAAAAAAA8L8CH4XrUbgeAsACc/kP6bevsz8AAAAAGAAAAPz8APwAAgAAAAAAAPC/AjojSnuDL/M/AnP5D+m3r7M/AAAAABwAAAD8/AD8AAIAAAAAAADwvwKTOgFNhA3hvwLSAN4CCYrtvwAAAAAYAAAA/PwA/AACAAAAAAAA8L8C4QuTqYJR1T8CL/8h/fZ14j8AAAAAIAAAAPz8APwAAgAAAAAAAPC/Ar7BFyZThQBAApf/kH77Ovk/AAAAACQAAAD8/AD8AAIAAAAAAADwvwIfhetRuB4CwALSAN4CCYrtvwAAAAAkAAAA/PwA/AACAAAAAAAA8L8CQDVeukkMCcACL/8h/fZ14j8AAAAAIAAAAPz8APwAAgAAAAAAAPC/AhdIUPwYcwdAAnP5D+m3r7M/AAAAABgAAAD8/AD8AAIAAAAAAADwvwLhC5OpglHVPwJpAG+BBMX2vwAAAAAYAAAA/PwA/AACAAAAAAAA8L8COiNKe4Mv8z8C0gDeAgmK7b8AAAAANAQAAWUEAAAAAAAAAAAIEAFlBAAAAAAAAAAADAABZQQAAAAAAAAAABAYAWUEAAAAAAAAAAAUBAFlBAAAAAAAAAAAGAQBZQgMAAAAAAAAABwIAWUIAAAAAAAAAAAgDAFlBAAAAAAAAAAAJAwBZQQAAAAAAAAAACgIAWUEAAAAAAAAAAAsFAFlCAgAAAAAAAAAMBABZQgMAAAAAAAAADAsAWUEAAAAAAAAAAAAAAAA</t>
        </r>
      </text>
    </comment>
    <comment ref="A1000" authorId="0" shapeId="0" xr:uid="{B0B297CD-6549-4F90-91D4-0875C0FBBC8F}">
      <text>
        <r>
          <rPr>
            <sz val="9"/>
            <color indexed="81"/>
            <rFont val="MS P ゴシック"/>
            <family val="3"/>
            <charset val="128"/>
          </rPr>
          <t>Insight iXlW00001C0001000R0585476093S00001998P00876LAocjBAQBF1NjaVRlZ2ljLmRhdGEuTW9sZWN1bGUBbwF/ARJTY2lUZWdpYy5Nb2xlY3VsZQAAAQFkAv5qAQAAAAIAAiwgAAAA/PwA/AACAAAAAAAA8L8CZapgVFIn5L8CLGUZ4lgX7T8AAAAAGAAAAPz8APwAAgAAAAAAAPC/AnpYqDXNO84/AljKMsSxLto/AAAAABgAAAD8/AD8AAIAAAAAAADwvwJ0tRX7y+73vwJYyjLEsS7aPwAAAAAcAAAA/PwA/AACAAAAAAAA8L8CUWuad5yi8T8CLGUZ4lgX7T8AAAAAGAAAAPz8APwAAgAAAAAAAPC/AnpYqDXNO84/AtSa5h2n6OK/AAAAACQAAAD8/AD8AAIAAAAAAADwvwJ0tRX7y+73vwLUmuYdp+jivwAAAAAkAAAA/PwA/AACAAAAAAAA8L8CFGHD0yvlAsACLGUZ4lgX7T8AAAAAHAAAAPz8APwAAgAAAAAAAPC/AmWqYFRSJ+S/AmpN845TdPG/AAAAABgAAAD8/AD8AAIAAAAAAADwvwKTy39Iv33/PwJYyjLEsS7aPwAAAAAYAAAA/PwA/AACAAAAAAAA8L8CUWuad5yi8T8Cak3zjlN08b8AAAAAGAAAAPz8APwAAgAAAAAAAPC/ApPLf0i/ff8/AtSa5h2n6OK/AAAAACwEAAFlBAAAAAAAAAAACAABZQQAAAAAAAAAAAwEAWUEAAAAAAAAAAAQBAFlCAgAAAAAAAAAFAgBZQQAAAAAAAAAABgIAWUEAAAAAAAAAAAcEAFlBAAAAAAAAAAAIAwBZQgIAAAAAAAAACQQAWUEAAAAAAAAAAAoJAFlCAgAAAAAAAAAKCABZQQAAAAAAAAAAAAAAAA=</t>
        </r>
      </text>
    </comment>
    <comment ref="A1001" authorId="0" shapeId="0" xr:uid="{647C127F-36BA-4FA0-99C6-2F90D89D9E05}">
      <text>
        <r>
          <rPr>
            <sz val="9"/>
            <color indexed="81"/>
            <rFont val="MS P ゴシック"/>
            <family val="3"/>
            <charset val="128"/>
          </rPr>
          <t>Insight iXlW00001C0001001R0585476093S00002000P00876LAocjBAQBF1NjaVRlZ2ljLmRhdGEuTW9sZWN1bGUBbwF/ARJTY2lUZWdpYy5Nb2xlY3VsZQAAAQFkAv5qAQAAAAIAAiwgAAAA/PwA/AACAAAAAAAA8L8CmP+Qfvs67r8CLGUZ4lgX7T8AAAAAHAAAAPz8APwAAgAAAAAAAPC/AqH4MeauJbS/AtSa5h2n6OK/AAAAABgAAAD8/AD8AAIAAAAAAADwvwKh+DHmriW0vwJYyjLEsS7aPwAAAAAYAAAA/PwA/AACAAAAAAAA8L8Cf4y5awn5/L8CWMoyxLEu2j8AAAAAGAAAAPz8APwAAgAAAAAAAPC/Am+BBMWPMek/AmpN845TdPG/AAAAACQAAAD8/AD8AAIAAAAAAADwvwJ/jLlrCfn8vwLUmuYdp+jivwAAAAAkAAAA/PwA/AACAAAAAAAA8L8CYHZPHhZqBcACLGUZ4lgX7T8AAAAAGAAAAPz8APwAAgAAAAAAAPC/AvmgZ7Pqc/o/AtSa5h2n6OK/AAAAABgAAAD8/AD8AAIAAAAAAADwvwJvgQTFjzHpPwIsZRniWBftPwAAAAAcAAAA/PwA/AACAAAAAAAA8L8CnoAmwoYnBEACak3zjlN08b8AAAAAGAAAAPz8APwAAgAAAAAAAPC/AvmgZ7Pqc/o/AljKMsSxLto/AAAAACwECAFlBAAAAAAAAAAACAABZQQAAAAAAAAAAAwAAWUEAAAAAAAAAAAQBAFlCAgAAAAAAAAAFAwBZQQAAAAAAAAAABgMAWUEAAAAAAAAAAAcKAFlCAwAAAAAAAAAIAgBZQgIAAAAAAAAACQcAWUEAAAAAAAAAAAoIAFlBAAAAAAAAAAAEBwBZQQAAAAAAAAAAAAAAAA=</t>
        </r>
      </text>
    </comment>
    <comment ref="A1002" authorId="0" shapeId="0" xr:uid="{CB18839C-6BF8-4EF7-9FED-EFAB9A28C62C}">
      <text>
        <r>
          <rPr>
            <sz val="9"/>
            <color indexed="81"/>
            <rFont val="MS P ゴシック"/>
            <family val="3"/>
            <charset val="128"/>
          </rPr>
          <t>Insight iXlW00001C0001002R0585476093S00002002P00876LAocjBAQBF1NjaVRlZ2ljLmRhdGEuTW9sZWN1bGUBbwF/ARJTY2lUZWdpYy5Nb2xlY3VsZQAAAQFkAv5qAQAAAAIAAiwYAAAA/PwA/AACAAAAAAAA8L8CelioNc07zr8CWMoyxLEu2r8AAAAAIAAAAPz8APwAAgAAAAAAAPC/AmWqYFRSJ+Q/AixlGeJYF+2/AAAAABgAAAD8/AD8AAIAAAAAAADwvwLlYaHWNO/3PwJYyjLEsS7avwAAAAAYAAAA/PwA/AACAAAAAAAA8L8CelioNc07zr8C1JrmHafo4j8AAAAAHAAAAPz8APwAAgAAAAAAAPC/ApPLf0i/ff+/AtSa5h2n6OI/AAAAABwAAAD8/AD8AAIAAAAAAADwvwJlqmBUUifkPwJqTfOOU3TxPwAAAAAkAAAA/PwA/AACAAAAAAAA8L8C5WGh1jTv9z8C1JrmHafo4j8AAAAAJAAAAPz8APwAAgAAAAAAAPC/AhRhw9Mr5QJAAixlGeJYF+2/AAAAABgAAAD8/AD8AAIAAAAAAADwvwJRa5p3nKLxvwIsZRniWBftvwAAAAAYAAAA/PwA/AACAAAAAAAA8L8CUWuad5yi8b8Cak3zjlN08T8AAAAAGAAAAPz8APwAAgAAAAAAAPC/ApPLf0i/ff+/AljKMsSxLtq/AAAAACwEAAFlBAAAAAAAAAAACAQBZQQAAAAAAAAAAAwAAWUEAAAAAAAAAAAQKAFlCAgAAAAAAAAAFAwBZQQAAAAAAAAAABgIAWUEAAAAAAAAAAAcCAFlBAAAAAAAAAAAIAABZQgMAAAAAAAAACQMAWUICAAAAAAAAAAoIAFlBAAAAAAAAAAAECQBZQQAAAAAAAAAAAAAAAA=</t>
        </r>
      </text>
    </comment>
    <comment ref="A1003" authorId="0" shapeId="0" xr:uid="{22A19D95-2241-4CE0-A6D7-FDA8C62FB2A3}">
      <text>
        <r>
          <rPr>
            <sz val="9"/>
            <color indexed="81"/>
            <rFont val="MS P ゴシック"/>
            <family val="3"/>
            <charset val="128"/>
          </rPr>
          <t>Insight iXlW00001C0001003R0585476093S00002004P01088LAocjBAQBF1NjaVRlZ2ljLmRhdGEuTW9sZWN1bGUBbwF/ARJTY2lUZWdpYy5Nb2xlY3VsZQAAAQFkAv5qAQAAAAIAAjgYAAAA/PwA/AACAAAAAAAA8L8CvAUSFD/G9b8C1zTvOEVHsr8AAAAAGAAAAPz8APwAAgAAAAAAAPC/At6Th4Va0wBAAtc07zhFR7K/AAAAABgAAAD8/AD8AAIAAAAAAADwvwL/snvysNABwAKb5h2n6EjivwAAAAAcAAAA/PwA/AACAAAAAAAA8L8C6pWyDHGs378CswxxrIvb9j8AAAAAGAAAAPz8APwAAgAAAAAAAPC/AuqVsgxxrN+/ApvmHafoSOK/AAAAACAAAAD8/AD8AAIAAAAAAADwvwJ6xyk6ksvzPwKb5h2n6EjivwAAAAAgAAAA/PwA/AACAAAAAAAA8L8C/7J78rDQAcACTvOOU3Qk+b8AAAAAGAAAAPz8APwAAgAAAAAAAPC/Ah3r4jYawNc/Atc07zhFR7K/AAAAACQAAAD8/AD8AAIAAAAAAADwvwK8Jw8Ltab5PwLp2az6XG3pPwAAAAAkAAAA/PwA/AACAAAAAAAA8L8C/0P67evAB0ACyzLEsS5u2z8AAAAAJAAAAPz8APwAAgAAAAAAAPC/At6Th4Va0wRAAh6n6Egu/+2/AAAAABgAAAD8/AD8AAIAAAAAAADwvwK8BRIUP8b1vwJmGeJYF7ftPwAAAAAgAAAA/PwA/AACAAAAAAAA8L8CIGPuWkK+CMAC1zTvOEVHsr8AAAAAGAAAAPz8APwAAgAAAAAAAPC/Ah3r4jYawNc/AmYZ4lgXt+0/AAAAADgEFAFlBAAAAAAAAAAACAABZQQAAAAAAAAAAAwsAWUEAAAAAAAAAAAQAAFlBAAAAAAAAAAAFBwBZQQAAAAAAAAAABgIAWUIAAAAAAAAAAAcEAFlCAwAAAAAAAAAIAQBZQQAAAAAAAAAACQEAWUEAAAAAAAAAAAoBAFlBAAAAAAAAAAALAABZQgMAAAAAAAAADAIAWUEAAAAAAAAAAA0DAFlCAgAAAAAAAAAHDQBZQQAAAAAAAAAAAAAAAA=</t>
        </r>
      </text>
    </comment>
    <comment ref="A1004" authorId="0" shapeId="0" xr:uid="{455A907D-1FF1-46D6-8BE4-5FEB98008DB8}">
      <text>
        <r>
          <rPr>
            <sz val="9"/>
            <color indexed="81"/>
            <rFont val="MS P ゴシック"/>
            <family val="3"/>
            <charset val="128"/>
          </rPr>
          <t>Insight iXlW00001C0001004R0585476093S00002006P01056LAocjBAQBF1NjaVRlZ2ljLmRhdGEuTW9sZWN1bGUBbwF/ARJTY2lUZWdpYy5Nb2xlY3VsZQAAAQFkAv5qAQAAAAIAAjgcAAAA/PwA/AACAAAAAAAA8L8CzTtO0ZFcBUACtTf4wmSq5j8AAAAAGAAAAPz8APwAAgAAAAAAAPC/AlkXt9EA3vw/AtPe4AuTqco/AAAAABgAAAD8/AD8AAIAAAAAAADwvwJZF7fRAN78PwJqb/CFyVTpvwAAAAAYAAAA/PwA/AACAAAAAAAA8L8CL26jAbwF7j8CtTf4wmSq9L8AAAAAHAAAAPz8APwAAgAAAAAAAPC/Al1txf6ye7I/AkzIBz2bVem/AAAAABgAAAD8/AD8AAIAAAAAAADwvwJdbcX+snuyPwLT3uALk6nKPwAAAAAgAAAA/PwA/AACAAAAAAAA8L8C2BLyQc9m6b8CtTf4wmSq5j8AAAAAGAAAAPz8APwAAgAAAAAAAPC/Ah8Wak3zjvq/AtPe4AuTqco/AAAAACQAAAD8/AD8AAIAAAAAAADwvwIfFmpN847yvwLPiNLe4AvlvwAAAAAkAAAA/PwA/AACAAAAAAAA8L8CMLsnDws1BMACl5APejar0r8AAAAAJAAAAPz8APwAAgAAAAAAAPC/Ag8LtaZ5RwHAAo0o7Q2+MPE/AAAAABgAAAD8/AD8AAIAAAAAAADwvwIvbqMBvAXuPwK1N/jCZKrmPwAAAAABEQAAAPz8APwAAgAAAAAAAPC/AjSitDf4wgtAAnrHKTqSy7+/AAAAAAERAAAA/PwA/AACAAAAAAAA8L8CqMZLN4kBEkACAiuHFtnOt78AAAAAMAAEAWUEAAAAAAAAAAAECAFlCAwAAAAAAAAACAwBZQQAAAAAAAAAAAwQAWUICAAAAAAAAAAQFAFlBAAAAAAAAAAAFBgBZQQAAAAAAAAAABgcAWUEAAAAAAAAAAAcIAFlBAAAAAAAAAAAHCQBZQQAAAAAAAAAABwoAWUEAAAAAAAAAAAULAFlCAgAAAAAAAAALAQBZQQAAAAAAAAAAAAAAAA=</t>
        </r>
      </text>
    </comment>
    <comment ref="A1005" authorId="0" shapeId="0" xr:uid="{A61B7509-70E9-4504-812A-0A3C6E26E324}">
      <text>
        <r>
          <rPr>
            <sz val="9"/>
            <color indexed="81"/>
            <rFont val="MS P ゴシック"/>
            <family val="3"/>
            <charset val="128"/>
          </rPr>
          <t>Insight iXlW00001C0001005R0585476093S00002008P00964LAocjBAQBF1NjaVRlZ2ljLmRhdGEuTW9sZWN1bGUBbwF/ARJTY2lUZWdpYy5Nb2xlY3VsZQAAAQFkAv5qAQAAAAIAAjAYAAAA/PwA/AACAAAAAAAA8L8C2BLyQc9m7T8CqOhILv8hvT8AAAAAGAAAAPz8APwAAgAAAAAAAPC/Ah8Wak3zjvw/AtfFbTSAt9i/AAAAABgAAAD8/AD8AAIAAAAAAADwvwJZF7fRAN76vwLXxW00gLfYvwAAAAAYAAAA/PwA/AACAAAAAAAA8L8CrYvbaABvBcAC18VtNIC32L8AAAAAGAAAAPz8APwAAgAAAAAAAPC/Aq2L22gAbwHAArfRAN4CCfS/AAAAABgAAAD8/AD8AAIAAAAAAADwvwJGJXUCmgirPwLXxW00gLfYvwAAAAAYAAAA/PwA/AACAAAAAAAA8L8CL26jAbwF6r8CqOhILv8hvT8AAAAAHAAAAPz8APwAAgAAAAAAAPC/AkYldQKaCKs/AouO5PIf0vk/AAAAACAAAAD8/AD8AAIAAAAAAADwvwIwuycPCzUFQAKo6Egu/yG9PwAAAAAYAAAA/PwA/AACAAAAAAAA8L8C2BLyQc9m7T8Ci47k8h/S8T8AAAAAIAAAAPz8APwAAgAAAAAAAPC/Ah8Wak3zjvw/AnZxGw3gLfa/AAAAABgAAAD8/AD8AAIAAAAAAADwvwIvbqMBvAXqvwKLjuTyH9LxPwAAAAA0BAABZQQAAAAAAAAAAAgYAWUEAAAAAAAAAAAMCAFlBAAAAAAAAAAAEAgBZQQAAAAAAAAAABQAAWUEAAAAAAAAAAAYFAFlCAwAAAAAAAAAHCQBZQQAAAAAAAAAACAEAWUIAAAAAAAAAAAkAAFlCAwAAAAAAAAAKAQBZQQAAAAAAAAAACwcAWUICAAAAAAAAAAYLAFlBAAAAAAAAAAAEAwBZQQAAAAAAAAAAAAAAAA=</t>
        </r>
      </text>
    </comment>
    <comment ref="A1006" authorId="0" shapeId="0" xr:uid="{D0946147-BD52-4F96-AD17-4FBC57733F11}">
      <text>
        <r>
          <rPr>
            <sz val="9"/>
            <color indexed="81"/>
            <rFont val="MS P ゴシック"/>
            <family val="3"/>
            <charset val="128"/>
          </rPr>
          <t>Insight iXlW00001C0001006R0585476093S00002010P01016LAocjBAQBF1NjaVRlZ2ljLmRhdGEuTW9sZWN1bGUBbwF/ARJTY2lUZWdpYy5Nb2xlY3VsZQAAAQFkAv5qAQAAAAIAAjQYAAAA/PwA/AACAAAAAAAA8L8COiNKe4Mv878Cc/kP6bevs78AAAAAGAAAAPz8APwAAgAAAAAAAPC/Ar7BFyZThQDAAi//If32deK/AAAAABgAAAD8/AD8AAIAAAAAAADwvwIfhetRuB4CQAJz+Q/pt6+zvwAAAAAcAAAA/PwA/AACAAAAAAAA8L8C4QuTqYJR1b8CaQBvgQTF9j8AAAAAGAAAAPz8APwAAgAAAAAAAPC/AuELk6mCUdW/Ai//If32deK/AAAAACAAAAD8/AD8AAIAAAAAAADwvwKL/WX35GH2PwIv/yH99nXivwAAAAAgAAAA/PwA/AACAAAAAAAA8L8CvsEXJlOFAMACl/+Qfvs6+b8AAAAAGAAAAPz8APwAAgAAAAAAAPC/ApM6AU2EDeE/AnP5D+m3r7O/AAAAABgAAAD8/AD8AAIAAAAAAADwvwI6I0p7gy/zvwLSAN4CCYrtPwAAAAAkAAAA/PwA/AACAAAAAAAA8L8CH4XrUbgeAkAC0gDeAgmK7T8AAAAAJAAAAPz8APwAAgAAAAAAAPC/AkA1XrpJDAlAAi//If32deK/AAAAACAAAAD8/AD8AAIAAAAAAADwvwLfcYqO5HIHwAJz+Q/pt6+zvwAAAAAYAAAA/PwA/AACAAAAAAAA8L8CkzoBTYQN4T8C0gDeAgmK7T8AAAAANAQAAWUEAAAAAAAAAAAIFAFlBAAAAAAAAAAADCABZQQAAAAAAAAAABAAAWUEAAAAAAAAAAAUHAFlBAAAAAAAAAAAGAQBZQgAAAAAAAAAABwQAWUIDAAAAAAAAAAgAAFlCAwAAAAAAAAAJAgBZQQAAAAAAAAAACgIAWUEAAAAAAAAAAAsBAFlBAAAAAAAAAAAMAwBZQgIAAAAAAAAABwwAWUEAAAAAAAAAAAAAAAA</t>
        </r>
      </text>
    </comment>
    <comment ref="A1007" authorId="0" shapeId="0" xr:uid="{E78E5AAA-011D-468E-8771-6FF8B0D717B2}">
      <text>
        <r>
          <rPr>
            <sz val="9"/>
            <color indexed="81"/>
            <rFont val="MS P ゴシック"/>
            <family val="3"/>
            <charset val="128"/>
          </rPr>
          <t>Insight iXlW00001C0001007R0585476093S00002012P01016LAocjBAQBF1NjaVRlZ2ljLmRhdGEuTW9sZWN1bGUBbwF/ARJTY2lUZWdpYy5Nb2xlY3VsZQAAAQFkAv5qAQAAAAIAAjQYAAAA/PwA/AACAAAAAAAA8L8C4QuTqYJR5T8CCKwcWmQ74T8AAAAAGAAAAPz8APwAAgAAAAAAAPC/AonS3uALk8m/AoPAyqFFtqM/AAAAABgAAAD8/AD8AAIAAAAAAADwvwIy5q4l5IP4PwKDwMqhRbajPwAAAAAgAAAA/PwA/AACAAAAAAAA8L8CidLe4AuTyb8C+FPjpZvE7r8AAAAAGAAAAPz8APwAAgAAAAAAAPC/AgTnjCjtDfG/Avyp8dJNYve/AAAAACAAAAD8/AD8AAIAAAAAAADwvwI6I0p7gy8DQAIIrBxaZDvhPwAAAAAcAAAA/PwA/AACAAAAAAAA8L8CidLe4AuTyb8CAiuHFtlOAEAAAAAAGAAAAPz8APwAAgAAAAAAAPC/AuELk6mCUeU/AgRWDi2ynfg/AAAAABgAAAD8/AD8AAIAAAAAAADwvwKTOgFNhA3xvwIIrBxaZDvhPwAAAAAkAAAA/PwA/AACAAAAAAAA8L8CBOeMKO0N8b8C/tR46SaxA8AAAAAAJAAAAPz8APwAAgAAAAAAAPC/AkZHcvkP6f6/AvhT46WbxO6/AAAAACAAAAD8/AD8AAIAAAAAAADwvwIy5q4l5IP4PwL4U+Olm8TuvwAAAAAYAAAA/PwA/AACAAAAAAAA8L8CkzoBTYQN8b8CBFYOLbKd+D8AAAAANAQAAWUEAAAAAAAAAAAIAAFlBAAAAAAAAAAADAQBZQQAAAAAAAAAABAMAWUEAAAAAAAAAAAUCAFlCAAAAAAAAAAAGBwBZQQAAAAAAAAAABwAAWUICAAAAAAAAAAgBAFlCAgAAAAAAAAAJBABZQQAAAAAAAAAACgQAWUEAAAAAAAAAAAsCAFlBAAAAAAAAAAAMBgBZQgIAAAAAAAAACAwAWUEAAAAAAAAAAAAAAAA</t>
        </r>
      </text>
    </comment>
    <comment ref="A1008" authorId="0" shapeId="0" xr:uid="{B50FD9EA-322B-429A-9C69-5D6D1D377196}">
      <text>
        <r>
          <rPr>
            <sz val="9"/>
            <color indexed="81"/>
            <rFont val="MS P ゴシック"/>
            <family val="3"/>
            <charset val="128"/>
          </rPr>
          <t>Insight iXlW00001C0001008R0585476093S00002014P01088LAocjBAQBF1NjaVRlZ2ljLmRhdGEuTW9sZWN1bGUBbwF/ARJTY2lUZWdpYy5Nb2xlY3VsZQAAAQFkAv5qAQAAAAIAAjgYAAAA/PwA/AACAAAAAAAA8L8CswxxrIvb7r8C4ZwRpb3Bxz8AAAAAGAAAAPz8APwAAgAAAAAAAPC/Aqd5xyk6kvg/AktZhjjWxeW/AAAAABgAAAD8/AD8AAIAAAAAAADwvwJahjjWxW33vwJLWYY41sXlvwAAAAAYAAAA/PwA/AACAAAAAAAA8L8C1zTvOEVHoj8C4ZwRpb3Bxz8AAAAAIAAAAPz8APwAAgAAAAAAAPC/Ak7zjlN0JOE/AktZhjjWxeW/AAAAABwAAAD8/AD8AAIAAAAAAADwvwJahjjWxW33vwLek4eFWtPwPwAAAAAgAAAA/PwA/AACAAAAAAAA8L8CswxxrIvb7r8CWDm0yHa++L8AAAAAJAAAAPz8APwAAgAAAAAAAPC/Aqd5xyk6kvg/AmpN845TdNQ/AAAAACQAAAD8/AD8AAIAAAAAAADwvwLUvOMUHUkEQAJLWYY41sXlvwAAAAAkAAAA/PwA/AACAAAAAAAA8L8Cp3nHKTqS+D8CpixDHOvi+r8AAAAAIAAAAPz8APwAAgAAAAAAAPC/Ai1DHOvitgPAAktZhjjWxeW/AAAAABgAAAD8/AD8AAIAAAAAAADwvwJO845TdCThPwLek4eFWtPwPwAAAAAYAAAA/PwA/AACAAAAAAAA8L8CswxxrIvb7r8CIPRsVn2u/j8AAAAAGAAAAPz8APwAAgAAAAAAAPC/Atc07zhFR6I/AiD0bFZ9rv4/AAAAADgEEAFlBAAAAAAAAAAACAABZQQAAAAAAAAAAAwAAWUEAAAAAAAAAAAQDAFlBAAAAAAAAAAAFAABZQgMAAAAAAAAABgIAWUIAAAAAAAAAAAcBAFlBAAAAAAAAAAAIAQBZQQAAAAAAAAAACQEAWUEAAAAAAAAAAAoCAFlBAAAAAAAAAAALAwBZQgIAAAAAAAAADAUAWUEAAAAAAAAAAA0MAFlCAgAAAAAAAAALDQBZQQAAAAAAAAAAAAAAAA=</t>
        </r>
      </text>
    </comment>
    <comment ref="A1009" authorId="0" shapeId="0" xr:uid="{EF4E5807-256E-433C-AAC3-8C7532614695}">
      <text>
        <r>
          <rPr>
            <sz val="9"/>
            <color indexed="81"/>
            <rFont val="MS P ゴシック"/>
            <family val="3"/>
            <charset val="128"/>
          </rPr>
          <t>Insight iXlW00001C0001009R0585476093S00002016P01056LAocjBAQBF1NjaVRlZ2ljLmRhdGEuTW9sZWN1bGUBbwF/ARJTY2lUZWdpYy5Nb2xlY3VsZQAAAQFkAv5qAQAAAAIAAjgcAAAA/PwA/AACAAAAAAAA8L8C2xt8YTJV/78C/mX35GGh8z8AAAAAGAAAAPz8APwAAgAAAAAAAPC/AtsbfGEyVfe/AixlGeJYF9c/AAAAABgAAAD8/AD8AAIAAAAAAADwvwLbG3xhMlX/vwLtDb4wmSrgvwAAAAAcAAAA/PwA/AACAAAAAAAA8L8C2xt8YTJV978COGdEaW/w9b8AAAAAGAAAAPz8APwAAgAAAAAAAPC/Ampv8IXJVN2/AjhnRGlv8PW/AAAAABgAAAD8/AD8AAIAAAAAAADwvwK2hHzQs1mlPwLtDb4wmSrgvwAAAAAgAAAA/PwA/AACAAAAAAAA8L8CJuSDns2q8D8C7Q2+MJkq4L8AAAAAGAAAAPz8APwAAgAAAAAAAPC/Aibkg57Nqvg/AixlGeJYF9c/AAAAACQAAAD8/AD8AAIAAAAAAADwvwLmriXkg57lPwJ4CyQofozrPwAAAAAkAAAA/PwA/AACAAAAAAAA8L8CE/JBz2ZVAEAC/mX35GGh8z8AAAAAJAAAAPz8APwAAgAAAAAAAPC/AjSitDf4QgNAAqk1zTtO0cG/AAAAABgAAAD8/AD8AAIAAAAAAADwvwJqb/CFyVTdvwIsZRniWBfXPwAAAAABEQAAAPz8APwAAgAAAAAAAPC/ApoIG55eqQlAAoj029eBc7a/AAAAAAERAAAA/PwA/AACAAAAAAAA8L8C2/l+arz0EEACIbByaJHtrL8AAAAAMAAEAWUEAAAAAAAAAAAECAFlCAwAAAAAAAAACAwBZQQAAAAAAAAAAAwQAWUICAAAAAAAAAAQFAFlBAAAAAAAAAAAFBgBZQQAAAAAAAAAABgcAWUEAAAAAAAAAAAcIAFlBAAAAAAAAAAAHCQBZQQAAAAAAAAAABwoAWUEAAAAAAAAAAAULAFlCAgAAAAAAAAALAQBZQQAAAAAAAAAAAAAAAA=</t>
        </r>
      </text>
    </comment>
    <comment ref="A1010" authorId="0" shapeId="0" xr:uid="{DFB1A35B-776F-4986-AFC3-E6547731064E}">
      <text>
        <r>
          <rPr>
            <sz val="9"/>
            <color indexed="81"/>
            <rFont val="MS P ゴシック"/>
            <family val="3"/>
            <charset val="128"/>
          </rPr>
          <t>Insight iXlW00001C0001010R0585476093S00002018P00948LAocjBAQBF1NjaVRlZ2ljLmRhdGEuTW9sZWN1bGUBbwF/ARJTY2lUZWdpYy5Nb2xlY3VsZQAAAQFkAv5qAQAAAAIAAjAYAAAA/PwA/AACAAAAAAAA8L8CLGUZ4lgX1z8CAAAAAAAA2D8AAAAAGAAAAPz8APwAAgAAAAAAAPC/Au0NvjCZKuC/AgAAAAAAAMC/AAAAABgAAAD8/AD8AAIAAAAAAADwvwL+ZffkYaHzPwIAAAAAAADAvwAAAAAYAAAA/PwA/AACAAAAAAAA8L8C7Q2+MJkq4L8CAAAAAAAA8r8AAAAAIAAAAPz8APwAAgAAAAAAAPC/AiBj7lpCvgBAAgAAAAAAANg/AAAAACAAAAD8/AD8AAIAAAAAAADwvwI4Z0Rpb/D1vwIAAAAAAAD6vwAAAAAcAAAA/PwA/AACAAAAAAAA8L8C7Q2+MJkq4L8CAAAAAAAA/j8AAAAAGAAAAPz8APwAAgAAAAAAAPC/AixlGeJYF9c/AgAAAAAAAPY/AAAAABwAAAD8/AD8AAIAAAAAAADwvwIsZRniWBfXPwIAAAAAAAD6vwAAAAAgAAAA/PwA/AACAAAAAAAA8L8C/mX35GGh8z8CAAAAAAAA8r8AAAAAGAAAAPz8APwAAgAAAAAAAPC/AjhnRGlv8PW/AgAAAAAAANg/AAAAABgAAAD8/AD8AAIAAAAAAADwvwI4Z0Rpb/D1vwIAAAAAAAD2PwAAAAAwBAABZQQAAAAAAAAAAAgAAWUEAAAAAAAAAAAMBAFlBAAAAAAAAAAAEAgBZQgAAAAAAAAAABQMAWUIAAAAAAAAAAAYHAFlBAAAAAAAAAAAHAABZQgIAAAAAAAAACAMAWUEAAAAAAAAAAAkCAFlBAAAAAAAAAAAKAQBZQgIAAAAAAAAACwYAWUICAAAAAAAAAAoLAFlBAAAAAAAAAAAAAAAAA==</t>
        </r>
      </text>
    </comment>
    <comment ref="A1011" authorId="0" shapeId="0" xr:uid="{1C334797-2643-4216-AF69-AFBF7F9268FF}">
      <text>
        <r>
          <rPr>
            <sz val="9"/>
            <color indexed="81"/>
            <rFont val="MS P ゴシック"/>
            <family val="3"/>
            <charset val="128"/>
          </rPr>
          <t>Insight iXlW00001C0001011R0585476093S00002020P01016LAocjBAQBF1NjaVRlZ2ljLmRhdGEuTW9sZWN1bGUBbwF/ARJTY2lUZWdpYy5Nb2xlY3VsZQAAAQFkAv5qAQAAAAIAAjQYAAAA/PwA/AACAAAAAAAA8L8C4QuTqYJR5T8CCKwcWmQ74T8AAAAAGAAAAPz8APwAAgAAAAAAAPC/AonS3uALk8m/AoPAyqFFtqM/AAAAABgAAAD8/AD8AAIAAAAAAADwvwIy5q4l5IP4PwKDwMqhRbajPwAAAAAcAAAA/PwA/AACAAAAAAAA8L8CidLe4AuTyb8C+FPjpZvE7r8AAAAAGAAAAPz8APwAAgAAAAAAAPC/AgTnjCjtDfG/Avyp8dJNYve/AAAAACAAAAD8/AD8AAIAAAAAAADwvwI6I0p7gy8DQAIIrBxaZDvhPwAAAAAcAAAA/PwA/AACAAAAAAAA8L8CidLe4AuTyb8CAiuHFtlOAEAAAAAAIAAAAPz8APwAAgAAAAAAAPC/AkZHcvkP6f6/AvhT46WbxO6/AAAAABgAAAD8/AD8AAIAAAAAAADwvwLhC5OpglHlPwIEVg4tsp34PwAAAAAYAAAA/PwA/AACAAAAAAAA8L8CkzoBTYQN8b8CCKwcWmQ74T8AAAAAIAAAAPz8APwAAgAAAAAAAPC/AjLmriXkg/g/AvhT46WbxO6/AAAAABgAAAD8/AD8AAIAAAAAAADwvwKTOgFNhA3xvwIEVg4tsp34PwAAAAAYAAAA/PwA/AACAAAAAAAA8L8CBOeMKO0N8b8C/tR46SaxA8AAAAAANAQAAWUICAAAAAAAAAAIAAFlBAAAAAAAAAAADAQBZQQAAAAAAAAAABAMAWUEAAAAAAAAAAAUCAFlCAAAAAAAAAAAGCABZQgIAAAAAAAAABwQAWUIAAAAAAAAAAAgAAFlBAAAAAAAAAAAJAQBZQQAAAAAAAAAACgIAWUEAAAAAAAAAAAsGAFlBAAAAAAAAAAAMBABZQQAAAAAAAAAACQsAWUICAAAAAAAAAAAAAAA</t>
        </r>
      </text>
    </comment>
    <comment ref="A1012" authorId="0" shapeId="0" xr:uid="{0A0EE472-E1B3-44AD-B458-10C5E0B8E068}">
      <text>
        <r>
          <rPr>
            <sz val="9"/>
            <color indexed="81"/>
            <rFont val="MS P ゴシック"/>
            <family val="3"/>
            <charset val="128"/>
          </rPr>
          <t>Insight iXlW00001C0001012R0585476093S00002022P01104LAocjBAQBF1NjaVRlZ2ljLmRhdGEuTW9sZWN1bGUBbwF/ARJTY2lUZWdpYy5Nb2xlY3VsZQAAAQFkAv5qAQAAAAIAAjgYAAAA/PwA/AACAAAAAAAA8L8C18VtNIC33D8CfT81XrpJ6D8AAAAAGAAAAPz8APwAAgAAAAAAAPC/AtfFbTSAt9w/Ag0CK4cW2c6/AAAAABgAAAD8/AD8AAIAAAAAAADwvwL0bFZ9rrbavwK/nxov3ST0PwAAAAAcAAAA/PwA/AACAAAAAAAA8L8C9GxWfa622r8Cg8DKoUW2578AAAAAHAAAAPz8APwAAgAAAAAAAPC/ArfRAN4CCfU/Ar+fGi/dJPQ/AAAAACAAAAD8/AD8AAIAAAAAAADwvwJ/+zpwzoj0vwJ9PzVeuknoPwAAAAAgAAAA/PwA/AACAAAAAAAA8L8C9GxWfa622r8C30+Nl24SAkAAAAAAGAAAAPz8APwAAgAAAAAAAPC/Aoqw4emVsuC/AoenV8oyxPu/AAAAABgAAAD8/AD8AAIAAAAAAADwvwLQRNjw9Er1vwJPr5RliGPVvwAAAAAYAAAA/PwA/AACAAAAAAAA8L8Ct9EA3gIJ9T8Cg8DKoUW2578AAAAAGAAAAPz8APwAAgAAAAAAAPC/Av0Yc9cScgFAAn0/NV66Seg/AAAAABgAAAD8/AD8AAIAAAAAAADwvwL9GHPXEnIBQAINAiuHFtnOvwAAAAAYAAAA/PwA/AACAAAAAAAA8L8CAAAAAAAAAMACXLG/7J488b8AAAAAGAAAAPz8APwAAgAAAAAAAPC/AgAAAAAAAPi/Ag6+MJkqGP+/AAAAADwEAAFlCAgAAAAAAAAACAABZQQAAAAAAAAAAAwEAWUEAAAAAAAAAAAQAAFlBAAAAAAAAAAAFAgBZQgAAAAAAAAAABgIAWUEAAAAAAAAAAAcDAFlBAAAAAAAAAAAIAwBZQQAAAAAAAAAACQEAWUEAAAAAAAAAAAoEAFlCAgAAAAAAAAALCgBZQQAAAAAAAAAADAgAWUEAAAAAAAAAAA0HAFlBAAAAAAAAAAAJCwBZQgIAAAAAAAAADQwAWUEAAAAAAAAAAAAAAAA</t>
        </r>
      </text>
    </comment>
    <comment ref="A1013" authorId="0" shapeId="0" xr:uid="{0DEA7A04-FA71-4CA2-A114-61736203F787}">
      <text>
        <r>
          <rPr>
            <sz val="9"/>
            <color indexed="81"/>
            <rFont val="MS P ゴシック"/>
            <family val="3"/>
            <charset val="128"/>
          </rPr>
          <t>Insight iXlW00001C0001013R0585476093S00002024P01104LAocjBAQBF1NjaVRlZ2ljLmRhdGEuTW9sZWN1bGUBbwF/ARJTY2lUZWdpYy5Nb2xlY3VsZQAAAQFkAv5qAQAAAAIAAjgYAAAA/PwA/AACAAAAAAAA8L8C3NeBc0aU6L8Cg8DKoUW22z8AAAAAGAAAAPz8APwAAgAAAAAAAPC/ArivA+eMKNG/AoPAyqFFttu/AAAAABgAAAD8/AD8AAIAAAAAAADwvwK4rwPnjCjRvwJjEFg5tMj0PwAAAAAcAAAA/PwA/AACAAAAAAAA8L8CJCh+jLlr5z8Cg8DKoUW2278AAAAAIAAAAPz8APwAAgAAAAAAAPC/AtzXgXNGlOi/AlK4HoXrUQFAAAAAABwAAAD8/AD8AAIAAAAAAADwvwL3deCcESUCwAKDwMqhRbbbvwAAAAAYAAAA/PwA/AACAAAAAAAA8L8C7uvAOSNK/L8Cg8DKoUW22z8AAAAAGAAAAPz8APwAAgAAAAAAAPC/AtzXgXNGlOi/AmMQWDm0yPS/AAAAACAAAAD8/AD8AAIAAAAAAADwvwIkKH6MuWvnPwJjEFg5tMj0PwAAAAAYAAAA/PwA/AACAAAAAAAA8L8CW9O84xQd9T8CqvHSTWIQ2D8AAAAAGAAAAPz8APwAAgAAAAAAAPC/AlvTvOMUHfU/AqwcWmQ73/O/AAAAABgAAAD8/AD8AAIAAAAAAADwvwLu68A5I0r8vwJjEFg5tMj0vwAAAAAYAAAA/PwA/AACAAAAAAAA8L8CtTf4wmQqAkACQmDl0CLb7b8AAAAAGAAAAPz8APwAAgAAAAAAAPC/ArU3+MJkKgJAAvT91HjpJrE/AAAAADwEAAFlCAgAAAAAAAAACAABZQQAAAAAAAAAAAwEAWUEAAAAAAAAAAAQCAFlCAAAAAAAAAAAFBgBZQgIAAAAAAAAABgAAWUEAAAAAAAAAAAcBAFlBAAAAAAAAAAAIAgBZQQAAAAAAAAAACQMAWUEAAAAAAAAAAAoDAFlBAAAAAAAAAAALBQBZQQAAAAAAAAAADAoAWUEAAAAAAAAAAA0JAFlBAAAAAAAAAAAHCwBZQgIAAAAAAAAADQwAWUEAAAAAAAAAAAAAAAA</t>
        </r>
      </text>
    </comment>
    <comment ref="A1014" authorId="0" shapeId="0" xr:uid="{2F0BF275-15C5-43E0-A3F4-FE1DD6D16733}">
      <text>
        <r>
          <rPr>
            <sz val="9"/>
            <color indexed="81"/>
            <rFont val="MS P ゴシック"/>
            <family val="3"/>
            <charset val="128"/>
          </rPr>
          <t>Insight iXlW00001C0001014R0585476093S00002026P01176LAocjBAQBF1NjaVRlZ2ljLmRhdGEuTW9sZWN1bGUBbwF/ARJTY2lUZWdpYy5Nb2xlY3VsZQAAAQFkAv5qAQAAAAIAAjwYAAAA/PwA/AACAAAAAAAA8L8C6Gor9pfd7b8CAW+BBMWP3T8AAAAAGAAAAPz8APwAAgAAAAAAAPC/AtDVVuwvu9u/AgYSFD/G3Nm/AAAAABgAAAD8/AD8AAIAAAAAAADwvwLQ1VbsL7vbvwICvAUSFD/1PwAAAAAcAAAA/PwA/AACAAAAAAAA8L8CGJXUCWgi4j8CBhIUP8bc2b8AAAAAIAAAAPz8APwAAgAAAAAAAPC/AuhqK/aX3e2/AiKOdXEbjQFAAAAAABwAAAD8/AD8AAIAAAAAAADwvwK62or9ZXcDwAIGEhQ/xtzZvwAAAAAYAAAA/PwA/AACAAAAAAAA8L8CdLUV+8vu/r8CAW+BBMWP3T8AAAAAGAAAAPz8APwAAgAAAAAAAPC/AuhqK/aX3e2/AsNkqmBUUvS/AAAAACAAAAD8/AD8AAIAAAAAAADwvwIYldQJaCLiPwICvAUSFD/1PwAAAAAYAAAA/PwA/AACAAAAAAAA8L8CjErqBDQR8T8Cw2SqYFRS9L8AAAAAGAAAAPz8APwAAgAAAAAAAPC/AoxK6gQ0EfE/AgFvgQTFj90/AAAAABgAAAD8/AD8AAIAAAAAAADwvwJ0tRX7y+7+vwLDZKpgVFL0vwAAAAAYAAAA/PwA/AACAAAAAAAA8L8CRiV1ApqIAEACAW+BBMWP3T8AAAAAGAAAAPz8APwAAgAAAAAAAPC/AkYldQKaiABAAsNkqmBUUvS/AAAAABgAAAD8/AD8AAIAAAAAAADwvwJGJXUCmogEQAIGEhQ/xtzZvwAAAAABEAQAAWUICAAAAAAAAAAIAAFlBAAAAAAAAAAADAQBZQQAAAAAAAAAABAIAWUIAAAAAAAAAAAUGAFlCAgAAAAAAAAAGAABZQQAAAAAAAAAABwEAWUEAAAAAAAAAAAgCAFlBAAAAAAAAAAAJAwBZQQAAAAAAAAAACgMAWUEAAAAAAAAAAAsFAFlBAAAAAAAAAAAMCgBZQQAAAAAAAAAADQkAWUEAAAAAAAAAAA4MAFlBAAAAAAAAAAAHCwBZQgIAAAAAAAAADg0AWUEAAAAAAAAAAAAAAAA</t>
        </r>
      </text>
    </comment>
    <comment ref="A1015" authorId="0" shapeId="0" xr:uid="{775E1E97-95B5-43F4-8341-1BC32083ECEC}">
      <text>
        <r>
          <rPr>
            <sz val="9"/>
            <color indexed="81"/>
            <rFont val="MS P ゴシック"/>
            <family val="3"/>
            <charset val="128"/>
          </rPr>
          <t>Insight iXlW00001C0001015R0585476093S00002028P01176LAocjBAQBF1NjaVRlZ2ljLmRhdGEuTW9sZWN1bGUBbwF/ARJTY2lUZWdpYy5Nb2xlY3VsZQAAAQFkAv5qAQAAAAIAAjwYAAAA/PwA/AACAAAAAAAA8L8C6Gor9pfd7b8CAW+BBMWP3b8AAAAAGAAAAPz8APwAAgAAAAAAAPC/AtDVVuwvu9u/AgYSFD/G3Nk/AAAAABgAAAD8/AD8AAIAAAAAAADwvwLQ1VbsL7vbvwICvAUSFD/1vwAAAAAcAAAA/PwA/AACAAAAAAAA8L8CGJXUCWgi4j8CBhIUP8bc2T8AAAAAIAAAAPz8APwAAgAAAAAAAPC/AhiV1AloIuI/AgK8BRIUP/W/AAAAABwAAAD8/AD8AAIAAAAAAADwvwJ0tRX7y+7+vwI0ETY8vVL0PwAAAAAgAAAA/PwA/AACAAAAAAAA8L8C6Gor9pfd7b8CIo51cRuNAcAAAAAAGAAAAPz8APwAAgAAAAAAAPC/AuhqK/aX3e2/AjQRNjy9UvQ/AAAAABgAAAD8/AD8AAIAAAAAAADwvwJ0tRX7y+7+vwIBb4EExY/dvwAAAAAYAAAA/PwA/AACAAAAAAAA8L8CjErqBDQR8T8CAW+BBMWP3b8AAAAAGAAAAPz8APwAAgAAAAAAAPC/AoxK6gQ0EfE/AsNkqmBUUvQ/AAAAABgAAAD8/AD8AAIAAAAAAADwvwK62or9ZXcDwALKw0Ktad7ZPwAAAAAYAAAA/PwA/AACAAAAAAAA8L8CRiV1ApqIAEACw2SqYFRS9D8AAAAAGAAAAPz8APwAAgAAAAAAAPC/AkYldQKaiABAAgFvgQTFj92/AAAAABgAAAD8/AD8AAIAAAAAAADwvwJGJXUCmogEQAIGEhQ/xtzZPwAAAAABEAQAAWUICAAAAAAAAAAIAAFlBAAAAAAAAAAADAQBZQQAAAAAAAAAABAIAWUIAAAAAAAAAAAULAFlBAAAAAAAAAAAGAgBZQQAAAAAAAAAABwEAWUEAAAAAAAAAAAgAAFlBAAAAAAAAAAAJAwBZQQAAAAAAAAAACgMAWUEAAAAAAAAAAAsIAFlCAgAAAAAAAAAMCgBZQQAAAAAAAAAADQkAWUEAAAAAAAAAAA4MAFlBAAAAAAAAAAAFBwBZQgIAAAAAAAAADQ4AWUEAAAAAAAAAAAAAAAA</t>
        </r>
      </text>
    </comment>
    <comment ref="A1016" authorId="0" shapeId="0" xr:uid="{8F956139-9722-4DCF-BDCB-D01B55F2B085}">
      <text>
        <r>
          <rPr>
            <sz val="9"/>
            <color indexed="81"/>
            <rFont val="MS P ゴシック"/>
            <family val="3"/>
            <charset val="128"/>
          </rPr>
          <t>Insight iXlW00001C0001016R0585476093S00002030P01124LAocjBAQBF1NjaVRlZ2ljLmRhdGEuTW9sZWN1bGUBbwF/ARJTY2lUZWdpYy5Nb2xlY3VsZQAAAQFkAv5qAQAAAAIAAjwcAAAA/PwA/AACAAAAAAAA8L8CQYLix5i78z8Cg8DKoUW2678AAAAAHAAAAPz8APwAAgAAAAAAAPC/Ak/RkVz+Q/S/AAAAAAAYAAAA/PwA/AACAAAAAAAA8L8CIUHxY8zdBUAAAAAAABgAAAD8/AD8AAIAAAAAAADwvwJBguLHmLv7PwAAAAAAGAAAAPz8APwAAgAAAAAAAPC/AjlFR3L5D9G/AAAAAAAYAAAA/PwA/AACAAAAAAAA8L8CBhIUP8bczT8Cg8DKoUW2678AAAAAIAAAAPz8APwAAgAAAAAAAPC/AiFB8WPM3QlAAoPAyqFFtus/AAAAABgAAAD8/AD8AAIAAAAAAADwvwJBguLHmLvzPwKDwMqhRbbrPwAAAAAYAAAA/PwA/AACAAAAAAAA8L8CBhIUP8bczT8Cg8DKoUW26z8AAAAAIAAAAPz8APwAAgAAAAAAAPC/AqfoSC7/IQrAAAAAAAAgAAAA/PwA/AACAAAAAAAA8L8CIUHxY8zdCUACg8DKoUW2678AAAAAGAAAAPz8APwAAgAAAAAAAPC/Ak/RkVz+Q/y/AoPAyqFFtus/AAAAABgAAAD8/AD8AAIAAAAAAADwvwJP0ZFc/kP8vwKDwMqhRbbrvwAAAAAYAAAA/PwA/AACAAAAAAAA8L8Cp+hILv8hBsACg8DKoUW2678AAAAAGAAAAPz8APwAAgAAAAAAAPC/AqfoSC7/IQbAAoPAyqFFtus/AAAAAAEQBBABZQQAAAAAAAAAAAgMAWUEAAAAAAAAAAAMAAFlCAwAAAAAAAAAEBQBZQgMAAAAAAAAABQAAWUEAAAAAAAAAAAYCAFlCAAAAAAAAAAAHAwBZQQAAAAAAAAAACAQAWUEAAAAAAAAAAAkNAFlBAAAAAAAAAAAKAgBZQQAAAAAAAAAACwEAWUEAAAAAAAAAAAwBAFlBAAAAAAAAAAANDABZQQAAAAAAAAAADgsAWUEAAAAAAAAAAAcIAFlCAgAAAAAAAAAOCQBZQQAAAAAAAAAAAAAAAA=</t>
        </r>
      </text>
    </comment>
    <comment ref="A1017" authorId="0" shapeId="0" xr:uid="{5F24B80D-8DCC-40F4-94F4-632223901CE5}">
      <text>
        <r>
          <rPr>
            <sz val="9"/>
            <color indexed="81"/>
            <rFont val="MS P ゴシック"/>
            <family val="3"/>
            <charset val="128"/>
          </rPr>
          <t>Insight iXlW00001C0001017R0585476093S00002032P01176LAocjBAQBF1NjaVRlZ2ljLmRhdGEuTW9sZWN1bGUBbwF/ARJTY2lUZWdpYy5Nb2xlY3VsZQAAAQFkAv5qAQAAAAIAAjwYAAAA/PwA/AACAAAAAAAA8L8C6Gor9pfd7T8CAW+BBMWP3T8AAAAAGAAAAPz8APwAAgAAAAAAAPC/AtDVVuwvu9s/AsrDQq1p3tm/AAAAABgAAAD8/AD8AAIAAAAAAADwvwLQ1VbsL7vbPwICvAUSFD/1PwAAAAAcAAAA/PwA/AACAAAAAAAA8L8CGJXUCWgi4r8CysNCrWne2b8AAAAAHAAAAPz8APwAAgAAAAAAAPC/AnS1FfvL7v4/AgFvgQTFj90/AAAAACAAAAD8/AD8AAIAAAAAAADwvwIYldQJaCLivwICvAUSFD/1PwAAAAAgAAAA/PwA/AACAAAAAAAA8L8CRiV1ApqIBMACysNCrWne2b8AAAAAIAAAAPz8APwAAgAAAAAAAPC/AuhqK/aX3e0/AiKOdXEbjQFAAAAAABgAAAD8/AD8AAIAAAAAAADwvwKMSuoENBHxvwI9vVKWIY7dPwAAAAAYAAAA/PwA/AACAAAAAAAA8L8CjErqBDQR8b8CNBE2PL1S9L8AAAAAGAAAAPz8APwAAgAAAAAAAPC/AuhqK/aX3e0/AjQRNjy9UvS/AAAAABgAAAD8/AD8AAIAAAAAAADwvwK62or9ZXcDQAIGEhQ/xtzZvwAAAAAYAAAA/PwA/AACAAAAAAAA8L8CRiV1ApqIAMACNBE2PL1S9L8AAAAAGAAAAPz8APwAAgAAAAAAAPC/AkYldQKaiADAAj29UpYhjt0/AAAAABgAAAD8/AD8AAIAAAAAAADwvwJ0tRX7y+7+PwLDZKpgVFL0vwAAAAABEAQAAWUEAAAAAAAAAAAIAAFlBAAAAAAAAAAADAQBZQQAAAAAAAAAABAAAWUICAAAAAAAAAAUCAFlCAAAAAAAAAAAGDABZQQAAAAAAAAAABwIAWUEAAAAAAAAAAAgDAFlBAAAAAAAAAAAJAwBZQQAAAAAAAAAACgEAWUICAAAAAAAAAAsEAFlBAAAAAAAAAAAMCQBZQQAAAAAAAAAADQgAWUEAAAAAAAAAAA4LAFlCAgAAAAAAAAAKDgBZQQAAAAAAAAAADQYAWUEAAAAAAAAAAAAAAAA</t>
        </r>
      </text>
    </comment>
    <comment ref="A1018" authorId="0" shapeId="0" xr:uid="{23228848-7EA3-4F3E-AC6D-F63979A9AD8F}">
      <text>
        <r>
          <rPr>
            <sz val="9"/>
            <color indexed="81"/>
            <rFont val="MS P ゴシック"/>
            <family val="3"/>
            <charset val="128"/>
          </rPr>
          <t>Insight iXlW00001C0001018R0585476093S00002034P01164LAocjBAQBF1NjaVRlZ2ljLmRhdGEuTW9sZWN1bGUBbwF/ARJTY2lUZWdpYy5Nb2xlY3VsZQAAAQFkAv5qAQAAAAIAAgEQHAAAAPz8APwAAgAAAAAAAPC/AQAAAAAAHAAAAPz8APwAAgAAAAAAAPC/AgAAAAAAAPi/AoPAyqFFtus/AAAAABgAAAD8/AD8AAIAAAAAAADwvwIAAAAAAAAIwAAAAAAAGAAAAPz8APwAAgAAAAAAAPC/AgAAAAAAAADAAAAAAAAcAAAA/PwA/AACAAAAAAAA8L8CAAAAAAAACEAAAAAAABgAAAD8/AD8AAIAAAAAAADwvwAAAAAAABgAAAD8/AD8AAIAAAAAAADwvwIAAAAAAADgvwKDwMqhRbbrPwAAAAAYAAAA/PwA/AACAAAAAAAA8L8CAAAAAAAA+D8Cg8DKoUW2678AAAAAGAAAAPz8APwAAgAAAAAAAPC/AgAAAAAAAPg/AoPAyqFFtus/AAAAACAAAAD8/AD8AAIAAAAAAADwvwIAAAAAAAAMwAKDwMqhRbbrvwAAAAAYAAAA/PwA/AACAAAAAAAA8L8CAAAAAAAA+L8Cg8DKoUW2678AAAAAGAAAAPz8APwAAgAAAAAAAPC/AgAAAAAAAOC/AoPAyqFFtuu/AAAAABgAAAD8/AD8AAIAAAAAAADwvwIAAAAAAAAEQAKDwMqhRbbrPwAAAAAYAAAA/PwA/AACAAAAAAAA8L8CAAAAAAAABEACg8DKoUW2678AAAAAIAAAAPz8APwAAgAAAAAAAPC/AgAAAAAAAAzAAoPAyqFFtus/AAAAABgAAAD8/AD8AAIAAAAAAADwvwIAAAAAAAAQQAAAAAAAAREEGAFlBAAAAAAAAAAACAwBZQQAAAAAAAAAAAwoAWUEAAAAAAAAAAAQMAFlBAAAAAAAAAAAFAABZQQAAAAAAAAAABgUAWUIDAAAAAAAAAAcAAFlBAAAAAAAAAAAIAABZQQAAAAAAAAAACQIAWUIAAAAAAAAAAAoLAFlCAgAAAAAAAAALBQBZQQAAAAAAAAAADAgAWUEAAAAAAAAAAA0HAFlBAAAAAAAAAAAOAgBZQQAAAAAAAAAADwQAWUEAAAAAAAAAAA0EAFlBAAAAAAAAAAABAwBZQgMAAAAAAAAAAAAAAA=</t>
        </r>
      </text>
    </comment>
    <comment ref="A1019" authorId="0" shapeId="0" xr:uid="{AB4AAA4A-F92B-49C2-A95D-1D15AA6D4A70}">
      <text>
        <r>
          <rPr>
            <sz val="9"/>
            <color indexed="81"/>
            <rFont val="MS P ゴシック"/>
            <family val="3"/>
            <charset val="128"/>
          </rPr>
          <t>Insight iXlW00001C0001019R0585476093S00002036P01104LAocjBAQBF1NjaVRlZ2ljLmRhdGEuTW9sZWN1bGUBbwF/ARJTY2lUZWdpYy5Nb2xlY3VsZQAAAQFkAv5qAQAAAAIAAjgcAAAA/PwA/AACAAAAAAAA8L8C6iYxCKwc1j8CZ9Xnaiv2078AAAAAGAAAAPz8APwAAgAAAAAAAPC/AuomMQisHNY/Ak0VjErqBOY/AAAAABgAAAD8/AD8AAIAAAAAAADwvwLJdr6fGi/2vwJn1edqK/bTvwAAAAAcAAAA/PwA/AACAAAAAAAA8L8CyeU/pN++9D8CysNCrWne478AAAAAGAAAAPz8APwAAgAAAAAAAPC/AsnlP6TfvvQ/AmTuWkI+6O8/AAAAABwAAAD8/AD8AAIAAAAAAADwvwIPLbKd76fgvwKnCkYldQLzPwAAAAAYAAAA/PwA/AACAAAAAAAA8L8CDy2yne+n4L8CtOpztRX76b8AAAAAGAAAAPz8APwAAgAAAAAAAPC/AoXrUbgeBQLAArTqc7UV++m/AAAAABgAAAD8/AD8AAIAAAAAAADwvwLJdr6fGi/2vwJNFYxK6gTmPwAAAAAYAAAA/PwA/AACAAAAAAAA8L8Cg1FJnYAm/j8CM1UwKqkTyD8AAAAAIAAAAPz8APwAAgAAAAAAAPC/AoXrUbgeBQLAAlr1udqK/fy/AAAAACAAAAD8/AD8AAIAAAAAAADwvwKmm8QgsPIIwAKjI7n8h/TTvwAAAAAYAAAA/PwA/AACAAAAAAAA8L8CwqikTkATB0ACM1UwKqkTyD8AAAAAGAAAAPz8APwAAgAAAAAAAPC/AsKopE5AEwtAAlkXt9EA3vA/AAAAADwEAAFlBAAAAAAAAAAACBgBZQgMAAAAAAAAAAwAAWUEAAAAAAAAAAAQBAFlCAgAAAAAAAAAFAQBZQQAAAAAAAAAABgAAWUEAAAAAAAAAAAcCAFlBAAAAAAAAAAAIAgBZQQAAAAAAAAAACQMAWUIDAAAAAAAAAAoHAFlCAAAAAAAAAAALBwBZQQAAAAAAAAAADAkAWUEAAAAAAAAAAA0MAFlBAAAAAAAAAAAECQBZQQAAAAAAAAAABQgAWUICAAAAAAAAAAAAAAA</t>
        </r>
      </text>
    </comment>
    <comment ref="A1020" authorId="0" shapeId="0" xr:uid="{071E304C-97B9-4A97-9EFC-67C0DCD5E385}">
      <text>
        <r>
          <rPr>
            <sz val="9"/>
            <color indexed="81"/>
            <rFont val="MS P ゴシック"/>
            <family val="3"/>
            <charset val="128"/>
          </rPr>
          <t>Insight iXlW00001C0001020R0585476093S00002038P01412LAocjBAQBF1NjaVRlZ2ljLmRhdGEuTW9sZWN1bGUBbwF/ARJTY2lUZWdpYy5Nb2xlY3VsZQAAAQFkAv5qAQAAAAIAAgESHAAAAPz8APwAAgAAAAAAAPC/AgisHFpkO+O/Ah8Wak3zjtO/AAAAABgAAAD8/AD8AAIAAAAAAADwvwIIrBxaZDvjvwLx9EpZhjjmPwAAAAAcAAAA/PwA/AACAAAAAAAA8L8CKxiV1Alo1j8CJuSDns2q478AAAAAGAAAAPz8APwAAgAAAAAAAPC/AisYldQJaNY/AgTnjCjtDfA/AAAAABgAAAD8/AD8AAIAAAAAAADwvwJEi2zn+6kCwAIfFmpN847TvwAAAAAYAAAA/PwA/AACAAAAAAAA8L8CiWNd3EYD7j8CxNMrZRniyD8AAAAAHAAAAPz8APwAAgAAAAAAAPC/Aka28/3UePe/Anl6pSxDHPM/AAAAABgAAAD8/AD8AAIAAAAAAADwvwJGtvP91Hj3vwIQC7WmecfpvwAAAAAYAAAA/PwA/AACAAAAAAAA8L8CnRGlvcGXCcACEAu1pnnH6b8AAAAAGAAAAPz8APwAAgAAAAAAAPC/AkSLbOf7qQLAAvH0SlmGOOY/AAAAACAAAAD8/AD8AAIAAAAAAADwvwKdEaW9wZcJwAKIhVrTvOP8vwAAAAAYAAAA/PwA/AACAAAAAAAA8L8CxbEubqMB/z8CxNMrZRniyD8AAAAAIAAAAPz8APwAAgAAAAAAAPC/AuNYF7fRgA9AAsTTK2UZ4sg/AAAAACAAAAD8/AD8AAIAAAAAAADwvwLf4AuTqUIQwAJaZDvfT43TvwAAAAAYAAAA/PwA/AACAAAAAAAA8L8C4lgXt9GAC0ACutqK/WX38D8AAAAAGAAAAPz8APwAAgAAAAAAAPC/AuJYF7fRgAtAApPLf0i/feW/AAAAABgAAAD8/AD8AAIAAAAAAADwvwLiWBe30YADQAK62or9ZffwPwAAAAAYAAAA/PwA/AACAAAAAAAA8L8C4lgXt9GAA0ACk8t/SL995b8AAAAAARQEAAFlBAAAAAAAAAAACAABZQQAAAAAAAAAAAwEAWUICAAAAAAAAAAQHAFlCAwAAAAAAAAAFAgBZQgMAAAAAAAAABgEAWUEAAAAAAAAAAAcAAFlBAAAAAAAAAAAIBABZQQAAAAAAAAAACQQAWUEAAAAAAAAAAAoIAFlCAAAAAAAAAAALBQBZQQAAAAAAAAAADA8AWUEAAAAAAAAAAA0IAFlBAAAAAAAAAAAOAEQAWUEAAAAAAAAAAA8AREBZQQAAAAAAAAAAAEQLAFlBAAAAAAAAAAAAREsAWUEAAAAAAAAAAAMFAFlBAAAAAAAAAAAGCQBZQgIAAAAAAAAADgwAWUEAAAAAAAAAAAAAAAA</t>
        </r>
      </text>
    </comment>
    <comment ref="A1021" authorId="0" shapeId="0" xr:uid="{76C2FA52-225A-42EA-9366-B2C9A6066FC7}">
      <text>
        <r>
          <rPr>
            <sz val="9"/>
            <color indexed="81"/>
            <rFont val="MS P ゴシック"/>
            <family val="3"/>
            <charset val="128"/>
          </rPr>
          <t>Insight iXlW00001C0001021R0585476093S00002040P00964LAocjBAQBF1NjaVRlZ2ljLmRhdGEuTW9sZWN1bGUBbwF/ARJTY2lUZWdpYy5Nb2xlY3VsZQAAAQFkAv5qAQAAAAIAAjAYAAAA/PwA/AACAAAAAAAA8L8Cr7Zif9k9yT8CYOXQItv54L8AAAAAGAAAAPz8APwAAgAAAAAAAPC/Aq+2Yn/ZPck/AkA1XrpJDN4/AAAAABgAAAD8/AD8AAIAAAAAAADwvwLYEvJBz2blvwKgGi/dJAbvPwAAAAAYAAAA/PwA/AACAAAAAAAA8L8C2BLyQc9m5b8CsHJoke188L8AAAAAGAAAAPz8APwAAgAAAAAAAPC/AmwJ+aBns/K/ApLtfD81Xv0/AAAAABgAAAD8/AD8AAIAAAAAAADwvwJsCfmgZ7P6vwKgGi/dJAbvPwAAAAAcAAAA/PwA/AACAAAAAAAA8L8CGLfRAN4C8T8CoBov3SQG7z8AAAAAIAAAAPz8APwAAgAAAAAAAPC/ArprCfmgZ+W/Alg5tMh2PgDAAAAAACAAAAD8/AD8AAIAAAAAAADwvwIfFmpN8474vwJg5dAi2/ngvwAAAAAYAAAA/PwA/AACAAAAAAAA8L8CGLfRAN4C8T8CsHJoke188L8AAAAAGAAAAPz8APwAAgAAAAAAAPC/AlkXt9EA3v4/AkA1XrpJDN4/AAAAABgAAAD8/AD8AAIAAAAAAADwvwJZF7fRAN7+PwJg5dAi2/ngvwAAAAA0BAABZQQAAAAAAAAAAAgEAWUEAAAAAAAAAAAMAAFlBAAAAAAAAAAAEAgBZQQAAAAAAAAAABQIAWUEAAAAAAAAAAAYBAFlCAgAAAAAAAAAHAwBZQgAAAAAAAAAACAMAWUEAAAAAAAAAAAkAAFlCAgAAAAAAAAAKCwBZQgIAAAAAAAAACwkAWUEAAAAAAAAAAAoGAFlBAAAAAAAAAAAFBABZQQAAAAAAAAAAAAAAAA=</t>
        </r>
      </text>
    </comment>
    <comment ref="A1022" authorId="0" shapeId="0" xr:uid="{35DDFCAD-DA83-490C-94ED-261EF94BB485}">
      <text>
        <r>
          <rPr>
            <sz val="9"/>
            <color indexed="81"/>
            <rFont val="MS P ゴシック"/>
            <family val="3"/>
            <charset val="128"/>
          </rPr>
          <t>Insight iXlW00001C0001022R0585476093S00002042P00964LAocjBAQBF1NjaVRlZ2ljLmRhdGEuTW9sZWN1bGUBbwF/ARJTY2lUZWdpYy5Nb2xlY3VsZQAAAQFkAv5qAQAAAAIAAjAcAAAA/PwA/AACAAAAAAAA8L8CRiV1ApoIqz8C18VtNIC32D8AAAAAGAAAAPz8APwAAgAAAAAAAPC/AlkXt9EA3vq/AtfFbTSAt9g/AAAAABgAAAD8/AD8AAIAAAAAAADwvwLYEvJBz2btPwKo6Egu/yG9vwAAAAAYAAAA/PwA/AACAAAAAAAA8L8CL26jAbwF6r8CqOhILv8hvb8AAAAAGAAAAPz8APwAAgAAAAAAAPC/Ah8Wak3zjvw/AtfFbTSAt9g/AAAAABgAAAD8/AD8AAIAAAAAAADwvwKti9toAG8BwAK30QDeAgn0PwAAAAAYAAAA/PwA/AACAAAAAAAA8L8CrYvbaABvBcAC18VtNIC32D8AAAAAIAAAAPz8APwAAgAAAAAAAPC/Ah8Wak3zjvw/AnZxGw3gLfY/AAAAACAAAAD8/AD8AAIAAAAAAADwvwIwuycPCzUFQAKo6Egu/yG9vwAAAAAYAAAA/PwA/AACAAAAAAAA8L8C2BLyQc9m7T8Ci47k8h/S8b8AAAAAGAAAAPz8APwAAgAAAAAAAPC/Ai9uowG8Beq/AouO5PIf0vG/AAAAABgAAAD8/AD8AAIAAAAAAADwvwJGJXUCmgirPwKLjuTyH9L5vwAAAAA0BAwBZQQAAAAAAAAAAAgAAWUEAAAAAAAAAAAMAAFlCAwAAAAAAAAAEAgBZQQAAAAAAAAAABQEAWUEAAAAAAAAAAAYBAFlBAAAAAAAAAAAHBABZQgAAAAAAAAAACAQAWUEAAAAAAAAAAAkCAFlCAgAAAAAAAAAKAwBZQQAAAAAAAAAACwoAWUICAAAAAAAAAAkLAFlBAAAAAAAAAAAGBQBZQQAAAAAAAAAAAAAAAA=</t>
        </r>
      </text>
    </comment>
    <comment ref="A1023" authorId="0" shapeId="0" xr:uid="{C2E07FDA-D28F-4D69-842F-33B5F97D2A13}">
      <text>
        <r>
          <rPr>
            <sz val="9"/>
            <color indexed="81"/>
            <rFont val="MS P ゴシック"/>
            <family val="3"/>
            <charset val="128"/>
          </rPr>
          <t>Insight iXlW00001C0001023R0585476093S00002044P01832LAocjBAQBF1NjaVRlZ2ljLmRhdGEuTW9sZWN1bGUBbwF/ARJTY2lUZWdpYy5Nb2xlY3VsZQAAAQFkAv5qAQAAAAIAAgEYGAAAAPz8APwAAgAAAAAAAPC/AqW9wRcmUwHAAn9qvHSTGMw/AAAAABwAAAD8/AD8AAIAAAAAAADwvwJKe4MvTKbyvwJ/arx0kxjMPwAAAAAYAAAA/PwA/AACAAAAAAAA8L8CbAn5oGez6j8Cf2q8dJMYzD8AAAAAIAAAAPz8APwAAgAAAAAAAPC/AqW9wRcmUwXAAuSlm8QgsOS/AAAAABgAAAD8/AD8AAIAAAAAAADwvwLP91PjpZv5PwIsZRniWBfbvwAAAAAYAAAA/PwA/AACAAAAAAAA8L8CwOyePCzU9j8CzBDHuriN/T8AAAAAGAAAAPz8APwAAgAAAAAAAPC/As/3U+Olm/k/Atbnaiv2l+s/AAAAACAAAAD8/AD8AAIAAAAAAADwvwKlvcEXJlMFwAIDmggbnl7xPwAAAAAYAAAA/PwA/AACAAAAAAAA8L8ClfYGX5hM5b8C5KWbxCCw5L8AAAAAGAAAAPz8APwAAgAAAAAAAPC/ApX2Bl+YTOW/ApLtfD81XvE/AAAAABgAAAD8/AD8AAIAAAAAAADwvwLYEvJBz2bVPwLkpZvEILDkvwAAAAAYAAAA/PwA/AACAAAAAAAA8L8C2BLyQc9m1T8Cku18PzVe8T8AAAAAGAAAAPz8APwAAgAAAAAAAPC/AsNkqmBUUgRAAkVpb/CFybS/AAAAABgAAAD8/AD8AAIAAAAAAADwvwKlvcEXJlMNwALkpZvEILDkvwAAAAAgAAAA/PwA/AACAAAAAAAA8L8CI2x4eqUs3z8CiWNd3EaDAUAAAAAAGAAAAPz8APwAAgAAAAAAAPC/AhdIUPwYcwpAAl+6SQwCK+e/AAAAACAAAAD8/AD8AAIAAAAAAADwvwLtL7snD4sBQAKze/KwUOsDQAAAAAABEQAAAPz8APwAAgAAAAAAAPC/AnlYqDXN+xBAAqabxCCwcti/AAAAABgAAAD8/AD8AAIAAAAAAADwvwLA7J48LNT2PwIs9pfdk4f2vwAAAAAYAAAA/PwA/AACAAAAAAAA8L8CtFn1udqKAUACY+5aQj5oAMAAAAAAGAAAAPz8APwAAgAAAAAAAPC/AqW9wRcmUw3AAvLSTWIQWPq/AAAAABgAAAD8/AD8AAIAAAAAAADwvwLT3uALk6kSwALkpZvEILDkvwAAAAAYAAAA/PwA/AACAAAAAAAA8L8Cpb3BFyZTDcACOrTIdr6f1j8AAAAAGAAAAPz8APwAAgAAAAAAAPC/ApDC9ShcDwlAAhB6Nqs+V/u/AAAAAAEZBAABZQQAAAAAAAAAAAgsAWUEAAAAAAAAAAAMAAFlBAAAAAAAAAAAEAgBZQQAAAAAAAAAABQYAWUEAAAAAAAAAAAYCAFlBAAAAAAAAAAAHAABZQgAAAAAAAAAACAEAWUEAAAAAAAAAAAkBAFlBAAAAAAAAAAAKCABZQQAAAAAAAAAACwkAWUEAAAAAAAAAAAwEAFlBAAAAAAAAAAANAwBZQQAAAAAAAAAADgUAWUIAAAAAAAAAAA8MAFlCAwAAAAAAAAAARAUAWUEAAAAAAAAAAABETwBZQQAAAAAAAAAAAESEAFlCAwAAAAAAAAAARMBEgFlBAAAAAAAAAAAARQ0AWUEAAAAAAAAAAABFTQBZQQAAAAAAAAAAAEWNAFlBAAAAAAAAAAAARcBEwFlCAgAAAAAAAAACCgBZQQAAAAAAAAAADwBFwFlBAAAAAAAAAAAAAAAAA==</t>
        </r>
      </text>
    </comment>
    <comment ref="A1024" authorId="0" shapeId="0" xr:uid="{4C977F3D-C2B0-4472-93F7-2B926B1D8D34}">
      <text>
        <r>
          <rPr>
            <sz val="9"/>
            <color indexed="81"/>
            <rFont val="MS P ゴシック"/>
            <family val="3"/>
            <charset val="128"/>
          </rPr>
          <t>Insight iXlW00001C0001024R0585476093S00002046P01088LAocjBAQBF1NjaVRlZ2ljLmRhdGEuTW9sZWN1bGUBbwF/ARJTY2lUZWdpYy5Nb2xlY3VsZQAAAQFkAv5qAQAAAAIAAjgYAAAA/PwA/AACAAAAAAAA8L8CQKTfvg4cB0ACelioNc077D8AAAAAGAAAAPz8APwAAgAAAAAAAPC/ApzEILByaAJAAhb7y+7Jw7I/AAAAABgAAAD8/AD8AAIAAAAAAADwvwIQ6bevA+f0PwLJ5T+k377GPwAAAAAcAAAA/PwA/AACAAAAAAAA8L8CorQ3+MJk5D8Cf2q8dJMY4r8AAAAAGAAAAPz8APwAAgAAAAAAAPC/AszuycNCrdG/Ao4G8BZIUMS/AAAAABgAAAD8/AD8AAIAAAAAAADwvwLM7snDQq3RvwLSAN4CCYryvwAAAAAYAAAA/PwA/AACAAAAAAAA8L8C9dvXgXNG8r8C0gDeAgmK+r8AAAAAHAAAAPz8APwAAgAAAAAAAPC/AhueXinLEADAAtIA3gIJivK/AAAAABgAAAD8/AD8AAIAAAAAAADwvwIbnl4pyxAAwAKOBvAWSFDEvwAAAAAYAAAA/PwA/AACAAAAAAAA8L8C9dvXgXNG8r8CufyH9NvX1T8AAAAAGAAAAPz8APwAAgAAAAAAAPC/AtKRXP5D+sW/AsnlP6Tfvuo/AAAAACAAAAD8/AD8AAIAAAAAAADwvwKEL0ymCkbtvwIVrkfhehT4PwAAAAAcAAAA/PwA/AACAAAAAAAA8L8CINJvXwfO6T8C+1xtxf6y8D8AAAAAAREAAAD8/AD8AAIAAAAAAADwvwKnCkYldYINQAJz+Q/pt6+zvwAAAAA4AAQBZQQAAAAAAAAAAAQIAWUEAAAAAAAAAAAIDAFlCAwAAAAAAAAADBABZQQAAAAAAAAAABAUAWUEAAAAAAAAAAAUGAFlBAAAAAAAAAAAGBwBZQQAAAAAAAAAABwgAWUEAAAAAAAAAAAgJAFlBAAAAAAAAAAAJBABZQQAAAAAAAAAABAoAWUEAAAAAAAAAAAoLAFlCAAAAAAAAAAAKDABZQQAAAAAAAAAADAIAWUEAAAAAAAAAAAAAAAA</t>
        </r>
      </text>
    </comment>
    <comment ref="A1025" authorId="0" shapeId="0" xr:uid="{F019D3D6-E45D-4D80-BF08-2548272F3FDF}">
      <text>
        <r>
          <rPr>
            <sz val="9"/>
            <color indexed="81"/>
            <rFont val="MS P ゴシック"/>
            <family val="3"/>
            <charset val="128"/>
          </rPr>
          <t>Insight iXlW00001C0001025R0585476093S00002048P01104LAocjBAQBF1NjaVRlZ2ljLmRhdGEuTW9sZWN1bGUBbwF/ARJTY2lUZWdpYy5Nb2xlY3VsZQAAAQFkAv5qAQAAAAIAAjgYAAAA/PwA/AACAAAAAAAA8L8CDQIrhxbZ8D8C1zTvOEVHsj8AAAAAHAAAAPz8APwAAgAAAAAAAPC/AvAWSFD8GN+/AssyxLEubtu/AAAAABgAAAD8/AD8AAIAAAAAAADwvwLwFkhQ/BjfvwKb5h2n6EjiPwAAAAAcAAAA/PwA/AACAAAAAAAA8L8CS1mGONbF3T8CfPKwUGua578AAAAAGAAAAPz8APwAAgAAAAAAAPC/AktZhjjWxd0/ArK/7J48LOw/AAAAABgAAAD8/AD8AAIAAAAAAADwvwIGgZVDi2wAQALXNO84RUeyPwAAAAAcAAAA/PwA/AACAAAAAAAA8L8C/mX35GGh9b8CTvOOU3Qk8T8AAAAAGAAAAPz8APwAAgAAAAAAAPC/Av5l9+RhofW/AmYZ4lgXt+2/AAAAABgAAAD8/AD8AAIAAAAAAADwvwIgY+5aQr4BwALLMsSxLm7bvwAAAAAYAAAA/PwA/AACAAAAAAAA8L8CIGPuWkK+AcACm+Ydp+hI4j8AAAAAJAAAAPz8APwAAgAAAAAAAPC/AgaBlUOLbABAAk7zjlN0JPE/AAAAACQAAAD8/AD8AAIAAAAAAADwvwIGgZVDi2wIQALXNO84RUeyPwAAAAAkAAAA/PwA/AACAAAAAAAA8L8CBoGVQ4tsAEACZhniWBe37b8AAAAAHAAAAPz8APwAAgAAAAAAAPC/AkETYcPTqwjAAmYZ4lgXt+2/AAAAADwEDAFlBAAAAAAAAAAACBABZQgMAAAAAAAAAAwAAWUICAAAAAAAAAAQAAFlBAAAAAAAAAAAFAABZQQAAAAAAAAAABgIAWUEAAAAAAAAAAAcBAFlBAAAAAAAAAAAIBwBZQgMAAAAAAAAACQYAWUICAAAAAAAAAAoFAFlBAAAAAAAAAAALBQBZQQAAAAAAAAAADAUAWUEAAAAAAAAAAA0IAFlBAAAAAAAAAAABAgBZQQAAAAAAAAAACAkAWUEAAAAAAAAAAAAAAAA</t>
        </r>
      </text>
    </comment>
    <comment ref="A1026" authorId="0" shapeId="0" xr:uid="{B284495E-0411-4ED6-9797-18B27B4E2CE5}">
      <text>
        <r>
          <rPr>
            <sz val="9"/>
            <color indexed="81"/>
            <rFont val="MS P ゴシック"/>
            <family val="3"/>
            <charset val="128"/>
          </rPr>
          <t>Insight iXlW00001C0001026R0585476093S00002050P01196LAocjBAQBF1NjaVRlZ2ljLmRhdGEuTW9sZWN1bGUBbwF/ARJTY2lUZWdpYy5Nb2xlY3VsZQAAAQFkAv5qAQAAAAIAAjwcAAAA/PwA/AACAAAAAAAA8L8CpN++Dpwzsj8C/fZ14JwR0b8AAAAAGAAAAPz8APwAAgAAAAAAAPC/AqTfvg6cM7I/AoIExY8xd+c/AAAAABwAAAD8/AD8AAIAAAAAAADwvwIJih9j7lrwPwKV1AloImzivwAAAAAYAAAA/PwA/AACAAAAAAAA8L8CCYofY+5a8D8CzO7Jw0Kt8D8AAAAAGAAAAPz8APwAAgAAAAAAAPC/AonS3uALk/q/Av32deCcEdG/AAAAABgAAAD8/AD8AAIAAAAAAADwvwLD9Shcj8L5PwIGEhQ/xtzNPwAAAAAcAAAA/PwA/AACAAAAAAAA8L8Cj+TyH9Jv6b8CQYLix5i78z8AAAAAGAAAAPz8APwAAgAAAAAAAPC/Ao/k8h/Sb+m/An/7OnDOiOi/AAAAABgAAAD8/AD8AAIAAAAAAADwvwLiehSuR+EEQAIGEhQ/xtzNPwAAAAAYAAAA/PwA/AACAAAAAAAA8L8CZRniWBc3BMACf/s6cM6I6L8AAAAAGAAAAPz8APwAAgAAAAAAAPC/AonS3uALk/q/AoIExY8xd+c/AAAAABgAAAD8/AD8AAIAAAAAAADwvwICK4cW2c4LQAL99nXgnBHRvwAAAAAYAAAA/PwA/AACAAAAAAAA8L8CAiuHFtnOC0ACggTFjzF35z8AAAAAIAAAAPz8APwAAgAAAAAAAPC/AmUZ4lgXNwTAAsB9HThnRPy/AAAAACAAAAD8/AD8AAIAAAAAAADwvwK/nxov3SQLwAL99nXgnBHRvwAAAAABEQQAAWUEAAAAAAAAAAAIAAFlBAAAAAAAAAAADAQBZQgIAAAAAAAAABAcAWUIDAAAAAAAAAAUCAFlCAwAAAAAAAAAGAQBZQQAAAAAAAAAABwAAWUEAAAAAAAAAAAgFAFlBAAAAAAAAAAAJBABZQQAAAAAAAAAACgQAWUEAAAAAAAAAAAsIAFlBAAAAAAAAAAAMCABZQQAAAAAAAAAADQkAWUIAAAAAAAAAAA4JAFlBAAAAAAAAAAADBQBZQQAAAAAAAAAABgoAWUICAAAAAAAAAAwLAFlBAAAAAAAAAAAAAAAAA==</t>
        </r>
      </text>
    </comment>
    <comment ref="A1027" authorId="0" shapeId="0" xr:uid="{75D1CF07-22EC-45EC-8A7F-477CF50DD295}">
      <text>
        <r>
          <rPr>
            <sz val="9"/>
            <color indexed="81"/>
            <rFont val="MS P ゴシック"/>
            <family val="3"/>
            <charset val="128"/>
          </rPr>
          <t>Insight iXlW00001C0001027R0585476093S00002052P00964LAocjBAQBF1NjaVRlZ2ljLmRhdGEuTW9sZWN1bGUBbwF/ARJTY2lUZWdpYy5Nb2xlY3VsZQAAAQFkAv5qAQAAAAIAAjAYAAAA/PwA/AACAAAAAAAA8L8Cg8DKoUW20z8CwcqhRbbz2T8AAAAAGAAAAPz8APwAAgAAAAAAAPC/AkJg5dAi2+G/Av7UeOkmMbi/AAAAABgAAAD8/AD8AAIAAAAAAADwvwJjEFg5tMjyPwL+1HjpJjG4vwAAAAAYAAAA/PwA/AACAAAAAAAA8L8CQmDl0CLb4b8CUI2XbhKD8b8AAAAAGAAAAPz8APwAAgAAAAAAAPC/AmMQWDm0yPo/AiPb+X5qvO6/AAAAABgAAAD8/AD8AAIAAAAAAADwvwIxCKwcWmQBQAL+1HjpJjG4vwAAAAAgAAAA/PwA/AACAAAAAAAA8L8Cg8DKoUW20z8CUI2XbhKD+b8AAAAAHAAAAPz8APwAAgAAAAAAAPC/AkJg5dAi2+G/ArFyaJHtfP4/AAAAACAAAAD8/AD8AAIAAAAAAADwvwJjEFg5tMj2vwJQjZduEoP5vwAAAAAYAAAA/PwA/AACAAAAAAAA8L8Cg8DKoUW20z8CsHJoke189j8AAAAAGAAAAPz8APwAAgAAAAAAAPC/AmMQWDm0yPa/AsHKoUW289k/AAAAABgAAAD8/AD8AAIAAAAAAADwvwJjEFg5tMj2vwKwcmiR7Xz2PwAAAAA0BAABZQQAAAAAAAAAAAgAAWUEAAAAAAAAAAAMBAFlBAAAAAAAAAAAEAgBZQQAAAAAAAAAABQIAWUEAAAAAAAAAAAYDAFlCAAAAAAAAAAAHCQBZQQAAAAAAAAAACAMAWUEAAAAAAAAAAAkAAFlCAgAAAAAAAAAKAQBZQgIAAAAAAAAACwcAWUICAAAAAAAAAAQFAFlBAAAAAAAAAAAKCwBZQQAAAAAAAAAAAAAAAA=</t>
        </r>
      </text>
    </comment>
    <comment ref="A1028" authorId="0" shapeId="0" xr:uid="{66B5CE96-0C58-48A2-840C-10C526DBD9F4}">
      <text>
        <r>
          <rPr>
            <sz val="9"/>
            <color indexed="81"/>
            <rFont val="MS P ゴシック"/>
            <family val="3"/>
            <charset val="128"/>
          </rPr>
          <t>Insight iXlW00001C0001028R0585476093S00002054P00964LAocjBAQBF1NjaVRlZ2ljLmRhdGEuTW9sZWN1bGUBbwF/ARJTY2lUZWdpYy5Nb2xlY3VsZQAAAQFkAv5qAQAAAAIAAjAYAAAA/PwA/AACAAAAAAAA8L8CWRe30QDe+r8C18VtNIC32D8AAAAAGAAAAPz8APwAAgAAAAAAAPC/Ai9uowG8Beq/ArivA+eMKL2/AAAAABgAAAD8/AD8AAIAAAAAAADwvwIfFmpN8478PwLXxW00gLfYPwAAAAAYAAAA/PwA/AACAAAAAAAA8L8CrYvbaABvAcACt9EA3gIJ9D8AAAAAGAAAAPz8APwAAgAAAAAAAPC/Aq2L22gAbwXAAtfFbTSAt9g/AAAAABgAAAD8/AD8AAIAAAAAAADwvwK6awn5oGftPwKo6Egu/yG9vwAAAAAYAAAA/PwA/AACAAAAAAAA8L8CRiV1ApoIqz8CEhQ/xty12D8AAAAAHAAAAPz8APwAAgAAAAAAAPC/Ai9uowG8Beq/AouO5PIf0vG/AAAAACAAAAD8/AD8AAIAAAAAAADwvwIfFmpN8478PwJ2cRsN4C32PwAAAAAgAAAA/PwA/AACAAAAAAAA8L8CMLsnDws1BUACqOhILv8hvb8AAAAAGAAAAPz8APwAAgAAAAAAAPC/AkYldQKaCKs/AouO5PIf0vm/AAAAABgAAAD8/AD8AAIAAAAAAADwvwLYEvJBz2btPwKLjuTyH9LxvwAAAAA0BAABZQQAAAAAAAAAAAgUAWUEAAAAAAAAAAAMAAFlBAAAAAAAAAAAEAABZQQAAAAAAAAAABQYAWUIDAAAAAAAAAAYBAFlBAAAAAAAAAAAHAQBZQgMAAAAAAAAACAIAWUIAAAAAAAAAAAkCAFlBAAAAAAAAAAAKBwBZQQAAAAAAAAAACwoAWUICAAAAAAAAAAQDAFlBAAAAAAAAAAAFCwBZQQAAAAAAAAAAAAAAAA=</t>
        </r>
      </text>
    </comment>
    <comment ref="A1029" authorId="0" shapeId="0" xr:uid="{A4069126-DEDA-4F1F-9B6B-A72966808730}">
      <text>
        <r>
          <rPr>
            <sz val="9"/>
            <color indexed="81"/>
            <rFont val="MS P ゴシック"/>
            <family val="3"/>
            <charset val="128"/>
          </rPr>
          <t>Insight iXlW00001C0001029R0585476093S00002056P01036LAocjBAQBF1NjaVRlZ2ljLmRhdGEuTW9sZWN1bGUBbwF/ARJTY2lUZWdpYy5Nb2xlY3VsZQAAAQFkAv5qAQAAAAIAAjQYAAAA/PwA/AACAAAAAAAA8L8Cg+LHmLuW1D8CEhQ/xty15L8AAAAAGAAAAPz8APwAAgAAAAAAAPC/AoPix5i7ltQ/AtzXgXNGlNY/AAAAABgAAAD8/AD8AAIAAAAAAADwvwIkKH6MuWvhvwIJih9j7lryvwAAAAAcAAAA/PwA/AACAAAAAAAA8L8C4lgXt9EA8z8C7uvAOSNK6z8AAAAAIAAAAPz8APwAAgAAAAAAAPC/AiQofoy5a+G/AgXFjzF3LQHAAAAAABgAAAD8/AD8AAIAAAAAAADwvwIkKH6MuWvhvwIMk6mCUUnrPwAAAAAgAAAA/PwA/AACAAAAAAAA8L8CVHQkl/+Q9r8CEhQ/xty15L8AAAAAGAAAAPz8APwAAgAAAAAAAPC/AuJYF7fRAPM/AgmKH2PuWvK/AAAAABgAAAD8/AD8AAIAAAAAAADwvwJZqDXNO078vwIU0ETY8PT4PwAAAAAYAAAA/PwA/AACAAAAAAAA8L8Cklz+Q/ptAEAC3NeBc0aU1j8AAAAAGAAAAPz8APwAAgAAAAAAAPC/AnxhMlUwKvi/AlMFo5I6AeM/AAAAABgAAAD8/AD8AAIAAAAAAADwvwLdtYR80LPpvwJhw9MrZRn9PwAAAAAYAAAA/PwA/AACAAAAAAAA8L8Cklz+Q/ptAEACEhQ/xty15L8AAAAAOAQAAWUEAAAAAAAAAAAIAAFlBAAAAAAAAAAADAQBZQgIAAAAAAAAABAIAWUIAAAAAAAAAAAUBAFlBAAAAAAAAAAAGAgBZQQAAAAAAAAAABwAAWUICAAAAAAAAAAgLAFlBAAAAAAAAAAAJDABZQgIAAAAAAAAACgUAWUEAAAAAAAAAAAsFAFlBAAAAAAAAAAAMBwBZQQAAAAAAAAAACQMAWUEAAAAAAAAAAAoIAFlBAAAAAAAAAAAAAAAAA==</t>
        </r>
      </text>
    </comment>
    <comment ref="A1030" authorId="0" shapeId="0" xr:uid="{19914280-F192-4CB6-937F-D032A5232256}">
      <text>
        <r>
          <rPr>
            <sz val="9"/>
            <color indexed="81"/>
            <rFont val="MS P ゴシック"/>
            <family val="3"/>
            <charset val="128"/>
          </rPr>
          <t>Insight iXlW00001C0001030R0585476093S00002058P01036LAocjBAQBF1NjaVRlZ2ljLmRhdGEuTW9sZWN1bGUBbwF/ARJTY2lUZWdpYy5Nb2xlY3VsZQAAAQFkAv5qAQAAAAIAAjQcAAAA/PwA/AACAAAAAAAA8L8CUrgehetR0D8CzH9Iv30d1D8AAAAAGAAAAPz8APwAAgAAAAAAAPC/AlYOLbKd7/E/AmkAb4EExce/AAAAABgAAAD8/AD8AAIAAAAAAADwvwIJG55eKcv/PwLMf0i/fR3UPwAAAAAYAAAA/PwA/AACAAAAAAAA8L8CWmQ730+N478CaQBvgQTFx78AAAAAIAAAAPz8APwAAgAAAAAAAPC/Agkbnl4py/8/AvMf0m9fB/U/AAAAABgAAAD8/AD8AAIAAAAAAADwvwJvEoPAyqH3vwLMf0i/fR3UPwAAAAAgAAAA/PwA/AACAAAAAAAA8L8Cpb3BFybTBkACaQBvgQTFx78AAAAAGAAAAPz8APwAAgAAAAAAAPC/AlYOLbKd7/E/Ag3gLZCg+PK/AAAAABgAAAD8/AD8AAIAAAAAAADwvwJaZDvfT43jvwIN4C2QoPjyvwAAAAAYAAAA/PwA/AACAAAAAAAA8L8CUrgehetR0D8CDeAtkKD4+r8AAAAAGAAAAPz8APwAAgAAAAAAAPC/AlvTvOMUnQXAAoEmwoanV/A/AAAAABgAAAD8/AD8AAIAAAAAAADwvwLtL7snD4sDwALRItv5fmqsPwAAAAAYAAAA/PwA/AACAAAAAAAA8L8CS1mGONbF+78CXW3F/rJ79D8AAAAAOAQAAWUEAAAAAAAAAAAIBAFlBAAAAAAAAAAADAABZQgMAAAAAAAAABAIAWUIAAAAAAAAAAAUDAFlBAAAAAAAAAAAGAgBZQQAAAAAAAAAABwEAWUICAAAAAAAAAAgDAFlBAAAAAAAAAAAJCABZQgIAAAAAAAAACgwAWUEAAAAAAAAAAAsFAFlBAAAAAAAAAAAMBQBZQQAAAAAAAAAABwkAWUEAAAAAAAAAAAsKAFlBAAAAAAAAAAAAAAAAA==</t>
        </r>
      </text>
    </comment>
    <comment ref="A1031" authorId="0" shapeId="0" xr:uid="{DAF0C67A-FC34-4F58-952E-96759697E6D4}">
      <text>
        <r>
          <rPr>
            <sz val="9"/>
            <color indexed="81"/>
            <rFont val="MS P ゴシック"/>
            <family val="3"/>
            <charset val="128"/>
          </rPr>
          <t>Insight iXlW00001C0001031R0585476093S00002060P01036LAocjBAQBF1NjaVRlZ2ljLmRhdGEuTW9sZWN1bGUBbwF/ARJTY2lUZWdpYy5Nb2xlY3VsZQAAAQFkAv5qAQAAAAIAAjQYAAAA/PwA/AACAAAAAAAA8L8CCRueXinL/z8CzH9Iv30d1D8AAAAAGAAAAPz8APwAAgAAAAAAAPC/AlpkO99PjeO/AmkAb4EExce/AAAAABgAAAD8/AD8AAIAAAAAAADwvwLHuriNBvDxPwJpAG+BBMXHvwAAAAAYAAAA/PwA/AACAAAAAAAA8L8CUrgehetR0D8CzH9Iv30d1D8AAAAAHAAAAPz8APwAAgAAAAAAAPC/AlpkO99PjeO/Ag3gLZCg+PK/AAAAACAAAAD8/AD8AAIAAAAAAADwvwIJG55eKcv/PwLzH9JvXwf1PwAAAAAYAAAA/PwA/AACAAAAAAAA8L8CbxKDwMqh978CzH9Iv30d1D8AAAAAIAAAAPz8APwAAgAAAAAAAPC/AqW9wRcm0wZAAmkAb4EExce/AAAAABgAAAD8/AD8AAIAAAAAAADwvwJSuB6F61HQPwIN4C2QoPj6vwAAAAAYAAAA/PwA/AACAAAAAAAA8L8CVg4tsp3v8T8CDeAtkKD48r8AAAAAGAAAAPz8APwAAgAAAAAAAPC/AlvTvOMUnQXAAoEmwoanV/A/AAAAABgAAAD8/AD8AAIAAAAAAADwvwLtL7snD4sDwALRItv5fmqsPwAAAAAYAAAA/PwA/AACAAAAAAAA8L8CS1mGONbF+78CXW3F/rJ79D8AAAAAOAQMAWUIDAAAAAAAAAAIAAFlBAAAAAAAAAAADAgBZQQAAAAAAAAAABAgAWUICAAAAAAAAAAUAAFlCAAAAAAAAAAAGAQBZQQAAAAAAAAAABwAAWUEAAAAAAAAAAAgJAFlBAAAAAAAAAAAJAgBZQgMAAAAAAAAACgwAWUEAAAAAAAAAAAsGAFlBAAAAAAAAAAAMBgBZQQAAAAAAAAAAAQQAWUEAAAAAAAAAAAsKAFlBAAAAAAAAAAAAAAAAA==</t>
        </r>
      </text>
    </comment>
    <comment ref="A1032" authorId="0" shapeId="0" xr:uid="{73A3357A-1F01-4289-96AF-9A397FF9F2C4}">
      <text>
        <r>
          <rPr>
            <sz val="9"/>
            <color indexed="81"/>
            <rFont val="MS P ゴシック"/>
            <family val="3"/>
            <charset val="128"/>
          </rPr>
          <t>Insight iXlW00001C0001032R0585476093S00002062P01288LAocjBAQBF1NjaVRlZ2ljLmRhdGEuTW9sZWN1bGUBbwF/ARJTY2lUZWdpYy5Nb2xlY3VsZQAAAQFkAv5qAQAAAAIAAgERGAAAAPz8APwAAgAAAAAAAPC/ApZDi2znew5AAsrDQq1p3t0/AAAAACAAAAD8/AD8AAIAAAAAAADwvwI9vVKWIY4HQALlYaHWNO/uPwAAAAAYAAAA/PwA/AACAAAAAAAA8L8CHA3gLZCgAEACysNCrWne3T8AAAAAGAAAAPz8APwAAgAAAAAAAPC/Ava52or9ZfM/AuVhodY07+4/AAAAABgAAAD8/AD8AAIAAAAAAADwvwLQZtXnaivWPwLKw0Ktad7dPwAAAAAYAAAA/PwA/AACAAAAAAAA8L8C0GbV52or1j8CG55eKcsQ4b8AAAAAIAAAAPz8APwAAgAAAAAAAPC/AhwN4C2QoOC/Ag5Pr5RliPC/AAAAABgAAAD8/AD8AAIAAAAAAADwvwLQZtXnaiv2vwIbnl4pyxDhvwAAAAAYAAAA/PwA/AACAAAAAAAA8L8C0GbV52or9r8CysNCrWne3T8AAAAAGAAAAPz8APwAAgAAAAAAAPC/AoljXdxGAwLAAgMJih9j7u4/AAAAABgAAAD8/AD8AAIAAAAAAADwvwLi6ZWyDPEIwAIGEhQ/xtzdPwAAAAAcAAAA/PwA/AACAAAAAAAA8L8C4umVsgzxCMACG55eKcsQ4b8AAAAAGAAAAPz8APwAAgAAAAAAAPC/AsE5I0p7AwLAAg5Pr5RliPC/AAAAABwAAAD8/AD8AAIAAAAAAADwvwL2udqK/WXzPwIOT6+UZYjwvwAAAAAYAAAA/PwA/AACAAAAAAAA8L8CHA3gLZCgAEACG55eKcsQ4b8AAAAAAREAAAD8/AD8AAIAAAAAAADwvwL+1HjpJnESQAIofoy5awmpvwAAAAABEQAAAPz8APwAAgAAAAAAAPC/AoxK6gQ0kRZAAnKKjuTyH5K/AAAAAAEQAAQBZQQAAAAAAAAAAAQIAWUEAAAAAAAAAAAIDAFlCAwAAAAAAAAADBABZQQAAAAAAAAAABAUAWUIDAAAAAAAAAAUGAFlBAAAAAAAAAAAHBgBZQQAAAAAAAAAABwgAWUEAAAAAAAAAAAgJAFlBAAAAAAAAAAAJCgBZQQAAAAAAAAAACgsAWUEAAAAAAAAAAAsMAFlBAAAAAAAAAAAMBwBZQQAAAAAAAAAABQ0AWUEAAAAAAAAAAA0OAFlCAgAAAAAAAAAOAgBZQQAAAAAAAAAAAAAAAA=</t>
        </r>
      </text>
    </comment>
    <comment ref="A1033" authorId="0" shapeId="0" xr:uid="{DC74F910-83DF-4AF1-8EBA-01145F42DC84}">
      <text>
        <r>
          <rPr>
            <sz val="9"/>
            <color indexed="81"/>
            <rFont val="MS P ゴシック"/>
            <family val="3"/>
            <charset val="128"/>
          </rPr>
          <t>Insight iXlW00001C0001033R0585476093S00002064P01176LAocjBAQBF1NjaVRlZ2ljLmRhdGEuTW9sZWN1bGUBbwF/ARJTY2lUZWdpYy5Nb2xlY3VsZQAAAQFkAv5qAQAAAAIAAjwYAAAA/PwA/AACAAAAAAAA8L8CbJp3nKIj+D8CdnEbDeAt3D8AAAAAHAAAAPz8APwAAgAAAAAAAPC/AmpN845TdOA/Ald9rrZif9U/AAAAABwAAAD8/AD8AAIAAAAAAADwvwKASL99HTjrPwIZBFYOLbL+PwAAAAAYAAAA/PwA/AACAAAAAAAA8L8CldQJaCJsAUACqaROQBNh078AAAAAGAAAAPz8APwAAgAAAAAAAPC/AoXrUbgehbs/AulILv8h/fM/AAAAABgAAAD8/AD8AAIAAAAAAADwvwLzsFBrmnf7PwIZBFYOLbL2PwAAAAAYAAAA/PwA/AACAAAAAAAA8L8ChlrTvOMUjT8C2IFzRpT24L8AAAAAIAAAAPz8APwAAgAAAAAAAPC/AnNoke18PwlAAlK4HoXrUbi/AAAAABwAAAD8/AD8AAIAAAAAAADwvwKmLEMc6+IHwALYgXNGlPbgvwAAAAAgAAAA/PwA/AACAAAAAAAA8L8Cnzws1Jrm/T8COUVHcvkP9L8AAAAAGAAAAPz8APwAAgAAAAAAAPC/ApayDHGsi++/AtiBc0aU9uC/AAAAABgAAAD8/AD8AAIAAAAAAADwvwKmLEMc6+IDwAIuIR/0bFb2vwAAAAAYAAAA/PwA/AACAAAAAAAA8L8CpixDHOviA8ACV32utmJ/1T8AAAAAGAAAAPz8APwAAgAAAAAAAPC/AktZhjjWxfe/Ai4hH/RsVva/AAAAABgAAAD8/AD8AAIAAAAAAADwvwJLWYY41sX3vwJXfa62Yn/VPwAAAAABEAQAAWUEAAAAAAAAAAAIFAFlBAAAAAAAAAAADAABZQQAAAAAAAAAABAEAWUEAAAAAAAAAAAUAAFlCAgAAAAAAAAAGAQBZQQAAAAAAAAAABwMAWUIAAAAAAAAAAAgMAFlBAAAAAAAAAAAJAwBZQQAAAAAAAAAACgYAWUEAAAAAAAAAAAsNAFlBAAAAAAAAAAAMDgBZQgIAAAAAAAAADQoAWUIDAAAAAAAAAA4KAFlBAAAAAAAAAAAEAgBZQgIAAAAAAAAACwgAWUICAAAAAAAAAAAAAAA</t>
        </r>
      </text>
    </comment>
    <comment ref="A1034" authorId="0" shapeId="0" xr:uid="{9A75F676-08C8-47C0-83B7-88641F324E14}">
      <text>
        <r>
          <rPr>
            <sz val="9"/>
            <color indexed="81"/>
            <rFont val="MS P ゴシック"/>
            <family val="3"/>
            <charset val="128"/>
          </rPr>
          <t>Insight iXlW00001C0001034R0585476093S00002066P01252LAocjBAQBF1NjaVRlZ2ljLmRhdGEuTW9sZWN1bGUBbwF/ARJTY2lUZWdpYy5Nb2xlY3VsZQAAAQFkAv5qAQAAAAIAAgEQIAAAAPz8APwAAgAAAAAAAPC/AnulLEMc6/W/AkQc6+I2Gvk/AAAAABgAAAD8/AD8AAIAAAAAAADwvwLmP6Tfvg7kvwInwoanV8rsPwAAAAAcAAAA/PwA/AACAAAAAAAA8L8CXW3F/rJ71j8CuR6F61G48T8AAAAAGAAAAPz8APwAAgAAAAAAAPC/Aq+2Yn/ZPes/Aj9XW7G/7M4/AAAAABwAAAD8/AD8AAIAAAAAAADwvwLDZKpgVFLHPwIijnVxGw3gvwAAAAAYAAAA/PwA/AACAAAAAAAA8L8CumsJ+aBn578CQfFjzF1LuL8AAAAAGAAAAPz8APwAAgAAAAAAAPC/ArprCfmgZ+e/AhQ/xty1hPG/AAAAABgAAAD8/AD8AAIAAAAAAADwvwIfFmpN8475vwIUP8bctYT5vwAAAAAcAAAA/PwA/AACAAAAAAAA8L8CMLsnDwu1A8ACFD/G3LWE8b8AAAAAGAAAAPz8APwAAgAAAAAAAPC/AjC7Jw8LtQPAAkHxY8xdS7i/AAAAABgAAAD8/AD8AAIAAAAAAADwvwIfFmpN8475vwKwA+eMKO3ZPwAAAAAYAAAA/PwA/AACAAAAAAAA8L8CDk+vlGWI/T8CeAskKH6MwT8AAAAAGAAAAPz8APwAAgAAAAAAAPC/Al1txf6y+wRAArtJDAIrh+g/AAAAABgAAAD8/AD8AAIAAAAAAADwvwIUP8bctQQKQAKhZ7Pqc7WFvwAAAAAYAAAA/PwA/AACAAAAAAAA8L8CPnlYqDXNA0ACexSuR+F65L8AAAAAAREAAAD8/AD8AAIAAAAAAADwvwK9UpYhjjUQQAI6tMh2vp+KvwAAAAABEQAEAWUIAAAAAAAAAAAECAFlBAAAAAAAAAAACAwBZQQAAAAAAAAAAAwQAWUICAAAAAAAAAAQFAFlBAAAAAAAAAAAFAQBZQQAAAAAAAAAABQYAWUEAAAAAAAAAAAYHAFlBAAAAAAAAAAAHCABZQQAAAAAAAAAACAkAWUEAAAAAAAAAAAkKAFlBAAAAAAAAAAAKBQBZQQAAAAAAAAAAAwsAWUEAAAAAAAAAAAsMAFlBAAAAAAAAAAAMDQBZQQAAAAAAAAAADQ4AWUEAAAAAAAAAAA4LAFlBAAAAAAAAAAAAAAAAA==</t>
        </r>
      </text>
    </comment>
    <comment ref="A1035" authorId="0" shapeId="0" xr:uid="{02AE6789-4CA1-4C5E-8835-DEEE166738C8}">
      <text>
        <r>
          <rPr>
            <sz val="9"/>
            <color indexed="81"/>
            <rFont val="MS P ゴシック"/>
            <family val="3"/>
            <charset val="128"/>
          </rPr>
          <t>Insight iXlW00001C0001035R0585476093S00002068P00736LAocjBAQBF1NjaVRlZ2ljLmRhdGEuTW9sZWN1bGUBbwF/ARJTY2lUZWdpYy5Nb2xlY3VsZQAAAQFkAv5qAQAAAAIAAiQYAAAA/PwA/AACAAAAAAAA8L8Ct2J/2T154r8C4umVsgxx3D8AAAAAHAAAAPz8APwAAgAAAAAAAPC/Ardif9k9eeK/Ag8LtaZ5x+G/AAAAABwAAAD8/AD8AAIAAAAAAADwvwKZu5aQD3rSPwLx9EpZhjjuPwAAAAAYAAAA/PwA/AACAAAAAAAA8L8CKA8LtaZ58j8CDwu1pnnH4b8AAAAAHAAAAPz8APwAAgAAAAAAAPC/Ag6+MJkqGPe/AvH0SlmGOO4/AAAAABgAAAD8/AD8AAIAAAAAAADwvwIoDwu1pnnyPwLi6ZWyDHHcPwAAAAAYAAAA/PwA/AACAAAAAAAA8L8CmbuWkA960j8CiIVa07zj8L8AAAAAHAAAAPz8APwAAgAAAAAAAPC/ArU3+MJkKgBAAhfZzvdT4/C/AAAAABgAAAD8/AD8AAIAAAAAAADwvwIoDwu1pnkCwALi6ZWyDHHcPwAAAAAkBAABZQgIAAAAAAAAAAgAAWUEAAAAAAAAAAAMFAFlBAAAAAAAAAAAEAABZQQAAAAAAAAAABQIAWUICAAAAAAAAAAYBAFlBAAAAAAAAAAAHAwBZQQAAAAAAAAAACAQAWUEAAAAAAAAAAAMGAFlCAgAAAAAAAAAAAAAAA==</t>
        </r>
      </text>
    </comment>
    <comment ref="A1036" authorId="0" shapeId="0" xr:uid="{018D0CFB-2423-4DB3-AED7-AEC06BCE6366}">
      <text>
        <r>
          <rPr>
            <sz val="9"/>
            <color indexed="81"/>
            <rFont val="MS P ゴシック"/>
            <family val="3"/>
            <charset val="128"/>
          </rPr>
          <t>Insight iXlW00001C0001036R0585476093S00002070P01016LAocjBAQBF1NjaVRlZ2ljLmRhdGEuTW9sZWN1bGUBbwF/ARJTY2lUZWdpYy5Nb2xlY3VsZQAAAQFkAv5qAQAAAAIAAjQYAAAA/PwA/AACAAAAAAAA8L8CuvyH9NvX3T8CtFn1udqKvT8AAAAAGAAAAPz8APwAAgAAAAAAAPC/AssQx7q4DQHAAjerPldbseM/AAAAABwAAAD8/AD8AAIAAAAAAADwvwK6/If029fdPwLKVMGopE7svwAAAAAcAAAA/PwA/AACAAAAAAAA8L8CcF8HzhlR9T8CN6s+V1ux4z8AAAAAHAAAAPz8APwAAgAAAAAAAPC/Ak2EDU+vlNm/AjerPldbseM/AAAAABgAAAD8/AD8AAIAAAAAAADwvwLZX3ZPHpYBQALKVMGopE7svwAAAAAYAAAA/PwA/AACAAAAAAAA8L8CVcGopE5A9L8CtFn1udqKvT8AAAAAJAAAAPz8APwAAgAAAAAAAPC/AssQx7q4DQXAAl7cRgN4C9C/AAAAACQAAAD8/AD8AAIAAAAAAADwvwIll/+QfvsHwAKbVZ+rrdjxPwAAAAAkAAAA/PwA/AACAAAAAAAA8L8ClyGOdXEb+r8C3bWEfNCz9z8AAAAAGAAAAPz8APwAAgAAAAAAAPC/Atlfdk8elgFAArRZ9bnair0/AAAAABgAAAD8/AD8AAIAAAAAAADwvwJwXwfOGVH1PwJlqmBUUif2vwAAAAAcAAAA/PwA/AACAAAAAAAA8L8CMuauJeSDCEACZapgVFIn9r8AAAAANAQYAWUEAAAAAAAAAAAIAAFlBAAAAAAAAAAADAABZQgIAAAAAAAAABAAAWUEAAAAAAAAAAAUKAFlCAwAAAAAAAAAGBABZQQAAAAAAAAAABwEAWUEAAAAAAAAAAAgBAFlBAAAAAAAAAAAJAQBZQQAAAAAAAAAACgMAWUEAAAAAAAAAAAsCAFlCAgAAAAAAAAAMBQBZQQAAAAAAAAAACwUAWUEAAAAAAAAAAAAAAAA</t>
        </r>
      </text>
    </comment>
    <comment ref="A1037" authorId="0" shapeId="0" xr:uid="{6306B11A-8145-4851-8741-465175BCB140}">
      <text>
        <r>
          <rPr>
            <sz val="9"/>
            <color indexed="81"/>
            <rFont val="MS P ゴシック"/>
            <family val="3"/>
            <charset val="128"/>
          </rPr>
          <t>Insight iXlW00001C0001037R0585476093S00002072P01144LAocjBAQBF1NjaVRlZ2ljLmRhdGEuTW9sZWN1bGUBbwF/ARJTY2lUZWdpYy5Nb2xlY3VsZQAAAQFkAv5qAQAAAAIAAjwYAAAA/PwA/AACAAAAAAAA8L8CBoGVQ4tsxz8CvVKWIY518D8AAAAAGAAAAPz8APwAAgAAAAAAAPC/AiS5/If02+W/AnulLEMc6+A/AAAAABgAAAD8/AD8AAIAAAAAAADwvwLUvOMUHcn4vwK9UpYhjnXwPwAAAAAcAAAA/PwA/AACAAAAAAAA8L8Ci47k8h9SA8ACe6UsQxzr4D8AAAAAGAAAAPz8APwAAgAAAAAAAPC/AouO5PIfUgPAAgu1pnnHKd6/AAAAABgAAAD8/AD8AAIAAAAAAADwvwLUvOMUHcn4vwKGWtO84xTvvwAAAAAYAAAA/PwA/AACAAAAAAAA8L8CQmDl0CLb5b8CC7Wmeccp3r8AAAAAIAAAAPz8APwAAgAAAAAAAPC/AgaBlUOLbMc/AoZa07zjFO+/AAAAABgAAAD8/AD8AAIAAAAAAADwvwJjEFg5tMjwPwILtaZ5xynevwAAAAAYAAAA/PwA/AACAAAAAAAA8L8C2/l+arx08j8C54wo7Q2+4D8AAAAAGAAAAPz8APwAAgAAAAAAAPC/AssQx7q4DQFAAhRhw9MrZec/AAAAABwAAAD8/AD8AAIAAAAAAADwvwKTOgFNhA0FQALAfR04Z0TBvwAAAAAYAAAA/PwA/AACAAAAAAAA8L8C2BLyQc9m/z8Cf2q8dJMY7L8AAAAAAREAAAD8/AD8AAIAAAAAAADwvwL5oGez6nMLQALA7J48LNSKPwAAAAABEQAAAPz8APwAAgAAAAAAAPC/AgtGJXUC2hFAAh/0bFZ9rqY/AAAAADgABAFlBAAAAAAAAAAABAgBZQgMAAAAAAAAAAgMAWUEAAAAAAAAAAAMEAFlCAgAAAAAAAAAEBQBZQQAAAAAAAAAABQYAWUICAAAAAAAAAAYBAFlBAAAAAAAAAAAGBwBZQQAAAAAAAAAACAcAWUEAAAAAAAAAAAgJAFlBAAAAAAAAAAAJCgBZQQAAAAAAAAAACgsAWUEAAAAAAAAAAAsMAFlBAAAAAAAAAAAMCABZQQAAAAAAAAAAAAAAAA=</t>
        </r>
      </text>
    </comment>
    <comment ref="A1038" authorId="0" shapeId="0" xr:uid="{0B1B1AB7-3626-4985-97FA-F9223FC45264}">
      <text>
        <r>
          <rPr>
            <sz val="9"/>
            <color indexed="81"/>
            <rFont val="MS P ゴシック"/>
            <family val="3"/>
            <charset val="128"/>
          </rPr>
          <t>Insight iXlW00001C0001038R0585476093S00002074P01088LAocjBAQBF1NjaVRlZ2ljLmRhdGEuTW9sZWN1bGUBbwF/ARJTY2lUZWdpYy5Nb2xlY3VsZQAAAQFkAv5qAQAAAAIAAjgkAAAA/PwA/AACAAAAAAAA8L8CPSzUmuYdCEACvVKWIY518L8AAAAAGAAAAPz8APwAAgAAAAAAAPC/Ahx8YTJVMAFAAnulLEMc6+C/AAAAABgAAAD8/AD8AAIAAAAAAADwvwIcfGEyVTABQAILtaZ5xynePwAAAAAcAAAA/PwA/AACAAAAAAAA8L8C9pfdk4eF9D8ChlrTvOMU7z8AAAAAGAAAAPz8APwAAgAAAAAAAPC/AtPe4AuTqdo/Agu1pnnHKd4/AAAAACAAAAD8/AD8AAIAAAAAAADwvwI0orQ3+MLcvwKGWtO84xTvPwAAAAAYAAAA/PwA/AACAAAAAAAA8L8CQDVeukkM9b8CC7Wmeccp3j8AAAAAGAAAAPz8APwAAgAAAAAAAPC/ArkehetRuPa/AsnlP6TfvuC/AAAAABgAAAD8/AD8AAIAAAAAAADwvwI6I0p7gy8DwAIUYcPTK2XnvwAAAAAcAAAA/PwA/AACAAAAAAAA8L8CAk2EDU8vB8ACwH0dOGdEwT8AAAAAGAAAAPz8APwAAgAAAAAAAPC/AqJFtvP91AHAAn9qvHSTGOw/AAAAABwAAAD8/AD8AAIAAAAAAADwvwLT3uALk6naPwJ7pSxDHOvgvwAAAAAYAAAA/PwA/AACAAAAAAAA8L8C9pfdk4eF9D8CvVKWIY518L8AAAAAAREAAAD8/AD8AAIAAAAAAADwvwKjkjoBTYQOQAJPr5RliGOdvwAAAAA4AAQBZQQAAAAAAAAAAAQIAWUIDAAAAAAAAAAIDAFlBAAAAAAAAAAADBABZQgMAAAAAAAAABAUAWUEAAAAAAAAAAAYFAFlBAAAAAAAAAAAGBwBZQQAAAAAAAAAABwgAWUEAAAAAAAAAAAgJAFlBAAAAAAAAAAAJCgBZQQAAAAAAAAAACgYAWUEAAAAAAAAAAAQLAFlBAAAAAAAAAAALDABZQgIAAAAAAAAADAEAWUEAAAAAAAAAAAAAAAA</t>
        </r>
      </text>
    </comment>
    <comment ref="A1039" authorId="0" shapeId="0" xr:uid="{F2906752-5E28-4F19-B7C8-500F18FF7033}">
      <text>
        <r>
          <rPr>
            <sz val="9"/>
            <color indexed="81"/>
            <rFont val="MS P ゴシック"/>
            <family val="3"/>
            <charset val="128"/>
          </rPr>
          <t>Insight iXlW00001C0001039R0585476093S00002076P01248LAocjBAQBF1NjaVRlZ2ljLmRhdGEuTW9sZWN1bGUBbwF/ARJTY2lUZWdpYy5Nb2xlY3VsZQAAAQFkAv5qAQAAAAIAAgEQGAAAAPz8APwAAgAAAAAAAPC/AlMnoImw4fc/AjxO0ZFc/ss/AAAAABwAAAD8/AD8AAIAAAAAAADwvwK/DpwzorSnvwLiWBe30QDSvwAAAAAYAAAA/PwA/AACAAAAAAAA8L8Cvw6cM6K0p78Cj1N0JJf/5j8AAAAAHAAAAPz8APwAAgAAAAAAAPC/AjJ3LSEf9Ow/AoiFWtO84+K/AAAAABgAAAD8/AD8AAIAAAAAAADwvwIydy0hH/TsPwJTliGOdXHwPwAAAAAYAAAA/PwA/AACAAAAAAAA8L8C+aBns+pz/L8C4lgXt9EA0r8AAAAAHAAAAPz8APwAAgAAAAAAAPC/Am+BBMWPMe2/AsgpOpLLf/M/AAAAABgAAAD8/AD8AAIAAAAAAADwvwKpE9BE2PADQAI8TtGRXP7LPwAAAAAYAAAA/PwA/AACAAAAAAAA8L8Cb4EExY8x7b8CcayL22gA6b8AAAAAGAAAAPz8APwAAgAAAAAAAPC/Ap6AJsKGJwXAAo9TdCSX/+i/AAAAABgAAAD8/AD8AAIAAAAAAADwvwL5oGez6nP8vwKPU3Qkl//mPwAAAAAgAAAA/PwA/AACAAAAAAAA8L8CnoAmwoYnBcACyCk6kst//L8AAAAAJAAAAPz8APwAAgAAAAAAAPC/AqkT0ETY8ANAAsgpOpLLf/M/AAAAACQAAAD8/AD8AAIAAAAAAADwvwKqE9BE2PALQAI8TtGRXP7LPwAAAAAkAAAA/PwA/AACAAAAAAAA8L8CqRPQRNjwA0ACcayL22gA6b8AAAAAIAAAAPz8APwAAgAAAAAAAPC/Ar4wmSoYFQzAAh6n6Egu/9G/AAAAAAERBAwBZQQAAAAAAAAAAAgQAWUIDAAAAAAAAAAMAAFlCAgAAAAAAAAAEAABZQQAAAAAAAAAABQgAWUIDAAAAAAAAAAYCAFlBAAAAAAAAAAAHAABZQQAAAAAAAAAACAEAWUEAAAAAAAAAAAkFAFlBAAAAAAAAAAAKBgBZQgIAAAAAAAAACwkAWUIAAAAAAAAAAAwHAFlBAAAAAAAAAAANBwBZQQAAAAAAAAAADgcAWUEAAAAAAAAAAA8JAFlBAAAAAAAAAAABAgBZQQAAAAAAAAAABQoAWUEAAAAAAAAAAAAAAAA</t>
        </r>
      </text>
    </comment>
    <comment ref="A1040" authorId="0" shapeId="0" xr:uid="{CF3605FD-162B-44A8-91EE-B46CB37193F1}">
      <text>
        <r>
          <rPr>
            <sz val="9"/>
            <color indexed="81"/>
            <rFont val="MS P ゴシック"/>
            <family val="3"/>
            <charset val="128"/>
          </rPr>
          <t>Insight iXlW00001C0001040R0585476093S00002078P01176LAocjBAQBF1NjaVRlZ2ljLmRhdGEuTW9sZWN1bGUBbwF/ARJTY2lUZWdpYy5Nb2xlY3VsZQAAAQFkAv5qAQAAAAIAAjwYAAAA/PwA/AACAAAAAAAA8L8CvAUSFD/G4L8CUI2XbhKDsL8AAAAAHAAAAPz8APwAAgAAAAAAAPC/AoG3QILix5i/ArwnDwu1puk/AAAAABgAAAD8/AD8AAIAAAAAAADwvwIofoy5awn4vwKS7Xw/NV7CPwAAAAAcAAAA/PwA/AACAAAAAAAA8L8CgbdAguLHmL8CLbKd76fG7b8AAAAAGAAAAPz8APwAAgAAAAAAAPC/AiL99nXgnPc/Aj/G3LWEfLC/AAAAABwAAAD8/AD8AAIAAAAAAADwvwI6I0p7gy/mvwJmGeJYF7f4PwAAAAAYAAAA/PwA/AACAAAAAAAA8L8CRPrt68A57z8CvCcPC7Wm6T8AAAAAGAAAAPz8APwAAgAAAAAAAPC/AhIUP8bctfm/AmmR7Xw/NfI/AAAAABgAAAD8/AD8AAIAAAAAAADwvwJE+u3rwDnvPwItsp3vp8btvwAAAAAYAAAA/PwA/AACAAAAAAAA8L8CkX77OnDOA0ACP8bctYR8sL8AAAAAGAAAAPz8APwAAgAAAAAAAPC/AhFYObTI9gHAAvw6cM6I0uC/AAAAACAAAAD8/AD8AAIAAAAAAADwvwKRfvs6cM4HQAK8Jw8LtabpPwAAAAAgAAAA/PwA/AACAAAAAAAA8L8CkX77OnDOB0ACLbKd76fG7b8AAAAAGAAAAPz8APwAAgAAAAAAAPC/AgajkjoBTQDAAsiYu5aQD/i/AAAAABgAAAD8/AD8AAIAAAAAAADwvwLgT42XbpIJwAIMJCh+jLnLvwAAAAABEAQAAWUEAAAAAAAAAAAIAAFlCAgAAAAAAAAADAABZQQAAAAAAAAAABAgAWUEAAAAAAAAAAAUBAFlBAAAAAAAAAAAGAQBZQQAAAAAAAAAABwIAWUEAAAAAAAAAAAgDAFlCAgAAAAAAAAAJBABZQQAAAAAAAAAACgIAWUEAAAAAAAAAAAsJAFlCAAAAAAAAAAAMCQBZQQAAAAAAAAAADQoAWUEAAAAAAAAAAA4KAFlBAAAAAAAAAAAHBQBZQgIAAAAAAAAABgQAWUICAAAAAAAAAAAAAAA</t>
        </r>
      </text>
    </comment>
    <comment ref="A1041" authorId="0" shapeId="0" xr:uid="{E217C041-7F40-4DB0-9D91-22D1C9DE9BD8}">
      <text>
        <r>
          <rPr>
            <sz val="9"/>
            <color indexed="81"/>
            <rFont val="MS P ゴシック"/>
            <family val="3"/>
            <charset val="128"/>
          </rPr>
          <t>Insight iXlW00001C0001041R0585476093S00002080P01036LAocjBAQBF1NjaVRlZ2ljLmRhdGEuTW9sZWN1bGUBbwF/ARJTY2lUZWdpYy5Nb2xlY3VsZQAAAQFkAv5qAQAAAAIAAjQYAAAA/PwA/AACAAAAAAAA8L8CaLPqc7UV578CLGUZ4lgXp78AAAAAGAAAAPz8APwAAgAAAAAAAPC/Am40gLdAgsI/AlvTvOMUHd0/AAAAABgAAAD8/AD8AAIAAAAAAADwvwJos+pztRXnvwIqyxDHurjwvwAAAAAgAAAA/PwA/AACAAAAAAAA8L8C9pfdk4eFwj8CKssQx7q4+L8AAAAAHAAAAPz8APwAAgAAAAAAAPC/Amiz6nO1Fee/Atc07zhFR/8/AAAAABgAAAD8/AD8AAIAAAAAAADwvwJBE2HD0yvwPwIsZRniWBenvwAAAAAgAAAA/PwA/AACAAAAAAAA8L8C9rnaiv1l+b8CKssQx7q4+L8AAAAAGAAAAPz8APwAAgAAAAAAAPC/Am40gLdAgsI/Atc07zhFR/c/AAAAABgAAAD8/AD8AAIAAAAAAADwvwL2udqK/WX5vwJb07zjFB3dPwAAAAAYAAAA/PwA/AACAAAAAAAA8L8CxNMrZRniAUACb6MBvAUS6L8AAAAAGAAAAPz8APwAAgAAAAAAAPC/Ava52or9Zfm/Atc07zhFR/c/AAAAABgAAAD8/AD8AAIAAAAAAADwvwKrYFRSJ6D/PwIhQfFjzF3LPwAAAAAYAAAA/PwA/AACAAAAAAAA8L8CHVpkO99P9D8ClBgEVg4t8L8AAAAAOAQAAWUICAAAAAAAAAAIAAFlBAAAAAAAAAAADAgBZQgAAAAAAAAAABAoAWUEAAAAAAAAAAAUBAFlBAAAAAAAAAAAGAgBZQQAAAAAAAAAABwEAWUEAAAAAAAAAAAgAAFlBAAAAAAAAAAAJDABZQQAAAAAAAAAACggAWUICAAAAAAAAAAsFAFlBAAAAAAAAAAAMBQBZQQAAAAAAAAAABAcAWUICAAAAAAAAAAsJAFlBAAAAAAAAAAAAAAAAA==</t>
        </r>
      </text>
    </comment>
    <comment ref="A1042" authorId="0" shapeId="0" xr:uid="{2DE4D9C8-38E6-431E-A72E-DE6AD619A105}">
      <text>
        <r>
          <rPr>
            <sz val="9"/>
            <color indexed="81"/>
            <rFont val="MS P ゴシック"/>
            <family val="3"/>
            <charset val="128"/>
          </rPr>
          <t>Insight iXlW00001C0001042R0585476093S00002082P01920LAocjBAQBF1NjaVRlZ2ljLmRhdGEuTW9sZWN1bGUBbwF/ARJTY2lUZWdpYy5Nb2xlY3VsZQAAAQFkAv5qAQAAAAIBAgEZGAAAAPz8APwAAgAAAAAAAPC/Au7rwDkjSgDAAtPe4AuTqcq/AAAAABwAAAD8/AD8AAIAAAAAAADwvwIjbHh6pSz3vwJiodY07zjjPwAAAAAYAAAA/PwA/AACAAAAAAAA8L8C9rnaiv3lB8ACEAu1pnnHuT8AAAAAGAAAAPz8APwAAgAAAAAAAPC/Ava52or95QfAArFQa5p3nPE/AAAAABgAAAD8/AD8AAIAAAAAAADwvwLu68A5I0oAwAI9vVKWIY72PwAAAAAYAAAA/PwA/AACAAAAAAAA8L8Ct/P91HhpCEACQz7o2az60L8AAAAAGAwAAPz8APwAAgAAAAAAAPC/Aoqw4emVsty/AmKh1jTvOOM/AAAAACAAAAD8/AD8AAIAAAAAAADwvwJRa5p3nKL7vwJ4CyQofozyvwAAAAAcAAAA/PwA/AACAAAAAAAA8L8Ct/P91HhpBEACRPrt68A54z8AAAAAGAAAAPz8APwAAgAAAAAAAPC/AhdqTfOO0w7AAj29UpYhjtm/AAAAACAAAAD8/AD8AAIAAAAAAADwvwLb+X5qvDQQQAJDPujZrPrQvwAAAAAgAAAA/PwA/AACAAAAAAAA8L8Ct/P91HhpBEAC0m9fB84Z8r8AAAAAGAAAAPz8APwAAgAAAAAAAPC/Atv5fmq8NBJAAtJvXwfOGfK/AAAAABgAAAD8/AD8AAIAAAAAAADwvwKze/KwUGuqPwLzsFBrmnf3PwAAAAAYAAAA/PwA/AACAAAAAAAA8L8Cku18PzVeqj8CQz7o2az60L8AAAAAGAgAAPz8APwAAgAAAAAAAPC/Am3n+6nx0vg/AkT67evAOeM/AAAAACQAAAD8/AD8AAIAAAAAAADwvwIXak3zjtMOwAJPr5RliGP2vwAAAAAYAAAA/PwA/AACAAAAAAAA8L8CF2pN847TDsACsVBrmnec+T8AAAAAGAAAAPz8APwAAgAAAAAAAPC/Am3n+6nx0vA/AmRd3EYDePc/AAAAABgAAAD8/AD8AAIAAAAAAADwvwJt5/up8dLwPwJDPujZrPrQvwAAAAAYAAAA/PwA/AACAAAAAAAA8L8CHA3gLZDgEsACsVBrmnec8T8AAAAAGAAAAPz8APwAAgAAAAAAAPC/AhwN4C2Q4BLAAhALtaZ5x7k/AAAAABgAAAD8/AD8AAIAAAAAAADwvwLsUbgehasVQAKl374OnDPkvwAAAAAYAAAA/PwA/AACAAAAAAAA8L8C2/l+arw0FEACFNBE2PD0/78AAAAAGAAAAPz8APwAAgAAAAAAAPC/ApZDi2znew1AAtJvXwfOGfq/AAAAAAEbBAABZQQAAAAAAAAAAAgAAWUEAAAAAAAAAAAMCAFlCAwAAAAAAAAAEAQBZQQAAAAAAAAAABQgAWUEAAAAAAAAAAAYBAFlBBQAAAAAAAAAHAABZQgAAAAAAAAAADwgAWUEEAAAAAAAAAAkCAFlBAAAAAAAAAAAKBQBZQQAAAAAAAAAACwUAWUIAAAAAAAAAAAwKAFlBAAAAAAAAAAANBgBZQQAAAAAAAAAADgYAWUEAAAAAAAAAAA8ARMBZQQAAAAAAAAAAAEQJAFlBAAAAAAAAAAAAREMAWUEAAAAAAAAAAABEjQBZQQAAAAAAAAAAAETOAFlBAAAAAAAAAAAARQBFQFlBAAAAAAAAAAAARUkAWUICAAAAAAAAAABFjABZQQAAAAAAAAAAAEXMAFlBAAAAAAAAAAAARgwAWUEAAAAAAAAAAAMEAFlBAAAAAAAAAAAAREBFAFlCAgAAAAAAAAAARI8AWUEAAAAAAAAAAAAAAAA</t>
        </r>
      </text>
    </comment>
    <comment ref="A1043" authorId="0" shapeId="0" xr:uid="{F13BEF27-4C1E-4FD3-9273-3F5F0DC0081D}">
      <text>
        <r>
          <rPr>
            <sz val="9"/>
            <color indexed="81"/>
            <rFont val="MS P ゴシック"/>
            <family val="3"/>
            <charset val="128"/>
          </rPr>
          <t>Insight iXlW00001C0001043R0585476093S00002084P01468LAocjBAQBF1NjaVRlZ2ljLmRhdGEuTW9sZWN1bGUBbwF/ARJTY2lUZWdpYy5Nb2xlY3VsZQAAAQFkAv5qAQAAAAIBAgETHAAAAPz8APwAAgAAAAAAAPC/AlJJnYAmghBAAgU0ETY8vco/AAAAABgMAAD8/AD8AAIAAAAAAADwvwKjkjoBTQQJQAIFNBE2PL3KPwAAAAAYAAAA/PwA/AACAAAAAAAA8L8Co5I6AU0EBUACwoanV8oy8T8AAAAAGAAAAPz8APwAAgAAAAAAAPC/ArfRAN4CCfo/AsKGp1fKMvE/AAAAABgMAAD8/AD8AAIAAAAAAADwvwK30QDeAgnyPwIFNBE2PL3KPwAAAAAYAAAA/PwA/AACAAAAAAAA8L8CRiV1ApoI+j8CgnNGlPYG5b8AAAAAGAAAAPz8APwAAgAAAAAAAPC/AqOSOgFNBAVAAoJzRpT2BuW/AAAAABwAAAD8/AD8AAIAAAAAAADwvwK5jQbwFkjAPwIFNBE2PL3KPwAAAAAYAAAA/PwA/AACAAAAAAAA8L8CCmgibHh63b8CDJOpglFJ8D8AAAAAGAAAAPz8APwAAgAAAAAAAPC/AhI2PL1Slva/AgJNhA1Pr+Y/AAAAABgAAAD8/AD8AAIAAAAAAADwvwIqyxDHujgCwAKBJsKGp1fzPwAAAAAYAAAA/PwA/AACAAAAAAAA8L8CSnuDL0wmCcACAk2EDU+v5j8AAAAAGAAAAPz8APwAAgAAAAAAAPC/Akp7gy9MJgnAAv5l9+RhodK/AAAAABgAAAD8/AD8AAIAAAAAAADwvwIqyxDHujgCwAL/snvysFDpvwAAAAAkAAAA/PwA/AACAAAAAAAA8L8CKssQx7o4AsACgNk9eVio/L8AAAAAGAAAAPz8APwAAgAAAAAAAPC/AhI2PL1Slva/Av5l9+RhodK/AAAAABgAAAD8/AD8AAIAAAAAAADwvwIKaCJseHrdvwIWjErqBDTjvwAAAAAgAAAA/PwA/AACAAAAAAAA8L8CumsJ+aBnw78CGuJYF7fR+L8AAAAAAREAAAD8/AD8AAIAAAAAAADwvwKFfNCzWbUTQAL+ZffkYaHSvwAAAAABFAQAAWUEEAAAAAAAAAAECAFlBAAAAAAAAAAACAwBZQQAAAAAAAAAAAwQAWUEAAAAAAAAAAAQFAFlBAAAAAAAAAAAFBgBZQQAAAAAAAAAABgEAWUEAAAAAAAAAAAQHAFlBBQAAAAAAAAAHCABZQQAAAAAAAAAACAkAWUEAAAAAAAAAAAkKAFlCAwAAAAAAAAAKCwBZQQAAAAAAAAAACwwAWUICAAAAAAAAAAwNAFlBAAAAAAAAAAANDgBZQQAAAAAAAAAADQ8AWUICAAAAAAAAAA8JAFlBAAAAAAAAAAAPAEQAWUEAAAAAAAAAAABEBwBZQQAAAAAAAAAAAEQAREBZQgAAAAAAAAAAAAAAAA=</t>
        </r>
      </text>
    </comment>
    <comment ref="A1044" authorId="0" shapeId="0" xr:uid="{9C36A6C8-542D-434D-8E8B-6DED3FCC55DC}">
      <text>
        <r>
          <rPr>
            <sz val="9"/>
            <color indexed="81"/>
            <rFont val="MS P ゴシック"/>
            <family val="3"/>
            <charset val="128"/>
          </rPr>
          <t>Insight iXlW00001C0001044R0585476093S00002086P00648LAocjBAQBF1NjaVRlZ2ljLmRhdGEuTW9sZWN1bGUBbwF/ARJTY2lUZWdpYy5Nb2xlY3VsZQAAAQFkAv5qAQAAAAIAAiAYAAAA/PwA/AACAAAAAAAA8L8CmG4Sg8DK5b8C16NwPQrX9b8AAAAAGAAAAPz8APwAAgAAAAAAAPC/AiS5/If027e/AphuEoPAyuG/AAAAABgAAAD8/AD8AAIAAAAAAADwvwLcaABvgQTtPwKYbhKDwMrhvwAAAAAcAAAA/PwA/AACAAAAAAAA8L8C+aBns+pz8z8CDJOpglFJ2T8AAAAAHAAAAPz8APwAAgAAAAAAAPC/ArfRAN4CCdo/AhdIUPwYc+8/AAAAABgAAAD8/AD8AAIAAAAAAADwvwJ24JwRpb3ZvwIMk6mCUUnZPwAAAAAcAAAA/PwA/AACAAAAAAAA8L8CuycPC7Wm9b8CnaIjufyH5j8AAAAAAREAAAD8/AD8AAIAAAAAAADwvwLjNhrAWyAAQAIv/yH99nXIvwAAAAAcAAQBZQQAAAAAAAAAAAQIAWUEAAAAAAAAAAAIDAFlCAgAAAAAAAAADBABZQQAAAAAAAAAABAUAWUEAAAAAAAAAAAUBAFlCAwAAAAAAAAAFBgBZQQAAAAAAAAAAAAAAAA=</t>
        </r>
      </text>
    </comment>
    <comment ref="A1045" authorId="0" shapeId="0" xr:uid="{886FF081-698D-411F-B898-D3AF69EED723}">
      <text>
        <r>
          <rPr>
            <sz val="9"/>
            <color indexed="81"/>
            <rFont val="MS P ゴシック"/>
            <family val="3"/>
            <charset val="128"/>
          </rPr>
          <t>Insight iXlW00001C0001045R0585476093S00002088P00720LAocjBAQBF1NjaVRlZ2ljLmRhdGEuTW9sZWN1bGUBbwF/ARJTY2lUZWdpYy5Nb2xlY3VsZQAAAQFkAv5qAQAAAAIAAiQYAAAA/PwA/AACAAAAAAAA8L8C9P3UeOkm/T8C3GgAb4EE678AAAAAGAAAAPz8APwAAgAAAAAAAPC/AnsUrkfheuo/As47TtGRXO6/AAAAABgAAAD8/AD8AAIAAAAAAADwvwIg9GxWfa7OPwLbiv1l9+TBvwAAAAAYAAAA/PwA/AACAAAAAAAA8L8CHxZqTfOO4T8ChXzQs1n16T8AAAAAHAAAAPz8APwAAgAAAAAAAPC/AvGFyVTBqNC/Avyp8dJNYvY/AAAAABwAAAD8/AD8AAIAAAAAAADwvwKXIY51cRvxvwKFfNCzWfXpPwAAAAAYAAAA/PwA/AACAAAAAAAA8L8C+cJkqmBU6L8C24r9Zffkwb8AAAAAHAAAAPz8APwAAgAAAAAAAPC/AjbNO07RkfW/As47TtGRXO6/AAAAAAERAAAA/PwA/AACAAAAAAAA8L8CYeXQItv5BEACVjAqqRPQzD8AAAAAIAAEAWUEAAAAAAAAAAAECAFlBAAAAAAAAAAACAwBZQQAAAAAAAAAAAwQAWUICAAAAAAAAAAQFAFlBAAAAAAAAAAAFBgBZQQAAAAAAAAAABgIAWUIDAAAAAAAAAAYHAFlBAAAAAAAAAAAAAAAAA==</t>
        </r>
      </text>
    </comment>
    <comment ref="A1046" authorId="0" shapeId="0" xr:uid="{CF37D1D0-F031-4948-8D1F-FFD6C7159FC7}">
      <text>
        <r>
          <rPr>
            <sz val="9"/>
            <color indexed="81"/>
            <rFont val="MS P ゴシック"/>
            <family val="3"/>
            <charset val="128"/>
          </rPr>
          <t>Insight iXlW00001C0001046R0585476093S00002090P01000LAocjBAQBF1NjaVRlZ2ljLmRhdGEuTW9sZWN1bGUBbwF/ARJTY2lUZWdpYy5Nb2xlY3VsZQAAAQFkAv5qAQAAAAIAAjQcAAAA/PwA/AACAAAAAAAA8L8CQxzr4jaaBUAC564l5IOe9j8AAAAAGAAAAPz8APwAAgAAAAAAAPC/AjhnRGlv8ANAAnHOiNLe4Ns/AAAAABgAAAD8/AD8AAIAAAAAAADwvwJiMlUwKqn4PwKHONbFbTTAPwAAAAAYAAAA/PwA/AACAAAAAAAA8L8CrYvbaABv5z8CswxxrIvb5j8AAAAAHAAAAPz8APwAAgAAAAAAAPC/AlFrmnecorO/Av7UeOkmMcA/AAAAABgAAAD8/AD8AAIAAAAAAADwvwJTliGOdXHwvwJxzojS3uDbPwAAAAAYAAAA/PwA/AACAAAAAAAA8L8CTMgHPZtV/L8Cnzws1Jrmzb8AAAAAJAAAAPz8APwAAgAAAAAAAPC/AhwN4C2QoPG/AjcawFsgQe+/AAAAACQAAAD8/AD8AAIAAAAAAADwvwLqJjEIrBwEwAKmLEMc6+LsvwAAAAAkAAAA/PwA/AACAAAAAAAA8L8ChetRuB6FA8ACylTBqKRO4D8AAAAAGAAAAPz8APwAAgAAAAAAAPC/ArIubqMBvM0/Avyp8dJNYuq/AAAAABwAAAD8/AD8AAIAAAAAAADwvwLWxW00gLfzPwL8qfHSTWLqvwAAAAABEQAAAPz8APwAAgAAAAAAAPC/AqqCUUmdAAxAAiuHFtnO98s/AAAAADAABAFlBAAAAAAAAAAABAgBZQQAAAAAAAAAAAgMAWUIDAAAAAAAAAAMEAFlBAAAAAAAAAAAEBQBZQQAAAAAAAAAABQYAWUEAAAAAAAAAAAYHAFlBAAAAAAAAAAAGCABZQQAAAAAAAAAABgkAWUEAAAAAAAAAAAQKAFlBAAAAAAAAAAAKCwBZQgIAAAAAAAAACwIAWUEAAAAAAAAAAAAAAAA</t>
        </r>
      </text>
    </comment>
    <comment ref="A1047" authorId="0" shapeId="0" xr:uid="{CB6A0877-5D2D-4E71-AFF7-6E943C60EBE7}">
      <text>
        <r>
          <rPr>
            <sz val="9"/>
            <color indexed="81"/>
            <rFont val="MS P ゴシック"/>
            <family val="3"/>
            <charset val="128"/>
          </rPr>
          <t>Insight iXlW00001C0001047R0585476093S00002092P01236LAocjBAQBF1NjaVRlZ2ljLmRhdGEuTW9sZWN1bGUBbwF/ARJTY2lUZWdpYy5Nb2xlY3VsZQAAAQFkAv5qAQAAAAIAAgEQHAAAAPz8APwAAgAAAAAAAPC/AuXyH9Jv3wpAAjnWxW00gPo/AAAAABgAAAD8/AD8AAIAAAAAAADwvwLRItv5fuoCQALA7J48LNT4PwAAAAAYAAAA/PwA/AACAAAAAAAA8L8Cpb3BFyZT/z8CldQJaCJs5D8AAAAAGAAAAPz8APwAAgAAAAAAAPC/AraEfNCzWe8/AtIA3gIJits/AAAAABwAAAD8/AD8AAIAAAAAAADwvwLFsS5uowHsPwIE54wo7Q3ivwAAAAAYAAAA/PwA/AACAAAAAAAA8L8CSFD8GHPXgj8CgnNGlPYG8b8AAAAAGAAAAPz8APwAAgAAAAAAAPC/AiQofoy5a+u/AgTnjCjtDeK/AAAAABgAAAD8/AD8AAIAAAAAAADwvwIkKH6MuWvrvwL5MeauJeTbPwAAAAAYAAAA/PwA/AACAAAAAAAA8L8CVHQkl/+Q+78C/Rhz1xLy7T8AAAAAGAAAAPz8APwAAgAAAAAAAPC/AkvqBDQRtgTAAvkx5q4l5Ns/AAAAABgAAAD8/AD8AAIAAAAAAADwvwJL6gQ0EbYEwAIE54wo7Q3ivwAAAAABIwAAAPz8APwAAgAAAAAAAPC/Amyad5yiowvAAoJzRpT2BvG/AAAAABgAAAD8/AD8AAIAAAAAAADwvwJUdCSX/5D7vwKCc0aU9gbxvwAAAAAYAAAA/PwA/AACAAAAAAAA8L8C564l5IOe/D8C4E+Nl24S778AAAAAHAAAAPz8APwAAgAAAAAAAPC/AtPe4AuTqQNAArivA+eMKM2/AAAAAAERAAAA/PwA/AACAAAAAAAA8L8CpixDHOuiEEACUB4Wak3z0j8AAAAAARAABAFlBAAAAAAAAAAABAgBZQQAAAAAAAAAAAgMAWUIDAAAAAAAAAAMEAFlBAAAAAAAAAAAEBQBZQQAAAAAAAAAABQYAWUEAAAAAAAAAAAYHAFlCAwAAAAAAAAAHCABZQQAAAAAAAAAACAkAWUICAAAAAAAAAAkKAFlBAAAAAAAAAAAKCwBZQQAAAAAAAAAACgwAWUICAAAAAAAAAAwGAFlBAAAAAAAAAAAEDQBZQQAAAAAAAAAADQ4AWUICAAAAAAAAAA4CAFlBAAAAAAAAAAAAAAAAA==</t>
        </r>
      </text>
    </comment>
    <comment ref="A1048" authorId="0" shapeId="0" xr:uid="{C45DE4A9-8E67-4C74-AFE1-944A9A33158D}">
      <text>
        <r>
          <rPr>
            <sz val="9"/>
            <color indexed="81"/>
            <rFont val="MS P ゴシック"/>
            <family val="3"/>
            <charset val="128"/>
          </rPr>
          <t>Insight iXlW00001C0001048R0585476093S00002094P01180LAocjBAQBF1NjaVRlZ2ljLmRhdGEuTW9sZWN1bGUBbwF/ARJTY2lUZWdpYy5Nb2xlY3VsZQAAAQFkAv5qAQAAAAIAAjwYAAAA/PwA/AACAAAAAAAA8L8CmbuWkA965j8C/fZ14JwR0b8AAAAAGAAAAPz8APwAAgAAAAAAAPC/Ag6+MJkqGPk/AkGC4seYu/M/AAAAABgAAAD8/AD8AAIAAAAAAADwvwKZu5aQD3rmPwKCBMWPMXfnPwAAAAAYAAAA/PwA/AACAAAAAAAA8L8Cz4jS3uAL078C/fZ14JwR0b8AAAAAIAAAAPz8APwAAgAAAAAAAPC/Ag6+MJkqGPk/AiFB8WPM3QFAAAAAABgAAAD8/AD8AAIAAAAAAADwvwJoRGlv8IXpvwLnHafoSC7jPwAAAAAYAAAA/PwA/AACAAAAAAAA8L8CaERpb/CF6b8CAd4CCYof8r8AAAAAGAAAAPz8APwAAgAAAAAAAPC/AhpR2ht8YQLAAv32deCcEdG/AAAAACAAAAD8/AD8AAIAAAAAAADwvwIoDwu1pnkDQAKCBMWPMXfnPwAAAAAYAAAA/PwA/AACAAAAAAAA8L8CNKK0N/jC/L8CAd4CCYof8r8AAAAAGAAAAPz8APwAAgAAAAAAAPC/AjSitDf4wvy/AgXFjzF3LeM/AAAAAAEjAAAA/PwA/AACAAAAAAAA8L8CGlHaG3xhCsAC/fZ14JwR0b8AAAAAGAAAAPz8APwAAgAAAAAAAPC/As1dS8gHPfs/Av32deCcEdG/AAAAABgAAAD8/AD8AAIAAAAAAADwvwKZu5aQD3rmPwLAfR04Z0T0vwAAAAAYAAAA/PwA/AACAAAAAAAA8L8CzV1LyAc9+z8CwH0dOGdE9L8AAAAAARAECAFlBAAAAAAAAAAACAABZQQAAAAAAAAAAAwAAWUEAAAAAAAAAAAQBAFlCAAAAAAAAAAAFAwBZQgMAAAAAAAAABgMAWUEAAAAAAAAAAAcJAFlBAAAAAAAAAAAIAQBZQQAAAAAAAAAACQYAWUICAAAAAAAAAAoFAFlBAAAAAAAAAAALBwBZQQAAAAAAAAAADAAAWUEAAAAAAAAAAA0AAFlBAAAAAAAAAAAODQBZQQAAAAAAAAAADA4AWUEAAAAAAAAAAAoHAFlCAgAAAAAAAAAAAAAAA==</t>
        </r>
      </text>
    </comment>
    <comment ref="A1049" authorId="0" shapeId="0" xr:uid="{ED409619-48E9-4922-841F-7A6EAA606449}">
      <text>
        <r>
          <rPr>
            <sz val="9"/>
            <color indexed="81"/>
            <rFont val="MS P ゴシック"/>
            <family val="3"/>
            <charset val="128"/>
          </rPr>
          <t>Insight iXlW00001C0001049R0585476093S00002096P00840LAocjBAQBF1NjaVRlZ2ljLmRhdGEuTW9sZWN1bGUBbwF/ARJTY2lUZWdpYy5Nb2xlY3VsZQAAAQFkAv5qAQAAAAIAAiwcAAAA/PwA/AACAAAAAAAA8L8CIUHxY8xd0z8Cg8DKoUW2678AAAAAGAAAAPz8APwAAgAAAAAAAPC/AsB9HThnRMm/AAAAAAAYAAAA/PwA/AACAAAAAAAA8L8CIUHxY8xd0z8Cg8DKoUW26z8AAAAAGAAAAPz8APwAAgAAAAAAAPC/AkhQ/Bhz1/Q/AoPAyqFFtuu/AAAAABgAAAD8/AD8AAIAAAAAAADwvwK4rwPnjCjzvwAAAAAAGAAAAPz8APwAAgAAAAAAAPC/AkhQ/Bhz1/w/AAAAAAAcAAAA/PwA/AACAAAAAAAA8L8CJCh+jLlrBkAAAAAAABgAAAD8/AD8AAIAAAAAAADwvwJIUPwYc9f0PwKDwMqhRbbrPwAAAAAYAAAA/PwA/AACAAAAAAAA8L8Cat5xio7kBMAAAAAAABgAAAD8/AD8AAIAAAAAAADwvwJGtvP91Hj+vwIcDeAtkKDmvwAAAAAYAAAA/PwA/AACAAAAAAAA8L8CRrbz/dR4/r8CHA3gLZCg5j8AAAAAMAQAAWUICAAAAAAAAAAIBAFlBAAAAAAAAAAADAABZQQAAAAAAAAAABAEAWUEAAAAAAAAAAAUDAFlCAwAAAAAAAAAGBQBZQQAAAAAAAAAABwUAWUEAAAAAAAAAAAgKAFlBAAAAAAAAAAAJBABZQQAAAAAAAAAACgQAWUEAAAAAAAAAAAIHAFlCAgAAAAAAAAAJCABZQQAAAAAAAAAAAAAAAA=</t>
        </r>
      </text>
    </comment>
    <comment ref="A1050" authorId="0" shapeId="0" xr:uid="{DA0267B7-9435-4EDE-B1F4-193B833146E5}">
      <text>
        <r>
          <rPr>
            <sz val="9"/>
            <color indexed="81"/>
            <rFont val="MS P ゴシック"/>
            <family val="3"/>
            <charset val="128"/>
          </rPr>
          <t>Insight iXlW00001C0001050R0585476093S00002098P00964LAocjBAQBF1NjaVRlZ2ljLmRhdGEuTW9sZWN1bGUBbwF/ARJTY2lUZWdpYy5Nb2xlY3VsZQAAAQFkAv5qAQAAAAIAAjAYAAAA/PwA/AACAAAAAAAA8L8Cr7Zif9k9yT8CYOXQItv54D8AAAAAGAAAAPz8APwAAgAAAAAAAPC/Aq+2Yn/ZPck/AkA1XrpJDN6/AAAAABgAAAD8/AD8AAIAAAAAAADwvwLYEvJBz2blvwKgGi/dJAbvvwAAAAAYAAAA/PwA/AACAAAAAAAA8L8C2BLyQc9m5b8CsHJoke188D8AAAAAGAAAAPz8APwAAgAAAAAAAPC/AmwJ+aBns/q/AqAaL90kBu+/AAAAABgAAAD8/AD8AAIAAAAAAADwvwLdtYR80LPyvwKS7Xw/NV79vwAAAAAcAAAA/PwA/AACAAAAAAAA8L8CGLfRAN4C8T8CsHJoke188D8AAAAAIAAAAPz8APwAAgAAAAAAAPC/Ah8Wak3zjvi/AmDl0CLb+eA/AAAAACAAAAD8/AD8AAIAAAAAAADwvwK6awn5oGflvwJYObTIdj4AQAAAAAAYAAAA/PwA/AACAAAAAAAA8L8CGLfRAN4C8T8CoBov3SQG778AAAAAGAAAAPz8APwAAgAAAAAAAPC/AlkXt9EA3v4/AmDl0CLb+eA/AAAAABgAAAD8/AD8AAIAAAAAAADwvwJZF7fRAN7+PwJANV66SQzevwAAAAA0BAABZQQAAAAAAAAAAAgEAWUEAAAAAAAAAAAMAAFlBAAAAAAAAAAAEAgBZQQAAAAAAAAAABQIAWUEAAAAAAAAAAAYAAFlCAgAAAAAAAAAHAwBZQgAAAAAAAAAACAMAWUEAAAAAAAAAAAkBAFlCAgAAAAAAAAAKBgBZQQAAAAAAAAAACwoAWUICAAAAAAAAAAkLAFlBAAAAAAAAAAAFBABZQQAAAAAAAAAAAAAAAA=</t>
        </r>
      </text>
    </comment>
    <comment ref="A1051" authorId="0" shapeId="0" xr:uid="{CBD58C19-784F-44B7-8E94-6E65478EF77F}">
      <text>
        <r>
          <rPr>
            <sz val="9"/>
            <color indexed="81"/>
            <rFont val="MS P ゴシック"/>
            <family val="3"/>
            <charset val="128"/>
          </rPr>
          <t>Insight iXlW00001C0001051R0585476093S00002100P01904LAocjBAQBF1NjaVRlZ2ljLmRhdGEuTW9sZWN1bGUBbwF/ARJTY2lUZWdpYy5Nb2xlY3VsZQAAAQFkAv5qAQAAAAIAAgEZGAAAAPz8APwAAgAAAAAAAPC/AjcawFsgQfq/AjSitDf4wvM/AAAAABwAAAD8/AD8AAIAAAAAAADwvwI3GsBbIEHyvwIEVg4tsp3XPwAAAAAYAAAA/PwA/AACAAAAAAAA8L8Ct9EA3gIJwr8CAiuHFtnO9b8AAAAAGAAAAPz8APwAAgAAAAAAAPC/AhiV1AloItS/AvJjzF1LyALAAAAAACAAAAD8/AD8AAIAAAAAAADwvwIcDeAtkCAFwAI0orQ3+MLzPwAAAAAgAAAA/PwA/AACAAAAAAAA8L8CNxrAWyBB8r8COwFNhA3PAEAAAAAAGAAAAPz8APwAAgAAAAAAAPC/AgFvgQTFj+k/AkjhehSuR/u/AAAAABgAAAD8/AD8AAIAAAAAAADwvwI3GsBbIEH6vwICK4cW2c7fvwAAAAAYAAAA/PwA/AACAAAAAAAA8L8Ct9EA3gIJwr8CBFYOLbKd1z8AAAAAGAAAAPz8APwAAgAAAAAAAPC/AjcawFsgQfK/AgIrhxbZzvW/AAAAABgAAAD8/AD8AAIAAAAAAADwvwIll/+QfvvWPwICK4cW2c7fvwAAAAAgAAAA/PwA/AACAAAAAAAA8L8CTDeJQWDl3D8CP1dbsb/sB8AAAAAAGAAAAPz8APwAAgAAAAAAAPC/AhwN4C2QIAnAAjsBTYQNzwBAAAAAABgAAAD8/AD8AAIAAAAAAADwvwIofoy5awn5PwKt+lxtxf7wvwAAAAAgAAAA/PwA/AACAAAAAAAA8L8C/fZ14JwR9L8CFD/G3LWEBcAAAAAAGAAAAPz8APwAAgAAAAAAAPC/ArwFEhQ/xghAAr4wmSoYlcw/AAAAABgAAAD8/AD8AAIAAAAAAADwvwLwp8ZLNwkEQAJkXdxGA3j2vwAAAAAYAAAA/PwA/AACAAAAAAAA8L8Cih9j7lpC9j8Cx9y1hHzQs78AAAAAGAAAAPz8APwAAgAAAAAAAPC/Ahlz1xLyQQFAAp0Rpb3BF+I/AAAAABgAAAD8/AD8AAIAAAAAAADwvwJEi2zn+ykKQAKS7Xw/NV7ovwAAAAAgAAAA/PwA/AACAAAAAAAA8L8CSb99HTjnDkACZhniWBe36z8AAAAAGAAAAPz8APwAAgAAAAAAAPC/Ap5eKcsQBxDAAnUCmggbnvk/AAAAABgAAAD8/AD8AAIAAAAAAADwvwIcDeAtkCANwAJcsb/snrwHQAAAAAAYAAAA/PwA/AACAAAAAAAA8L8C+1xtxf4yAsACOwFNhA3PBEAAAAAAGAAAAPz8APwAAgAAAAAAAPC/AhIUP8bcNRNAAtqs+lxtxeA/AAAAAAEaBAABZQQAAAAAAAAAAAgoAWUEAAAAAAAAAAAMCAFlBAAAAAAAAAAAEAABZQQAAAAAAAAAABQAAWUIAAAAAAAAAAAYCAFlBAAAAAAAAAAAHAQBZQQAAAAAAAAAACAEAWUEAAAAAAAAAAAkHAFlBAAAAAAAAAAAKCABZQQAAAAAAAAAACwMAWUIAAAAAAAAAAAwEAFlBAAAAAAAAAAANBgBZQQAAAAAAAAAADgMAWUEAAAAAAAAAAA8ARIBZQgMAAAAAAAAAAEQNAFlBAAAAAAAAAAAARE0AWUIDAAAAAAAAAABEgERAWUEAAAAAAAAAAABEwEQAWUICAAAAAAAAAABFDwBZQQAAAAAAAAAAAEVMAFlBAAAAAAAAAAAARYwAWUEAAAAAAAAAAABFzABZQQAAAAAAAAAAAEYARQBZQQAAAAAAAAAAAgkAWUEAAAAAAAAAAABEzwBZQQAAAAAAAAAAAAAAAA=</t>
        </r>
      </text>
    </comment>
    <comment ref="A1052" authorId="0" shapeId="0" xr:uid="{E8F01A6E-8325-4193-8831-4E96127B91B5}">
      <text>
        <r>
          <rPr>
            <sz val="9"/>
            <color indexed="81"/>
            <rFont val="MS P ゴシック"/>
            <family val="3"/>
            <charset val="128"/>
          </rPr>
          <t>Insight iXlW00001C0001052R0585476093S00002102P01468LAocjBAQBF1NjaVRlZ2ljLmRhdGEuTW9sZWN1bGUBbwF/ARJTY2lUZWdpYy5Nb2xlY3VsZQAAAQFkAv5qAQAAAAIAAgETJAAAAPz8APwAAgAAAAAAAPC/Ak+vlGWI4wDAAqabxCCw8gLAAAAAABgAAAD8/AD8AAIAAAAAAADwvwJPr5RliOMAwAJMN4lBYOX1vwAAAAAYAAAA/PwA/AACAAAAAAAA8L8CcF8HzhnRB8ACmG4Sg8DK678AAAAAGAAAAPz8APwAAgAAAAAAAPC/AnBfB84Z0QfAAqJFtvP91MA/AAAAABgAAAD8/AD8AAIAAAAAAADwvwJPr5RliOMAwAJpke18PzXkPwAAAAAYAAAA/PwA/AACAAAAAAAA8L8CXf5D+u3r878CokW28/3UwD8AAAAAGAAAAPz8APwAAgAAAAAAAPC/AjiJQWDl0NK/Av7UeOkmMdw/AAAAABwAAAD8/AD8AAIAAAAAAADwvwKvJeSDns3SPwIv3SQGgZXXvwAAAAAYAAAA/PwA/AACAAAAAAAA8L8CbAn5oGez9D8CL90kBoGV178AAAAAGAAAAPz8APwAAgAAAAAAAPC/AmwJ+aBns/w/ApxVn6ut2N8/AAAAABgAAAD8/AD8AAIAAAAAAADwvwJsCfmgZ7P0PwKpNc07TtH1PwAAAAAYAAAA/PwA/AACAAAAAAAA8L8CbAn5oGez/D8C9UpZhjjWAUAAAAAAHAAAAPz8APwAAgAAAAAAAPC/AraEfNCzWQZAAvVKWYY41gFAAAAAABgAAAD8/AD8AAIAAAAAAADwvwK2hHzQs1kKQAKpNc07TtH1PwAAAAAYAAAA/PwA/AACAAAAAAAA8L8CtoR80LNZBkACnFWfq63Y3z8AAAAAGAAAAPz8APwAAgAAAAAAAPC/AjiJQWDl0NK/AtejcD0K1/K/AAAAACAAAAD8/AD8AAIAAAAAAADwvwK5HoXrUbiOPwK7SQwCKwcBwAAAAAAYAAAA/PwA/AACAAAAAAAA8L8CXf5D+u3r878CmG4Sg8DK678AAAAAAREAAAD8/AD8AAIAAAAAAADwvwKOdXEbDWAQQAKHp1fKMsSxvwAAAAABFAAEAWUEAAAAAAAAAAAECAFlBAAAAAAAAAAACAwBZQgIAAAAAAAAAAwQAWUEAAAAAAAAAAAQFAFlCAwAAAAAAAAAFBgBZQQAAAAAAAAAABgcAWUEAAAAAAAAAAAcIAFlBAAAAAAAAAAAICQBZQQAAAAAAAAAACQoAWUEAAAAAAAAAAAoLAFlBAAAAAAAAAAALDABZQQAAAAAAAAAADA0AWUEAAAAAAAAAAA0OAFlBAAAAAAAAAAAOCQBZQQAAAAAAAAAABw8AWUEAAAAAAAAAAA8ARABZQgAAAAAAAAAADwBEQFlBAAAAAAAAAAAAREEAWUICAAAAAAAAAABERQBZQQAAAAAAAAAAAAAAAA=</t>
        </r>
      </text>
    </comment>
    <comment ref="A1053" authorId="0" shapeId="0" xr:uid="{23595D0D-934D-493B-9DD5-BF2E87E71A02}">
      <text>
        <r>
          <rPr>
            <sz val="9"/>
            <color indexed="81"/>
            <rFont val="MS P ゴシック"/>
            <family val="3"/>
            <charset val="128"/>
          </rPr>
          <t>Insight iXlW00001C0001053R0585476093S00002104P00804LAocjBAQBF1NjaVRlZ2ljLmRhdGEuTW9sZWN1bGUBbwF/ARJTY2lUZWdpYy5Nb2xlY3VsZQAAAQFkAv5qAQAAAAIAAigYAAAA/PwA/AACAAAAAAAA8L8CXkvIBz2b6T8CZ9Xnaiv24b8AAAAAHAAAAPz8APwAAgAAAAAAAPC/AlOWIY51cd8/AqoT0ETY8Ng/AAAAABwAAAD8/AD8AAIAAAAAAADwvwIg0m9fB878PwJJLv8h/fbhvwAAAAAYAAAA/PwA/AACAAAAAAAA8L8CVp+rrdjfAEACqhPQRNjw2D8AAAAAGAAAAPz8APwAAgAAAAAAAPC/Aq8l5IOezfQ/AkjhehSuR+8/AAAAABwAAAD8/AD8AAIAAAAAAADwvwKrz9VW7C/LPwI/V1uxv+z1vwAAAAAYAAAA/PwA/AACAAAAAAAA8L8C6dms+lxt3b8C6+I2GsBb5j8AAAAAIAAAAPz8APwAAgAAAAAAAPC/AgisHFpkOwHAAgg9m1Wfq9U/AAAAABgAAAD8/AD8AAIAAAAAAADwvwICvAUSFD/zvwKsrdhfdk+ePwAAAAAYAAAA/PwA/AACAAAAAAAA8L8CzO7Jw0ItB8ACuK8D54wo1b8AAAAAKAQAAWUEAAAAAAAAAAAIAAFlCAgAAAAAAAAADAgBZQQAAAAAAAAAABAEAWUEAAAAAAAAAAAUAAFlBAAAAAAAAAAAGAQBZQQAAAAAAAAAABwgAWUEAAAAAAAAAAAgGAFlBAAAAAAAAAAAJBwBZQQAAAAAAAAAABAMAWUICAAAAAAAAAAAAAAA</t>
        </r>
      </text>
    </comment>
    <comment ref="A1054" authorId="0" shapeId="0" xr:uid="{3E209B88-26D4-49A9-A56A-23F8E58DDC46}">
      <text>
        <r>
          <rPr>
            <sz val="9"/>
            <color indexed="81"/>
            <rFont val="MS P ゴシック"/>
            <family val="3"/>
            <charset val="128"/>
          </rPr>
          <t>Insight iXlW00001C0001054R0585476093S00002106P00964LAocjBAQBF1NjaVRlZ2ljLmRhdGEuTW9sZWN1bGUBbwF/ARJTY2lUZWdpYy5Nb2xlY3VsZQAAAQFkAv5qAQAAAAIAAjAcAAAA/PwA/AACAAAAAAAA8L8CCvmgZ7Pq4z8Cnl4pyxDHwj8AAAAAGAAAAPz8APwAAgAAAAAAAPC/As07TtGRXPM/Am+BBMWPMeW/AAAAABwAAAD8/AD8AAIAAAAAAADwvwLu68A5I0oBQAKxUGuad5zWvwAAAAAYAAAA/PwA/AACAAAAAAAA8L8C7uvAOSNKAUACqFfKMsSx5D8AAAAAGAAAAPz8APwAAgAAAAAAAPC/As07TtGRXPM/Ar4wmSoYle4/AAAAABgAAAD8/AD8AAIAAAAAAADwvwLtDb4wmSrYvwKeXinLEMfCPwAAAAAcAAAA/PwA/AACAAAAAAAA8L8CokW28/3U7D8Cx9y1hHzQ+b8AAAAAGAAAAPz8APwAAgAAAAAAAPC/AvcGX5hMFey/AhaMSuoENPA/AAAAABgAAAD8/AD8AAIAAAAAAADwvwL3Bl+YTBXsvwLcaABvgQTnvwAAAAAYAAAA/PwA/AACAAAAAAAA8L8CfIMvTKYK/r8C3GgAb4EE578AAAAAGAAAAPz8APwAAgAAAAAAAPC/AnyDL0ymCv6/AhaMSuoENPA/AAAAABgAAAD8/AD8AAIAAAAAAADwvwK+wRcmUwUDwAKeXinLEMfCPwAAAAA0BAABZQQAAAAAAAAAAAgEAWUICAAAAAAAAAAMEAFlCAgAAAAAAAAAEAABZQQAAAAAAAAAABQAAWUEAAAAAAAAAAAYBAFlBAAAAAAAAAAAHBQBZQQAAAAAAAAAACAUAWUIDAAAAAAAAAAkIAFlBAAAAAAAAAAAKBwBZQgIAAAAAAAAACwkAWUICAAAAAAAAAAMCAFlBAAAAAAAAAAAKCwBZQQAAAAAAAAAAAAAAAA=</t>
        </r>
      </text>
    </comment>
    <comment ref="A1055" authorId="0" shapeId="0" xr:uid="{A315A324-3EBD-4B64-A43B-BB74F1CA3883}">
      <text>
        <r>
          <rPr>
            <sz val="9"/>
            <color indexed="81"/>
            <rFont val="MS P ゴシック"/>
            <family val="3"/>
            <charset val="128"/>
          </rPr>
          <t>Insight iXlW00001C0001055R0585476093S00002108P00844LAocjBAQBF1NjaVRlZ2ljLmRhdGEuTW9sZWN1bGUBbwF/ARJTY2lUZWdpYy5Nb2xlY3VsZQAAAQFkAv5qAQAAAAIAAiwBEAAAAPz8APwAAgAAAAAAAPC/Al7cRgN4C/W/AAAAAAAYAAAA/PwA/AACAAAAAAAA8L8CoyO5/If0+j8AAAAAACAAAAD8/AD8AAIAAAAAAADwvwKDUUmdgKYAwAI2zTtO0ZHkvwAAAAAgAAAA/PwA/AACAAAAAAAA8L8Cg1FJnYCmAMACNs07TtGR5D8AAAAAGAAAAPz8APwAAgAAAAAAAPC/Aru4jQbwFuq/AoPAyqFFtus/AAAAABgAAAD8/AD8AAIAAAAAAADwvwK7uI0G8BbqvwKDwMqhRbbrvwAAAAAYAAAA/PwA/AACAAAAAAAA8L8CRkdy+Q/p5T8AAAAAACAAAAD8/AD8AAIAAAAAAADwvwLSkVz+Q3oBQAKDwMqhRbbrPwAAAAAYAAAA/PwA/AACAAAAAAAA8L8CFR3J5T+kxz8Cg8DKoUW26z8AAAAAGAAAAPz8APwAAgAAAAAAAPC/AhUdyeU/pMc/AoPAyqFFtuu/AAAAACAAAAD8/AD8AAIAAAAAAADwvwLSkVz+Q3oBQAKDwMqhRbbrvwAAAAAsBBgBZQQAAAAAAAAAAAgAAWUIAAAAAAAAAAAMAAFlCAAAAAAAAAAAEAABZQQAAAAAAAAAABQAAWUEAAAAAAAAAAAYJAFlBAAAAAAAAAAAHAQBZQgAAAAAAAAAACAQAWUEAAAAAAAAAAAkFAFlBAAAAAAAAAAAKAQBZQQAAAAAAAAAACAYAWUEAAAAAAAAAAAAAAAA</t>
        </r>
      </text>
    </comment>
    <comment ref="A1056" authorId="0" shapeId="0" xr:uid="{EB3727DA-B8D7-4580-A8F7-CE771491E562}">
      <text>
        <r>
          <rPr>
            <sz val="9"/>
            <color indexed="81"/>
            <rFont val="MS P ゴシック"/>
            <family val="3"/>
            <charset val="128"/>
          </rPr>
          <t>Insight iXlW00001C0001056R0585476093S00002110P01020LAocjBAQBF1NjaVRlZ2ljLmRhdGEuTW9sZWN1bGUBbwF/ARJTY2lUZWdpYy5Nb2xlY3VsZQAAAQFkAv5qAQAAAAIAAjQBEAAAAPz8APwAAgAAAAAAAPC/AsgpOpLLf/2/AhI2PL1Slsm/AAAAABgAAAD8/AD8AAIAAAAAAADwvwI51sVtNIDyPwISNjy9UpbJvwAAAAAgAAAA/PwA/AACAAAAAAAA8L8COPjCZKrgBMAC2IFzRpT26r8AAAAAIAAAAPz8APwAAgAAAAAAAPC/Ajj4wmSq4ATAAmN/2T15WNw/AAAAABgAAAD8/AD8AAIAAAAAAADwvwLIKTqSy3/1vwL/snvysFDlPwAAAAAYAAAA/PwA/AACAAAAAAAA8L8CyCk6kst/9b8CBOeMKO0N8b8AAAAAGAAAAPz8APwAAgAAAAAAAPC/AsSxLm6jAcQ/AhI2PL1Slsm/AAAAACAAAAD8/AD8AAIAAAAAAADwvwI51sVtNID6PwIE54wo7Q3xvwAAAAAYAAAA/PwA/AACAAAAAAAA8L8CHqfoSC7/1b8C/7J78rBQ5T8AAAAAGAAAAPz8APwAAgAAAAAAAPC/Ah6n6Egu/9W/AgTnjCjtDfG/AAAAACAAAAD8/AD8AAIAAAAAAADwvwI51sVtNID6PwLhC5OpglHlPwAAAAAYAAAA/PwA/AACAAAAAAAA8L8CHeviNhpABUAC4QuTqYJR5T8AAAAAGAAAAPz8APwAAgAAAAAAAPC/Ah3r4jYaQAlAAjLmriXkg/g/AAAAADQEGAFlBAAAAAAAAAAACAABZQgAAAAAAAAAAAwAAWUIAAAAAAAAAAAQAAFlBAAAAAAAAAAAFAABZQQAAAAAAAAAABgkAWUEAAAAAAAAAAAcBAFlCAAAAAAAAAAAIBABZQQAAAAAAAAAACQUAWUEAAAAAAAAAAAoBAFlBAAAAAAAAAAALCgBZQQAAAAAAAAAADAsAWUEAAAAAAAAAAAgGAFlBAAAAAAAAAAAAAAAAA==</t>
        </r>
      </text>
    </comment>
    <comment ref="A1057" authorId="0" shapeId="0" xr:uid="{03638C76-6B51-4FB2-BCC1-4DBAF48A8C01}">
      <text>
        <r>
          <rPr>
            <sz val="9"/>
            <color indexed="81"/>
            <rFont val="MS P ゴシック"/>
            <family val="3"/>
            <charset val="128"/>
          </rPr>
          <t>Insight iXlW00001C0001057R0585476093S00002112P01016LAocjBAQBF1NjaVRlZ2ljLmRhdGEuTW9sZWN1bGUBbwF/ARJTY2lUZWdpYy5Nb2xlY3VsZQAAAQFkAv5qAQAAAAIAAjQYAAAA/PwA/AACAAAAAAAA8L8CNs07TtGR978CTYQNT6+U1b8AAAAAGAAAAPz8APwAAgAAAAAAAPC/AjbNO07Rkf+/Al3+Q/rt6+A/AAAAABgAAAD8/AD8AAIAAAAAAADwvwKb5h2n6MgDwAJNhA1Pr5TVvwAAAAAYAAAA/PwA/AACAAAAAAAA8L8CNs07TtGR0D8CTYQNT6+U1b8AAAAAHAAAAPz8APwAAgAAAAAAAPC/AunZrPpcbeO/AifChqdXyuq/AAAAACAAAAD8/AD8AAIAAAAAAADwvwKPU3Qkl//xPwInwoanV8rqvwAAAAAgAAAA/PwA/AACAAAAAAAA8L8CNs07TtGR0D8C2j15WKg15T8AAAAAGAAAAPz8APwAAgAAAAAAAPC/AkJg5dAi2/8/Ak2EDU+vlNW/AAAAABgAAAD8/AD8AAIAAAAAAADwvwIooImw4ekFwALJ5T+k377yPwAAAAAYAAAA/PwA/AACAAAAAAAA8L8CjgbwFkhQ878CyeU/pN++8j8AAAAAGAAAAPz8APwAAgAAAAAAAPC/AkJg5dAi2/c/Al3+Q/rt6+A/AAAAABgAAAD8/AD8AAIAAAAAAADwvwJCYOXQItsGQAJm9+RhodbEPwAAAAAYAAAA/PwA/AACAAAAAAAA8L8CIbByaJHtA0ACVcGopE5A878AAAAANAQAAWUEAAAAAAAAAAAIAAFlBAAAAAAAAAAADBABZQQAAAAAAAAAAAAQAWUEAAAAAAAAAAAUDAFlBAAAAAAAAAAAGAwBZQgAAAAAAAAAABwUAWUEAAAAAAAAAAAgBAFlBAAAAAAAAAAAJAQBZQQAAAAAAAAAACgcAWUEAAAAAAAAAAAsHAFlBAAAAAAAAAAAMBwBZQQAAAAAAAAAAAQIAWUEAAAAAAAAAAAAAAAA</t>
        </r>
      </text>
    </comment>
    <comment ref="A1058" authorId="0" shapeId="0" xr:uid="{B9957B29-549C-4111-914E-96BDC91D656E}">
      <text>
        <r>
          <rPr>
            <sz val="9"/>
            <color indexed="81"/>
            <rFont val="MS P ゴシック"/>
            <family val="3"/>
            <charset val="128"/>
          </rPr>
          <t>Insight iXlW00001C0001058R0585476093S00002114P01612LAocjBAQBF1NjaVRlZ2ljLmRhdGEuTW9sZWN1bGUBbwF/ARJTY2lUZWdpYy5Nb2xlY3VsZQAAAQFkAv5qAQAAAAIAAgEVGAAAAPz8APwAAgAAAAAAAPC/AobrUbgehf+/ApwzorQ3+OA/AAAAABwAAAD8/AD8AAIAAAAAAADwvwIL16NwPQrvvwKcM6K0N/jgPwAAAAAYAAAA/PwA/AACAAAAAAAA8L8CexSuR+F68D8CnDOitDf44D8AAAAAIAAAAPz8APwAAgAAAAAAAPC/AsP1KFyPwgPAAs4ZUdobfNW/AAAAABgAAAD8/AD8AAIAAAAAAADwvwKUh4Va07z8PwLNzMzMzMy8vwAAAAAYAAAA/PwA/AACAAAAAAAA8L8C9ihcj8L14D8CzhlR2ht81b8AAAAAGAAAAPz8APwAAgAAAAAAAPC/AvYoXI/C9eA/AhB6Nqs+V/Y/AAAAABgAAAD8/AD8AAIAAAAAAADwvwIVrkfhehTevwLOGVHaG3zVvwAAAAAYAAAA/PwA/AACAAAAAAAA8L8CFa5H4XoU3r8CEHo2qz5X9j8AAAAAIAAAAPz8APwAAgAAAAAAAPC/AsP1KFyPwgPAAhB6Nqs+V/Y/AAAAABgAAAD8/AD8AAIAAAAAAADwvwJtVn2utuIFQALHSzeJQWDNPwAAAAAYAAAA/PwA/AACAAAAAAAA8L8Cw/UoXI/CC8ACzhlR2ht81b8AAAAAHAAAAPz8APwAAgAAAAAAAPC/ApSHhVrTvPw/AmkAb4EExfI/AAAAABgAAAD8/AD8AAIAAAAAAADwvwLBOSNKewMMQAKI9NvXgXPavwAAAAAkAAAA/PwA/AACAAAAAAAA8L8CTtGRXP7DEUACxm00gLdAsr8AAAAAGAAAAPz8APwAAgAAAAAAAPC/AoV80LNZ9fk/Aq1p3nGKjvG/AAAAABgAAAD8/AD8AAIAAAAAAADwvwKXIY51cRsDQAJIUPwYc9f7vwAAAAAYAAAA/PwA/AACAAAAAAAA8L8Cw/UoXI/CC8ACdEaU9gZf9b8AAAAAGAAAAPz8APwAAgAAAAAAAPC/AuJ6FK5H4RHAAs4ZUdobfNW/AAAAABgAAAD8/AD8AAIAAAAAAADwvwLD9Shcj8ILwAIZc9cS8kHlPwAAAAAYAAAA/PwA/AACAAAAAAAA8L8CcoqO5PKfCkACA5oIG55e9r8AAAAAARYEAAFlBAAAAAAAAAAACBgBZQQAAAAAAAAAAAwAAWUEAAAAAAAAAAAQCAFlBAAAAAAAAAAAFBwBZQQAAAAAAAAAABggAWUEAAAAAAAAAAAcBAFlBAAAAAAAAAAAIAQBZQQAAAAAAAAAACQAAWUIAAAAAAAAAAAoEAFlBAAAAAAAAAAALAwBZQQAAAAAAAAAADAIAWUEAAAAAAAAAAA0KAFlCAwAAAAAAAAAODQBZQQAAAAAAAAAADwQAWUIDAAAAAAAAAABEDwBZQQAAAAAAAAAAAERLAFlBAAAAAAAAAAAARIsAWUEAAAAAAAAAAABEywBZQQAAAAAAAAAAAEUARABZQgIAAAAAAAAABQIAWUEAAAAAAAAAAA0ARQBZQQAAAAAAAAAAAAAAAA=</t>
        </r>
      </text>
    </comment>
    <comment ref="A1059" authorId="0" shapeId="0" xr:uid="{F083D6EA-53D8-42D8-9A16-0438F62ACDD4}">
      <text>
        <r>
          <rPr>
            <sz val="9"/>
            <color indexed="81"/>
            <rFont val="MS P ゴシック"/>
            <family val="3"/>
            <charset val="128"/>
          </rPr>
          <t>Insight iXlW00001C0001059R0585476093S00002116P01612LAocjBAQBF1NjaVRlZ2ljLmRhdGEuTW9sZWN1bGUBbwF/ARJTY2lUZWdpYy5Nb2xlY3VsZQAAAQFkAv5qAQAAAAIAAgEVGAAAAPz8APwAAgAAAAAAAPC/AobrUbgehf+/ApwzorQ3+OA/AAAAABwAAAD8/AD8AAIAAAAAAADwvwIL16NwPQrvvwKcM6K0N/jgPwAAAAAYAAAA/PwA/AACAAAAAAAA8L8CexSuR+F68D8CnDOitDf44D8AAAAAIAAAAPz8APwAAgAAAAAAAPC/AsP1KFyPwgPAAs4ZUdobfNW/AAAAABgAAAD8/AD8AAIAAAAAAADwvwKUh4Va07z8PwLNzMzMzMy8vwAAAAAYAAAA/PwA/AACAAAAAAAA8L8C9ihcj8L14D8CzhlR2ht81b8AAAAAGAAAAPz8APwAAgAAAAAAAPC/AvYoXI/C9eA/AhB6Nqs+V/Y/AAAAABgAAAD8/AD8AAIAAAAAAADwvwIVrkfhehTevwLOGVHaG3zVvwAAAAAYAAAA/PwA/AACAAAAAAAA8L8CFa5H4XoU3r8CEHo2qz5X9j8AAAAAIAAAAPz8APwAAgAAAAAAAPC/AsP1KFyPwgPAAhB6Nqs+V/Y/AAAAABgAAAD8/AD8AAIAAAAAAADwvwJtVn2utuIFQALHSzeJQWDNPwAAAAAYAAAA/PwA/AACAAAAAAAA8L8Cw/UoXI/CC8ACzhlR2ht81b8AAAAAHAAAAPz8APwAAgAAAAAAAPC/ApSHhVrTvPw/AmkAb4EExfI/AAAAABgAAAD8/AD8AAIAAAAAAADwvwLBOSNKewMMQAKI9NvXgXPavwAAAAABEQAAAPz8APwAAgAAAAAAAPC/Ak7RkVz+wxFAAsZtNIC3QLK/AAAAABgAAAD8/AD8AAIAAAAAAADwvwKFfNCzWfX5PwKtad5xio7xvwAAAAAYAAAA/PwA/AACAAAAAAAA8L8ClyGOdXEbA0ACSFD8GHPX+78AAAAAGAAAAPz8APwAAgAAAAAAAPC/AsP1KFyPwgvAAnRGlPYGX/W/AAAAABgAAAD8/AD8AAIAAAAAAADwvwLiehSuR+ERwALOGVHaG3zVvwAAAAAYAAAA/PwA/AACAAAAAAAA8L8Cw/UoXI/CC8ACGXPXEvJB5T8AAAAAGAAAAPz8APwAAgAAAAAAAPC/AnKKjuTynwpAAgOaCBueXva/AAAAAAEWBAABZQQAAAAAAAAAAAgYAWUEAAAAAAAAAAAMAAFlBAAAAAAAAAAAEAgBZQQAAAAAAAAAABQcAWUEAAAAAAAAAAAYIAFlBAAAAAAAAAAAHAQBZQQAAAAAAAAAACAEAWUEAAAAAAAAAAAkAAFlCAAAAAAAAAAAKBABZQQAAAAAAAAAACwMAWUEAAAAAAAAAAAwCAFlBAAAAAAAAAAANCgBZQgMAAAAAAAAADg0AWUEAAAAAAAAAAA8EAFlCAwAAAAAAAAAARA8AWUEAAAAAAAAAAABESwBZQQAAAAAAAAAAAESLAFlBAAAAAAAAAAAARMsAWUEAAAAAAAAAAABFAEQAWUICAAAAAAAAAAUCAFlBAAAAAAAAAAANAEUAWUEAAAAAAAAAAAAAAAA</t>
        </r>
      </text>
    </comment>
    <comment ref="A1060" authorId="0" shapeId="0" xr:uid="{6BA472FB-0377-4A7D-8EBC-79D11B9BBA2E}">
      <text>
        <r>
          <rPr>
            <sz val="9"/>
            <color indexed="81"/>
            <rFont val="MS P ゴシック"/>
            <family val="3"/>
            <charset val="128"/>
          </rPr>
          <t>Insight iXlW00001C0001060R0585476093S00002118P01828LAocjBAQBF1NjaVRlZ2ljLmRhdGEuTW9sZWN1bGUBbwF/ARJTY2lUZWdpYy5Nb2xlY3VsZQAAAQFkAv5qAQAAAAIAAgEYGAAAAPz8APwAAgAAAAAAAPC/AhFYObTI9gLAAiKOdXEbDci/AAAAABwAAAD8/AD8AAIAAAAAAADwvwJvowG8BRL4vwLvOEVHcvnTPwAAAAAYAAAA/PwA/AACAAAAAAAA8L8CseHplbIMB0AC3iQGgZVD7b8AAAAAGAAAAPz8APwAAgAAAAAAAPC/AqjoSC7/Ic0/AjxO0ZFc/vQ/AAAAABgAAAD8/AD8AAIAAAAAAADwvwKOBvAWSFAEQALdtYR80LOZPwAAAAAgAAAA/PwA/AACAAAAAAAA8L8CEVg5tMj2AsACxLEubqMB878AAAAAGAAAAPz8APwAAgAAAAAAAPC/Ava52or9ZfM/Ai1DHOviNvI/AAAAABgAAAD8/AD8AAIAAAAAAADwvwI7cM6I0t74PwI17zhFR3LJPwAAAAAYAAAA/PwA/AACAAAAAAAA8L8CqOhILv8hzT8C7zhFR3L50z8AAAAAGAAAAPz8APwAAgAAAAAAAPC/AlqGONbFbeS/AjxO0ZFc/vw/AAAAABgAAAD8/AD8AAIAAAAAAADwvwJahjjWxW3kvwIijnVxGw3IvwAAAAAYAAAA/PwA/AACAAAAAAAA8L8Cb6MBvAUS+L8CPE7RkVz+9D8AAAAAIAAAAPz8APwAAgAAAAAAAPC/AjIIrBxa5AnAAu84RUdy+dM/AAAAABgAAAD8/AD8AAIAAAAAAADwvwIyCKwcWuQJwALFsS5uowH7vwAAAAAkAAAA/PwA/AACAAAAAAAA8L8CjErqBDSRDkACUrgehetR4r8AAAAAJAAAAPz8APwAAgAAAAAAAPC/AgyTqYJRyQlAAibkg57Nqv2/AAAAACQAAAD8/AD8AAIAAAAAAADwvwIbnl4pyxD/PwImdQKaCBv0vwAAAAAcAAAA/PwA/AACAAAAAAAA8L8CtaZ5xyk64j8C+g/pt68DAkAAAAAAGAAAAPz8APwAAgAAAAAAAPC/Atv5fmq8dAlAAuELk6mCUek/AAAAABgAAAD8/AD8AAIAAAAAAADwvwKRoPgx5q79PwJGtvP91Hj+PwAAAAAYAAAA/PwA/AACAAAAAAAA8L8CuR6F61G4BkACqFfKMsSx+z8AAAAAGAAAAPz8APwAAgAAAAAAAPC/AjEIrBxa5AXAAgMJih9jbgTAAAAAABgAAAD8/AD8AAIAAAAAAADwvwIpXI/C9WgQwALiWBe30YABwAAAAAAYAAAA/PwA/AACAAAAAAAA8L8CMgisHFrkDcACBqOSOgFN6r8AAAAAARkEAAFlBAAAAAAAAAAACBABZQQAAAAAAAAAAAwkAWUEAAAAAAAAAAAQHAFlBAAAAAAAAAAAFAABZQQAAAAAAAAAABgMAWUEAAAAAAAAAAAcGAFlCAwAAAAAAAAAICgBZQQAAAAAAAAAACQsAWUEAAAAAAAAAAAoBAFlBAAAAAAAAAAALAQBZQQAAAAAAAAAADAAAWUIAAAAAAAAAAA0FAFlBAAAAAAAAAAAOAgBZQQAAAAAAAAAADwIAWUEAAAAAAAAAAABEAgBZQQAAAAAAAAAAAERDAFlBAAAAAAAAAAAARIBFAFlBAAAAAAAAAAAARMYAWUEAAAAAAAAAAABFAETAWUICAAAAAAAAAABFTQBZQQAAAAAAAAAAAEWNAFlBAAAAAAAAAAAARc0AWUEAAAAAAAAAAAgDAFlBAAAAAAAAAAAEAESAWUIDAAAAAAAAAAAAAAA</t>
        </r>
      </text>
    </comment>
    <comment ref="A1061" authorId="0" shapeId="0" xr:uid="{02640EF3-CAA8-49B0-965F-D378EAEE172A}">
      <text>
        <r>
          <rPr>
            <sz val="9"/>
            <color indexed="81"/>
            <rFont val="MS P ゴシック"/>
            <family val="3"/>
            <charset val="128"/>
          </rPr>
          <t>Insight iXlW00001C0001061R0585476093S00002120P01160LAocjBAQBF1NjaVRlZ2ljLmRhdGEuTW9sZWN1bGUBbwF/ARJTY2lUZWdpYy5Nb2xlY3VsZQAAAQFkAv5qAQAAAAIAAjwYAAAA/PwA/AACAAAAAAAA8L8CC0YldQKa6L8CPb1SliGOzT8AAAAAHAAAAPz8APwAAgAAAAAAAPC/Atbnaiv2l80/Aj29UpYhjs0/AAAAACAAAAD8/AD8AAIAAAAAAADwvwIGo5I6AU30vwI0ETY8vVLkvwAAAAAYAAAA/PwA/AACAAAAAAAA8L8Cfq62Yn/ZAUACPb1SliGOzT8AAAAAIAAAAPz8APwAAgAAAAAAAPC/AgajkjoBTfS/AlpkO99PjfE/AAAAABgAAAD8/AD8AAIAAAAAAADwvwL2udqK/WXnPwI0ETY8vVLkvwAAAAAYAAAA/PwA/AACAAAAAAAA8L8C9rnaiv1l5z8C6bevA+eM8T8AAAAAGAAAAPz8APwAAgAAAAAAAPC/AvtcbcX+svs/AjQRNjy9UuS/AAAAABgAAAD8/AD8AAIAAAAAAADwvwL7XG3F/rL7PwLpt68D54zxPwAAAAAYAAAA/PwA/AACAAAAAAAA8L8Cg1FJnYAmAsACNBE2PL1S5L8AAAAAHAAAAPz8APwAAgAAAAAAAPC/AtKRXP5D+gdAAgmKH2PuWtq/AAAAABgAAAD8/AD8AAIAAAAAAADwvwLSkVz+Q/oHQAKFfNCzWfXrPwAAAAAYAAAA/PwA/AACAAAAAAAA8L8Cg1FJnYAmAsACmggbnl4p+r8AAAAAGAAAAPz8APwAAgAAAAAAAPC/AoNRSZ2AJgrAAjQRNjy9UuS/AAAAABgAAAD8/AD8AAIAAAAAAADwvwKDUUmdgCYCwAKY3ZOHhVrXPwAAAAA8BAABZQQAAAAAAAAAAAgAAWUEAAAAAAAAAAAMIAFlBAAAAAAAAAAAEAABZQgAAAAAAAAAABQEAWUEAAAAAAAAAAAYBAFlBAAAAAAAAAAAHBQBZQQAAAAAAAAAACAYAWUEAAAAAAAAAAAkCAFlBAAAAAAAAAAAKAwBZQQAAAAAAAAAACwMAWUEAAAAAAAAAAAwJAFlBAAAAAAAAAAANCQBZQQAAAAAAAAAADgkAWUEAAAAAAAAAAAMHAFlBAAAAAAAAAAAAAAAAA==</t>
        </r>
      </text>
    </comment>
    <comment ref="A1062" authorId="0" shapeId="0" xr:uid="{51137EFC-AD33-491F-A834-88B652427214}">
      <text>
        <r>
          <rPr>
            <sz val="9"/>
            <color indexed="81"/>
            <rFont val="MS P ゴシック"/>
            <family val="3"/>
            <charset val="128"/>
          </rPr>
          <t>Insight iXlW00001C0001062R0585476093S00002122P00752LAocjBAQBF1NjaVRlZ2ljLmRhdGEuTW9sZWN1bGUBbwF/ARJTY2lUZWdpYy5Nb2xlY3VsZQAAAQFkAv5qAQAAAAIAAigYAAAA/PwA/AACAAAAAAAA8L8C/tR46SYx9T8CNs07TtGR5D8AAAAAGAAAAPz8APwAAgAAAAAAAPC/AqwcWmQ73+E/AAAAAAAcAAAA/PwA/AACAAAAAAAA8L8C/tR46SYx9T8CNs07TtGR5L8AAAAAGAAAAPz8APwAAgAAAAAAAPC/AsHKoUW2860/AoPAyqFFtuu/AAAAABgAAAD8/AD8AAIAAAAAAADwvwJU46WbxCDuvwKDwMqhRbbrvwAAAAAcAAAA/PwA/AACAAAAAAAA8L8CqvHSTWIQ978AAAAAABgAAAD8/AD8AAIAAAAAAADwvwJU46WbxCDuvwKDwMqhRbbrPwAAAAAYAAAA/PwA/AACAAAAAAAA8L8CwcqhRbbzrT8Cg8DKoUW26z8AAAAAAREAAAD8/AD8AAIAAAAAAADwvwLm0CLb+f4AQALfcYqO5PKPvwAAAAABEQAAAPz8APwAAgAAAAAAAPC/AgK8BRIUPwlAAt9xio7k8o8/AAAAACAABAFlBAAAAAAAAAAABAgBZQQAAAAAAAAAAAQMAWUEAAAAAAAAAAAMEAFlBAAAAAAAAAAAEBQBZQQAAAAAAAAAABQYAWUEAAAAAAAAAAAYHAFlBAAAAAAAAAAAHAQBZQQAAAAAAAAAAAAAAAA=</t>
        </r>
      </text>
    </comment>
    <comment ref="A1063" authorId="0" shapeId="0" xr:uid="{2831A257-CE63-48A7-A7D5-7BC34A6BF356}">
      <text>
        <r>
          <rPr>
            <sz val="9"/>
            <color indexed="81"/>
            <rFont val="MS P ゴシック"/>
            <family val="3"/>
            <charset val="128"/>
          </rPr>
          <t>Insight iXlW00001C0001063R0585476093S00002124P01216LAocjBAQBF1NjaVRlZ2ljLmRhdGEuTW9sZWN1bGUBbwF/ARJTY2lUZWdpYy5Nb2xlY3VsZQAAAQFkAv5qAQAAAAIAAgEQHAAAAPz8APwAAgAAAAAAAPC/At6Th4Va09i/AkLPZtXnavI/AAAAABgAAAD8/AD8AAIAAAAAAADwvwJ6Nqs+V1vnvwJX7C+7Jw/LPwAAAAAYAAAA/PwA/AACAAAAAAAA8L8CejarPldb578C6wQ0ETY86b8AAAAAGAAAAPz8APwAAgAAAAAAAPC/An/7OnDOiPm/AnUCmggbnvS/AAAAABwAAAD8/AD8AAIAAAAAAADwvwLgLZCg+LEDwALrBDQRNjzpvwAAAAAYAAAA/PwA/AACAAAAAAAA8L8C4C2QoPixA8ACV+wvuycPyz8AAAAAGAAAAPz8APwAAgAAAAAAAPC/An/7OnDOiPm/Ahb7y+7Jw+Y/AAAAABgAAAD8/AD8AAIAAAAAAADwvwKOBvAWSFDQPwJ3Tx4Wak2jPwAAAAAYAAAA/PwA/AACAAAAAAAA8L8C0m9fB84Z4z8Cd76fGi/d7L8AAAAAGAAAAPz8APwAAgAAAAAAAPC/AspUwaikTvk/Ato9eVioNfG/AAAAABgAAAD8/AD8AAIAAAAAAADwvwKyne+nxssBQALH3LWEfNDTvwAAAAAYAAAA/PwA/AACAAAAAAAA8L8CH4XrUbge/j8CC7Wmeccp5D8AAAAAJAAAAPz8APwAAgAAAAAAAPC/At21hHzQMwRAAi4hH/RsVvY/AAAAABgAAAD8/AD8AAIAAAAAAADwvwJ90LNZ9bnsPwIqyxDHurjpPwAAAAABEQAAAPz8APwAAgAAAAAAAPC/AkQc6+I2mgpAAv2H9NvXgaM/AAAAAAERAAAA/PwA/AACAAAAAAAA8L8CsAPnjChtEUACh6dXyjLEsT8AAAAAPAAEAWUEAAAAAAAAAAAECAFlBAAAAAAAAAAACAwBZQQAAAAAAAAAAAwQAWUEAAAAAAAAAAAQFAFlBAAAAAAAAAAAFBgBZQQAAAAAAAAAABgEAWUEAAAAAAAAAAAEHAFlBAAAAAAAAAAAHCABZQgMAAAAAAAAACAkAWUEAAAAAAAAAAAkKAFlCAgAAAAAAAAAKCwBZQQAAAAAAAAAACwwAWUEAAAAAAAAAAAsNAFlCAgAAAAAAAAANBwBZQQAAAAAAAAAAAAAAAA=</t>
        </r>
      </text>
    </comment>
    <comment ref="A1064" authorId="0" shapeId="0" xr:uid="{6DCCE95F-9877-41B7-A447-598EAF66B2D7}">
      <text>
        <r>
          <rPr>
            <sz val="9"/>
            <color indexed="81"/>
            <rFont val="MS P ゴシック"/>
            <family val="3"/>
            <charset val="128"/>
          </rPr>
          <t>Insight iXlW00001C0001064R0585476093S00002126P01216LAocjBAQBF1NjaVRlZ2ljLmRhdGEuTW9sZWN1bGUBbwF/ARJTY2lUZWdpYy5Nb2xlY3VsZQAAAQFkAv5qAQAAAAIAAgEQHAAAAPz8APwAAgAAAAAAAPC/At9xio7k8tu/AuPHmLuWkPQ/AAAAABgAAAD8/AD8AAIAAAAAAADwvwJd/kP67evovwKu2F92Tx7WPwAAAAAYAAAA/PwA/AACAAAAAAAA8L8CXf5D+u3r6L8CqRPQRNjw5L8AAAAAGAAAAPz8APwAAgAAAAAAAPC/AnBfB84ZUfq/AtUJaCJsePK/AAAAABwAAAD8/AD8AAIAAAAAAADwvwLZX3ZPHhYEwAKpE9BE2PDkvwAAAAAYAAAA/PwA/AACAAAAAAAA8L8C2V92Tx4WBMACrthfdk8e1j8AAAAAGAAAAPz8APwAAgAAAAAAAPC/AnBfB84ZUfq/AlfsL7snD+s/AAAAABgAAAD8/AD8AAIAAAAAAADwvwKS7Xw/NV7KPwJrvHSTGATGPwAAAAAYAAAA/PwA/AACAAAAAAAA8L8Cmggbnl4p6z8Ca7x0kxgE7j8AAAAAGAAAAPz8APwAAgAAAAAAAPC/Ai4hH/RsVv0/Ai//If32deg/AAAAABgAAAD8/AD8AAIAAAAAAADwvwK6awn5oGcBQAIAkX77OnDGvwAAAAAkAAAA/PwA/AACAAAAAAAA8L8CKjqSy39ICUAC+cJkqmBU1r8AAAAAGAAAAPz8APwAAgAAAAAAAPC/Atnw9EpZhvg/ApAxdy0hH+6/AAAAABgAAAD8/AD8AAIAAAAAAADwvwLSAN4CCYrhPwJUdCSX/5DovwAAAAABEQAAAPz8APwAAgAAAAAAAPC/ApGg+DHmrg9AAngLJCh+jKk/AAAAAAERAAAA/PwA/AACAAAAAAAA8L8C1sVtNID3E0ACNKK0N/jCtD8AAAAAPAAEAWUEAAAAAAAAAAAECAFlBAAAAAAAAAAACAwBZQQAAAAAAAAAAAwQAWUEAAAAAAAAAAAQFAFlBAAAAAAAAAAAFBgBZQQAAAAAAAAAABgEAWUEAAAAAAAAAAAEHAFlBAAAAAAAAAAAHCABZQgMAAAAAAAAACAkAWUEAAAAAAAAAAAkKAFlCAwAAAAAAAAAKCwBZQQAAAAAAAAAACgwAWUEAAAAAAAAAAAwNAFlCAgAAAAAAAAANBwBZQQAAAAAAAAAAAAAAAA=</t>
        </r>
      </text>
    </comment>
    <comment ref="A1065" authorId="0" shapeId="0" xr:uid="{552C4C1A-D389-4D75-BAB0-4C0AF05689BE}">
      <text>
        <r>
          <rPr>
            <sz val="9"/>
            <color indexed="81"/>
            <rFont val="MS P ゴシック"/>
            <family val="3"/>
            <charset val="128"/>
          </rPr>
          <t>Insight iXlW00001C0001065R0585476093S00002128P01376LAocjBAQBF1NjaVRlZ2ljLmRhdGEuTW9sZWN1bGUBbwF/ARJTY2lUZWdpYy5Nb2xlY3VsZQAAAQFkAv5qAQAAAAIAAgESGAAAAPz8APwAAgAAAAAAAPC/AouO5PIf0vS/Ap5eKcsQx8o/AAAAABwAAAD8/AD8AAIAAAAAAADwvwIqOpLLf0jTvwKeXinLEMfKPwAAAAAYAAAA/PwA/AACAAAAAAAA8L8CdnEbDeAt+z8Cnl4pyxDHyj8AAAAAGAAAAPz8APwAAgAAAAAAAPC/Akhy+Q/ptwNAAh3r4jYawNu/AAAAACAAAAD8/AD8AAIAAAAAAADwvwKLjuTyH9L8vwK+wRcmUwXlvwAAAAAgAAAA/PwA/AACAAAAAAAA8L8Ci47k8h/S/L8CFoxK6gQ08T8AAAAAGAAAAPz8APwAAgAAAAAAAPC/Aq2L22gAb8k/AtxoAG+BBOW/AAAAABgAAAD8/AD8AAIAAAAAAADwvwKti9toAG/JPwIWjErqBDTxPwAAAAAYAAAA/PwA/AACAAAAAAAA8L8CdnEbDeAt8z8C3GgAb4EE5b8AAAAAGAAAAPz8APwAAgAAAAAAAPC/AnZxGw3gLfM/AhaMSuoENPE/AAAAACAAAAD8/AD8AAIAAAAAAADwvwIj2/l+ajwLQAIXSFD8GHO3vwAAAAAYAAAA/PwA/AACAAAAAAAA8L8CRkdy+Q9pBsACvsEXJlMF5b8AAAAAIAAAAPz8APwAAgAAAAAAAPC/AsDsnjwsVAJAAqhXyjLEsfa/AAAAABgAAAD8/AD8AAIAAAAAAADwvwJIcvkP6bcDQALeJAaBlUPrPwAAAAAYAAAA/PwA/AACAAAAAAAA8L8CRkdy+Q9pBsAC3+ALk6mC+r8AAAAAGAAAAPz8APwAAgAAAAAAAPC/AkZHcvkPaQ7AAr7BFyZTBeW/AAAAABgAAAD8/AD8AAIAAAAAAADwvwJGR3L5D2kGwAKFfNCzWfXVPwAAAAAYAAAA/PwA/AACAAAAAAAA8L8CwOyePCxUAkACT6+UZYhj/T8AAAAAARIEAAFlBAAAAAAAAAAACCQBZQQAAAAAAAAAAAwIAWUEAAAAAAAAAAAQAAFlBAAAAAAAAAAAFAABZQgAAAAAAAAAABgEAWUEAAAAAAAAAAAcBAFlBAAAAAAAAAAAIBgBZQQAAAAAAAAAACQcAWUEAAAAAAAAAAAoDAFlCAAAAAAAAAAALBABZQQAAAAAAAAAADAMAWUEAAAAAAAAAAA0CAFlBAAAAAAAAAAAOCwBZQQAAAAAAAAAADwsAWUEAAAAAAAAAAABECwBZQQAAAAAAAAAAAERNAFlBAAAAAAAAAAACCABZQQAAAAAAAAAAAAAAAA=</t>
        </r>
      </text>
    </comment>
    <comment ref="A1066" authorId="0" shapeId="0" xr:uid="{45B50D29-E39E-4F19-902A-5FA0BEEB4229}">
      <text>
        <r>
          <rPr>
            <sz val="9"/>
            <color indexed="81"/>
            <rFont val="MS P ゴシック"/>
            <family val="3"/>
            <charset val="128"/>
          </rPr>
          <t>Insight iXlW00001C0001066R0585476093S00002130P02048LAocjBAQBF1NjaVRlZ2ljLmRhdGEuTW9sZWN1bGUBbwF/ARJTY2lUZWdpYy5Nb2xlY3VsZQAAAQFkAv5qAQAAAAIAAgEbGAAAAPz8APwAAgAAAAAAAPC/AmFUUiegifG/Amiz6nO1Ff8/AAAAABwAAAD8/AD8AAIAAAAAAADwvwJhVFInoInxvwLQZtXnaivuPwAAAAAYAAAA/PwA/AACAAAAAAAA8L8C3gIJih/jC0AC5j+k374O8r8AAAAAGAAAAPz8APwAAgAAAAAAAPC/AmFUUiegifG/AplMFYxK6vC/AAAAABgAAAD8/AD8AAIAAAAAAADwvwL8OnDOiNL7vwKyv+yePCz9vwAAAAAgAAAA/PwA/AACAAAAAAAA8L8Co7Q3+MJk/78CtFn1udqKA0AAAAAAGAAAAPz8APwAAgAAAAAAAPC/Am40gLdAAgRAAvVKWYY41vS/AAAAACAAAAD8/AD8AAIAAAAAAADwvwL5oGez6nPNvwK0WfW52ooDQAAAAAAYAAAA/PwA/AACAAAAAAAA8L8CGLfRAN4C3b8Csr/snjws/b8AAAAAGAAAAPz8APwAAgAAAAAAAPC/AqO0N/jCZP+/Ap/Nqs/VVtw/AAAAABgAAAD8/AD8AAIAAAAAAADwvwL5oGez6nPNvwKfzarP1VbcPwAAAAAYAAAA/PwA/AACAAAAAAAA8L8Co7Q3+MJk/78CMZkqGJXU4b8AAAAAGAAAAPz8APwAAgAAAAAAAPC/AvmgZ7Pqc82/AjGZKhiV1OG/AAAAACAAAAD8/AD8AAIAAAAAAADwvwK2hHzQs1n2vwK1yHa+nxoGwAAAAAAYAAAA/PwA/AACAAAAAAAA8L8Co7Q3+MJk/78CtFn1udqKC0AAAAAAJAAAAPz8APwAAgAAAAAAAPC/Ald9rrZifwpAAisYldQJaMK/AAAAACQAAAD8/AD8AAIAAAAAAADwvwKn6Egu/+ERQAKQwvUoXI/uvwAAAAAkAAAA/PwA/AACAAAAAAAA8L8CLbKd76dGDUACY+5aQj7oAMAAAAAAGAAAAPz8APwAAgAAAAAAAPC/AktZhjjWRQFAAlYOLbKd7wHAAAAAABgAAAD8/AD8AAIAAAAAAADwvwJBguLHmLv9PwKaCBueXinhvwAAAAAYAAAA/PwA/AACAAAAAAAA8L8CNV66SQwC4T8Co7Q3+MJk+r8AAAAAIAAAAPz8APwAAgAAAAAAAPC/Au7rwDkjygXAAqO0N/jCZPq/AAAAABgAAAD8/AD8AAIAAAAAAADwvwK2FfvL7snyPwLek4eFWlMDwAAAAAAYAAAA/PwA/AACAAAAAAAA8L8CwcqhRbbz6z8C18VtNIC35r8AAAAAGAAAAPz8APwAAgAAAAAAAPC/AlHaG3xhsgfAArRZ9bnaigtAAAAAABgAAAD8/AD8AAIAAAAAAADwvwKjtDf4wmT/vwLarPpcbcURQAAAAAAYAAAA/PwA/AACAAAAAAAA8L8CRWlv8IXJ7r8CtFn1udqKC0AAAAAAARwEAAFlBAAAAAAAAAAACBgBZQQAAAAAAAAAAAwwAWUEAAAAAAAAAAAQDAFlBAAAAAAAAAAAFAABZQQAAAAAAAAAABgBEwFlBAAAAAAAAAAAHAABZQgAAAAAAAAAACAMAWUEAAAAAAAAAAAkBAFlBAAAAAAAAAAAKAQBZQQAAAAAAAAAACwkAWUEAAAAAAAAAAAwKAFlBAAAAAAAAAAANBABZQgAAAAAAAAAADgUAWUEAAAAAAAAAAA8CAFlBAAAAAAAAAAAARAIAWUEAAAAAAAAAAABEQgBZQQAAAAAAAAAAAESARYBZQQAAAAAAAAAAAETARcBZQgIAAAAAAAAAAEUIAFlBAAAAAAAAAAAARUQAWUEAAAAAAAAAAABFgEUAWUIDAAAAAAAAAABFwEUAWUEAAAAAAAAAAABGDgBZQQAAAAAAAAAAAEZOAFlBAAAAAAAAAAAARo4AWUEAAAAAAAAAAAMLAFlBAAAAAAAAAAAARIYAWUIDAAAAAAAAAAAAAAA</t>
        </r>
      </text>
    </comment>
    <comment ref="A1067" authorId="0" shapeId="0" xr:uid="{3F859761-A0CD-4CCA-A15A-EF2EBAE15756}">
      <text>
        <r>
          <rPr>
            <sz val="9"/>
            <color indexed="81"/>
            <rFont val="MS P ゴシック"/>
            <family val="3"/>
            <charset val="128"/>
          </rPr>
          <t>Insight iXlW00001C0001067R0585476093S00002132P00664LAocjBAQBF1NjaVRlZ2ljLmRhdGEuTW9sZWN1bGUBbwF/ARJTY2lUZWdpYy5Nb2xlY3VsZQAAAQFkAv5qAQAAAAIAAiAYAAAA/PwA/AACAAAAAAAA8L8C5q4l5IOexT8Cklz+Q/rt4b8AAAAAHAAAAPz8APwAAgAAAAAAAPC/AnS1FfvL7sG/AlMFo5I6Adk/AAAAABwAAAD8/AD8AAIAAAAAAADwvwLdtYR80LPyPwJ0tRX7y+7hvwAAAAAYAAAA/PwA/AACAAAAAAAA8L8CaCJseHql9z8CUwWjkjoB2T8AAAAAGAAAAPz8APwAAgAAAAAAAPC/AtgS8kHPZuU/Ah1aZDvfT+8/AAAAABwAAAD8/AD8AAIAAAAAAADwvwI4iUFg5dDavwLUmuYdp+j1vwAAAAAYAAAA/PwA/AACAAAAAAAA8L8CTKYKRiV18b8CwFsgQfFj5j8AAAAAGAAAAPz8APwAAgAAAAAAAPC/AkXY8PRKWf2/AkzIBz2bVZ8/AAAAACAEAAFlBAAAAAAAAAAACAABZQgIAAAAAAAAAAwIAWUEAAAAAAAAAAAQBAFlBAAAAAAAAAAAFAABZQQAAAAAAAAAABgEAWUEAAAAAAAAAAAcGAFlBAAAAAAAAAAAEAwBZQgIAAAAAAAAAAAAAAA=</t>
        </r>
      </text>
    </comment>
    <comment ref="A1068" authorId="0" shapeId="0" xr:uid="{B5F9D262-0D0E-4182-B862-B90627A6AFD0}">
      <text>
        <r>
          <rPr>
            <sz val="9"/>
            <color indexed="81"/>
            <rFont val="MS P ゴシック"/>
            <family val="3"/>
            <charset val="128"/>
          </rPr>
          <t>Insight iXlW00001C0001068R0585476093S00002134P01036LAocjBAQBF1NjaVRlZ2ljLmRhdGEuTW9sZWN1bGUBbwF/ARJTY2lUZWdpYy5Nb2xlY3VsZQAAAQFkAv5qAQAAAAIAAjQcAAAA/PwA/AACAAAAAAAA8L8CuY0G8BZI5r8C6Gor9pfd4b8AAAAAGAAAAPz8APwAAgAAAAAAAPC/AnDwhclUwfm/ArprCfmgZ8O/AAAAABwAAAD8/AD8AAIAAAAAAADwvwLQ1VbsLzsCwAL+ZffkYaHsvwAAAAAYAAAA/PwA/AACAAAAAAAA8L8CKssQx7q4xT8Cfq62Yn/Zrb8AAAAAGAAAAPz8APwAAgAAAAAAAPC/AqCrrdhfdvy/AkETYcPTK/y/AAAAABgAAAD8/AD8AAIAAAAAAADwvwKrYFRSJ6DpvwIrqRPQRNj4vwAAAAAcAAAA/PwA/AACAAAAAAAA8L8ChlrTvOMU/b8CiPTb14Fz6j8AAAAAGAAAAPz8APwAAgAAAAAAAPC/Aqd5xyk6kvA/AuhqK/aX3eG/AAAAABgAAAD8/AD8AAIAAAAAAADwvwIqyxDHurjFPwIZldQJaCLuPwAAAAAYAAAA/PwA/AACAAAAAAAA8L8C6dms+lxt/j8CGZXUCWgi7j8AAAAAGAAAAPz8APwAAgAAAAAAAPC/Aqd5xyk6kvA/AoxK6gQ0Efc/AAAAABgAAAD8/AD8AAIAAAAAAADwvwLp2az6XG3+PwJ+rrZif9mtvwAAAAAkAAAA/PwA/AACAAAAAAAA8L8CTvOOU3QkBkACG55eKcsQ9z8AAAAAOAQAAWUEAAAAAAAAAAAIBAFlCAgAAAAAAAAADAABZQQAAAAAAAAAABAUAWUICAAAAAAAAAAUAAFlBAAAAAAAAAAAGAQBZQQAAAAAAAAAABwMAWUEAAAAAAAAAAAgDAFlCAwAAAAAAAAAJCgBZQgMAAAAAAAAACggAWUEAAAAAAAAAAAsHAFlCAgAAAAAAAAAMCQBZQQAAAAAAAAAABAIAWUEAAAAAAAAAAAsJAFlBAAAAAAAAAAAAAAAAA==</t>
        </r>
      </text>
    </comment>
    <comment ref="A1069" authorId="0" shapeId="0" xr:uid="{83E19557-3B67-4545-BD8D-D7AE93AA0474}">
      <text>
        <r>
          <rPr>
            <sz val="9"/>
            <color indexed="81"/>
            <rFont val="MS P ゴシック"/>
            <family val="3"/>
            <charset val="128"/>
          </rPr>
          <t>Insight iXlW00001C0001069R0585476093S00002136P01320LAocjBAQBF1NjaVRlZ2ljLmRhdGEuTW9sZWN1bGUBbwF/ARJTY2lUZWdpYy5Nb2xlY3VsZQAAAQFkAv5qAQAAAAIAAgERJAAAAPz8APwAAgAAAAAAAPC/AjsBTYQNTwbAAp5eKcsQx/u/AAAAABgAAAD8/AD8AAIAAAAAAADwvwLD9Shcj8L+vwKeXinLEMfzvwAAAAAYAAAA/PwA/AACAAAAAAAA8L8CgZVDi2zn8L8Cnl4pyxDH+78AAAAAGAAAAPz8APwAAgAAAAAAAPC/Avyp8dJNYsi/Ap5eKcsQx/O/AAAAABgAAAD8/AD8AAIAAAAAAADwvwL8qfHSTWLIvwLx9EpZhjjOvwAAAAAYAAAA/PwA/AACAAAAAAAA8L8CgZVDi2zn8L8CiIVa07zj0D8AAAAAHAAAAPz8APwAAgAAAAAAAPC/AtZW7C+7J+u/AqwcWmQ73/M/AAAAABgAAAD8/AD8AAIAAAAAAADwvwLT3uALk6nCPwKWsgxxrIv1PwAAAAAgAAAA/PwA/AACAAAAAAAA8L8CtTf4wmSq5D8CpN++DpyzAUAAAAAAGAAAAPz8APwAAgAAAAAAAPC/ApCg+DHmruE/Akhy+Q/pt9s/AAAAABgAAAD8/AD8AAIAAAAAAADwvwIHX5hMFYzzPwIa4lgXt9HyPwAAAAAYAAAA/PwA/AACAAAAAAAA8L8CYcPTK2WZAUACB/AWSFD87j8AAAAAHAAAAPz8APwAAgAAAAAAAPC/Aqd5xyk6EgRAAmUZ4lgXt5E/AAAAABgAAAD8/AD8AAIAAAAAAADwvwKP5PIf0m/9PwImUwWjkjrnvwAAAAAYAAAA/PwA/AACAAAAAAAA8L8CidLe4AuT6z8C+n5qvHST4L8AAAAAGAAAAPz8APwAAgAAAAAAAPC/AsP1KFyPwv6/AvH0SlmGOM6/AAAAAAERAAAA/PwA/AACAAAAAAAA8L8CDeAtkKB4CkACqoJRSZ2Azj8AAAAAARIABAFlBAAAAAAAAAAABAgBZQgMAAAAAAAAAAgMAWUEAAAAAAAAAAAMEAFlCAgAAAAAAAAAEBQBZQQAAAAAAAAAABQYAWUEAAAAAAAAAAAYHAFlBAAAAAAAAAAAHCABZQgAAAAAAAAAABwkAWUEAAAAAAAAAAAkEAFlBAAAAAAAAAAAJCgBZQQAAAAAAAAAACgsAWUEAAAAAAAAAAAsMAFlBAAAAAAAAAAAMDQBZQQAAAAAAAAAADQ4AWUEAAAAAAAAAAA4JAFlBAAAAAAAAAAAFDwBZQgIAAAAAAAAADwEAWUEAAAAAAAAAAAAAAAA</t>
        </r>
      </text>
    </comment>
    <comment ref="A1070" authorId="0" shapeId="0" xr:uid="{91AD1CAC-94AF-4338-8BA7-4F50A175BC38}">
      <text>
        <r>
          <rPr>
            <sz val="9"/>
            <color indexed="81"/>
            <rFont val="MS P ゴシック"/>
            <family val="3"/>
            <charset val="128"/>
          </rPr>
          <t>Insight iXlW00001C0001070R0585476093S00002138P01324LAocjBAQBF1NjaVRlZ2ljLmRhdGEuTW9sZWN1bGUBbwF/ARJTY2lUZWdpYy5Nb2xlY3VsZQAAAQFkAv5qAQAAAAIAAgERASMAAAD8/AD8AAIAAAAAAADwvwIf9GxWfS4HQALLoUW28/3UvwAAAAAYAAAA/PwA/AACAAAAAAAA8L8C/0P67etAAEACa7x0kxgExj8AAAAAGAAAAPz8APwAAgAAAAAAAPC/Av9D+u3rQABAAo6XbhKDwPI/AAAAABgAAAD8/AD8AAIAAAAAAADwvwK7Jw8LtabyPwId6+I2GsD6PwAAAAAYAAAA/PwA/AACAAAAAAAA8L8C5x2n6Egu0z8CHeviNhrA8j8AAAAAHAAAAPz8APwAAgAAAAAAAPC/AiqpE9BE2OS/AhkEVg4tsvc/AAAAABgAAAD8/AD8AAIAAAAAAADwvwJPQBNhw9PzvwI51sVtNIDlPwAAAAAgAAAA/PwA/AACAAAAAAAA8L8CKKCJsOHpAcACV32utmJ/5T8AAAAAGAAAAPz8APwAAgAAAAAAAPC/AiqpE9BE2OS/AvCnxks3icG/AAAAABgAAAD8/AD8AAIAAAAAAADwvwK1pnnHKTqSPwILtaZ5xynsvwAAAAAYAAAA/PwA/AACAAAAAAAA8L8CwhcmUwWj0r8ClfYGX5hM/b8AAAAAHAAAAPz8APwAAgAAAAAAAPC/AjsBTYQNT/S/Ao4G8BZIUADAAAAAABgAAAD8/AD8AAIAAAAAAADwvwJrvHSTGAT/vwIj2/l+arz0vwAAAAAYAAAA/PwA/AACAAAAAAAA8L8C4E+Nl24S+r8CFa5H4XoU1r8AAAAAGAAAAPz8APwAAgAAAAAAAPC/Aucdp+hILtM/Amu8dJMYBMY/AAAAABgAAAD8/AD8AAIAAAAAAADwvwK7Jw8LtabyPwLLoUW28/3UvwAAAAABEQAAAPz8APwAAgAAAAAAAPC/AoZa07zjlA1AAsE5I0p7g8e/AAAAAAESAAQBZQQAAAAAAAAAAAQIAWUIDAAAAAAAAAAIDAFlBAAAAAAAAAAADBABZQgMAAAAAAAAABAUAWUEAAAAAAAAAAAUGAFlBAAAAAAAAAAAGBwBZQgAAAAAAAAAABggAWUEAAAAAAAAAAAgJAFlBAAAAAAAAAAAJCgBZQQAAAAAAAAAACgsAWUEAAAAAAAAAAAsMAFlBAAAAAAAAAAAMDQBZQQAAAAAAAAAADQgAWUEAAAAAAAAAAAgOAFlBAAAAAAAAAAAOBABZQQAAAAAAAAAADg8AWUIDAAAAAAAAAA8BAFlBAAAAAAAAAAAAAAAAA==</t>
        </r>
      </text>
    </comment>
    <comment ref="A1071" authorId="0" shapeId="0" xr:uid="{7E1909B3-CFB5-4484-86AD-8C4077C052CE}">
      <text>
        <r>
          <rPr>
            <sz val="9"/>
            <color indexed="81"/>
            <rFont val="MS P ゴシック"/>
            <family val="3"/>
            <charset val="128"/>
          </rPr>
          <t>Insight iXlW00001C0001071R0585476093S00002140P00792LAocjBAQBF1NjaVRlZ2ljLmRhdGEuTW9sZWN1bGUBbwF/ARJTY2lUZWdpYy5Nb2xlY3VsZQAAAQFkAv5qAQAAAAIAAigcAAAA/PwA/AACAAAAAAAA8L8CsAPnjCjt6z8CF9nO91Pj6T8AAAAAGAAAAPz8APwAAgAAAAAAAPC/ApLtfD81Xvc/AAAAAAAYAAAA/PwA/AACAAAAAAAA8L8CsAPnjCjt6z8CF9nO91Pj6b8AAAAAGAAAAPz8APwAAgAAAAAAAPC/Am6jAbwFErS/AgAAAAAAAOC/AAAAABgAAAD8/AD8AAIAAAAAAADwvwJuowG8BRK0vwIAAAAAAADgPwAAAAAcAAAA/PwA/AACAAAAAAAA8L8C8fRKWYY47r8CAAAAAAAA8L8AAAAAIAAAAPz8APwAAgAAAAAAAPC/Asl2vp8arwNAAAAAAAAYAAAA/PwA/AACAAAAAAAA8L8C8fRKWYY47r8BAAAAABgAAAD8/AD8AAIAAAAAAADwvwK62or9Zff8vwIAAAAAAADgvwAAAAAYAAAA/PwA/AACAAAAAAAA8L8CutqK/WX3/L8CAAAAAAAA4D8AAAAALAQAAWUEAAAAAAAAAAAIBAFlBAAAAAAAAAAADBABZQQAAAAAAAAAABAAAWUEAAAAAAAAAAAUDAFlCAgAAAAAAAAAGAQBZQgAAAAAAAAAABwQAWUICAAAAAAAAAAgJAFlCAgAAAAAAAAAJBwBZQQAAAAAAAAAAAwIAWUEAAAAAAAAAAAgFAFlBAAAAAAAAAAAAAAAAA==</t>
        </r>
      </text>
    </comment>
    <comment ref="A1072" authorId="0" shapeId="0" xr:uid="{8AF5D833-EE0A-4CB4-9CC6-099ED3148522}">
      <text>
        <r>
          <rPr>
            <sz val="9"/>
            <color indexed="81"/>
            <rFont val="MS P ゴシック"/>
            <family val="3"/>
            <charset val="128"/>
          </rPr>
          <t>Insight iXlW00001C0001072R0585476093S00002142P00844LAocjBAQBF1NjaVRlZ2ljLmRhdGEuTW9sZWN1bGUBbwF/ARJTY2lUZWdpYy5Nb2xlY3VsZQAAAQFkAv5qAQAAAAIAAiwYAAAA/PwA/AACAAAAAAAA8L8C0m9fB84ZAEACW9O84xQd0b8AAAAAGAAAAPz8APwAAgAAAAAAAPC/Al66SQwCK/E/AjnWxW00gOO/AAAAABgAAAD8/AD8AAIAAAAAAADwvwIVHcnlP6TTPwLSb18HzhmhPwAAAAAcAAAA/PwA/AACAAAAAAAA8L8CXrpJDAIr8T8CM8SxLm6j5T8AAAAAGAAAAPz8APwAAgAAAAAAAPC/AtfFbTSAt8i/AobJVMGopOq/AAAAABgAAAD8/AD8AAIAAAAAAADwvwK7uI0G8BbzvwKGyVTBqKTqvwAAAAAcAAAA/PwA/AACAAAAAAAA8L8Cu7iNBvAW+78C0m9fB84ZoT8AAAAAGAAAAPz8APwAAgAAAAAAAPC/Aru4jQbwFvO/AoG3QILix+w/AAAAABgAAAD8/AD8AAIAAAAAAADwvwLXxW00gLfIvwKBt0CC4sfsPwAAAAABEQAAAPz8APwAAgAAAAAAAPC/AjnWxW00gAZAArWmeccpOpI/AAAAAAERAAAA/PwA/AACAAAAAAAA8L8CVcGopE7ADkACSgwCK4cWqT8AAAAAJAAEAWUEAAAAAAAAAAAECAFlBAAAAAAAAAAACAwBZQQAAAAAAAAAAAgQAWUEAAAAAAAAAAAQFAFlBAAAAAAAAAAAFBgBZQQAAAAAAAAAABgcAWUEAAAAAAAAAAAcIAFlBAAAAAAAAAAAIAgBZQQAAAAAAAAAAAAAAAA=</t>
        </r>
      </text>
    </comment>
    <comment ref="A1073" authorId="0" shapeId="0" xr:uid="{13E93D0C-A1BD-448D-A07B-6A6CBFDD9CF0}">
      <text>
        <r>
          <rPr>
            <sz val="9"/>
            <color indexed="81"/>
            <rFont val="MS P ゴシック"/>
            <family val="3"/>
            <charset val="128"/>
          </rPr>
          <t>Insight iXlW00001C0001073R0585476093S00002144P01144LAocjBAQBF1NjaVRlZ2ljLmRhdGEuTW9sZWN1bGUBbwF/ARJTY2lUZWdpYy5Nb2xlY3VsZQAAAQFkAv5qAQAAAAIAAjwcAAAA/PwA/AACAAAAAAAA8L8CgbdAguLHyL8CiUFg5dAi9D8AAAAAGAAAAPz8APwAAgAAAAAAAPC/Ak7zjlN0JOG/Akm/fR04Z9Q/AAAAABgAAAD8/AD8AAIAAAAAAADwvwJO845TdCThvwJcIEHxY8zlvwAAAAAYAAAA/PwA/AACAAAAAAAA8L8C6dms+lxt9r8CLpCg+DHm8r8AAAAAHAAAAPz8APwAAgAAAAAAAPC/AhUdyeU/JALAAlwgQfFjzOW/AAAAABgAAAD8/AD8AAIAAAAAAADwvwIVHcnlPyQCwAJJv30dOGfUPwAAAAAYAAAA/PwA/AACAAAAAAAA8L8C6dms+lxt9r8Cpd++Dpwz6j8AAAAAGAAAAPz8APwAAgAAAAAAAPC/AueMKO0Nvtw/AhgmUwWjksI/AAAAABgAAAD8/AD8AAIAAAAAAADwvwLVCWgibHjxPwLWVuwvuyftPwAAAAAYAAAA/PwA/AACAAAAAAAA8L8CW9O84xSdAEACmpmZmZmZ5z8AAAAAGAAAAPz8APwAAgAAAAAAAPC/AraEfNCzWQNAAlMnoImw4cm/AAAAABgAAAD8/AD8AAIAAAAAAADwvwLRItv5fmr8PwIll/+QfvvuvwAAAAAYAAAA/PwA/AACAAAAAAAA8L8C4QuTqYJR6T8CBoGVQ4ts6b8AAAAAAREAAAD8/AD8AAIAAAAAAADwvwId6+I2GsAJQAJaZDvfT42XPwAAAAABEQAAAPz8APwAAgAAAAAAAPC/Ahzr4jYaABFAAh3r4jYawKs/AAAAADgABAFlBAAAAAAAAAAABAgBZQQAAAAAAAAAAAgMAWUEAAAAAAAAAAAMEAFlBAAAAAAAAAAAEBQBZQQAAAAAAAAAABQYAWUEAAAAAAAAAAAYBAFlBAAAAAAAAAAABBwBZQQAAAAAAAAAABwgAWUIDAAAAAAAAAAgJAFlBAAAAAAAAAAAJCgBZQgIAAAAAAAAACgsAWUEAAAAAAAAAAAsMAFlCAgAAAAAAAAAMBwBZQQAAAAAAAAAAAAAAAA=</t>
        </r>
      </text>
    </comment>
    <comment ref="A1074" authorId="0" shapeId="0" xr:uid="{171AB22F-B432-425C-946E-9F9BFC5E5C96}">
      <text>
        <r>
          <rPr>
            <sz val="9"/>
            <color indexed="81"/>
            <rFont val="MS P ゴシック"/>
            <family val="3"/>
            <charset val="128"/>
          </rPr>
          <t>Insight iXlW00001C0001074R0585476093S00002146P01176LAocjBAQBF1NjaVRlZ2ljLmRhdGEuTW9sZWN1bGUBbwF/ARJTY2lUZWdpYy5Nb2xlY3VsZQAAAQFkAv5qAQAAAAIAAjwYAAAA/PwA/AACAAAAAAAA8L8C6Gor9pfd7b8CAW+BBMWP3b8AAAAAGAAAAPz8APwAAgAAAAAAAPC/AtDVVuwvu9u/AsrDQq1p3tk/AAAAABgAAAD8/AD8AAIAAAAAAADwvwLQ1VbsL7vbvwICvAUSFD/1vwAAAAAcAAAA/PwA/AACAAAAAAAA8L8CGJXUCWgi4j8CysNCrWne2T8AAAAAHAAAAPz8APwAAgAAAAAAAPC/AnS1FfvL7v6/AgFvgQTFj92/AAAAACAAAAD8/AD8AAIAAAAAAADwvwIYldQJaCLiPwICvAUSFD/1vwAAAAAgAAAA/PwA/AACAAAAAAAA8L8C6Gor9pfd7b8CIo51cRuNAcAAAAAAGAAAAPz8APwAAgAAAAAAAPC/AoxK6gQ0EfE/Aj29UpYhjt2/AAAAABgAAAD8/AD8AAIAAAAAAADwvwKMSuoENBHxPwI0ETY8vVL0PwAAAAAYAAAA/PwA/AACAAAAAAAA8L8C6Gor9pfd7b8CNBE2PL1S9D8AAAAAGAAAAPz8APwAAgAAAAAAAPC/Arraiv1ldwPAAgYSFD/G3Nk/AAAAABgAAAD8/AD8AAIAAAAAAADwvwJ0tRX7y+7+vwLDZKpgVFL0PwAAAAAYAAAA/PwA/AACAAAAAAAA8L8CRiV1ApqIAEACNBE2PL1S9D8AAAAAGAAAAPz8APwAAgAAAAAAAPC/AkYldQKaiABAAj29UpYhjt2/AAAAABgAAAD8/AD8AAIAAAAAAADwvwJGJXUCmogEQALKw0Ktad7ZPwAAAAABEAQAAWUICAAAAAAAAAAIAAFlBAAAAAAAAAAADAQBZQQAAAAAAAAAABAAAWUEAAAAAAAAAAAUCAFlCAAAAAAAAAAAGAgBZQQAAAAAAAAAABwMAWUEAAAAAAAAAAAgDAFlBAAAAAAAAAAAJAQBZQQAAAAAAAAAACgQAWUICAAAAAAAAAAsKAFlBAAAAAAAAAAAMCABZQQAAAAAAAAAADQcAWUEAAAAAAAAAAA4MAFlBAAAAAAAAAAAJCwBZQgIAAAAAAAAADQ4AWUEAAAAAAAAAAAAAAAA</t>
        </r>
      </text>
    </comment>
    <comment ref="A1075" authorId="0" shapeId="0" xr:uid="{6C7B492A-447C-404C-A256-D7D66B8F347A}">
      <text>
        <r>
          <rPr>
            <sz val="9"/>
            <color indexed="81"/>
            <rFont val="MS P ゴシック"/>
            <family val="3"/>
            <charset val="128"/>
          </rPr>
          <t>Insight iXlW00001C0001075R0585476093S00002148P01248LAocjBAQBF1NjaVRlZ2ljLmRhdGEuTW9sZWN1bGUBbwF/ARJTY2lUZWdpYy5Nb2xlY3VsZQAAAQFkAv5qAQAAAAIAAgEQGAAAAPz8APwAAgAAAAAAAPC/AjnWxW00gPK/AiNseHqlLN+/AAAAABgAAAD8/AD8AAIAAAAAAADwvwJxrIvbaADlvwLkFB3J5T/YPwAAAAAcAAAA/PwA/AACAAAAAAAA8L8CHqfoSC7/1T8C5BQdyeU/2D8AAAAAGAAAAPz8APwAAgAAAAAAAPC/Ao9TdCSX/+S/ArsnDwu1pvW/AAAAABwAAAD8/AD8AAIAAAAAAADwvwLkFB3J5T8BwALnHafoSC7fvwAAAAAcAAAA/PwA/AACAAAAAAAA8L8C5BQdyeW/AkAC5BQdyeU/2D8AAAAAGAAAAPz8APwAAgAAAAAAAPC/Ao9TdCSX/+o/AiNseHqlLN+/AAAAABgAAAD8/AD8AAIAAAAAAADwvwKPU3Qkl//qPwJ7pSxDHOvzPwAAAAAgAAAA/PwA/AACAAAAAAAA8L8C4lgXt9EA1j8CSnuDL0ym9b8AAAAAGAAAAPz8APwAAgAAAAAAAPC/AsgpOpLLf/0/AnulLEMc6/M/AAAAABgAAAD8/AD8AAIAAAAAAADwvwLIKTqSy3/9PwIjbHh6pSzfvwAAAAAgAAAA/PwA/AACAAAAAAAA8L8CyCk6kst/8r8C/0P67evAAcAAAAAAGAAAAPz8APwAAgAAAAAAAPC/AsgpOpLLf/K/AnulLEMc6/M/AAAAABgAAAD8/AD8AAIAAAAAAADwvwLkFB3J5b8KQALkFB3J5T/YPwAAAAAYAAAA/PwA/AACAAAAAAAA8L8C5BQdyeU/BcAC5BQdyeU/2D8AAAAAGAAAAPz8APwAAgAAAAAAAPC/AuQUHcnlPwHAAnulLEMc6/M/AAAAAAERBAABZQQAAAAAAAAAAAgEAWUEAAAAAAAAAAAMAAFlBAAAAAAAAAAAEAABZQgIAAAAAAAAABQkAWUEAAAAAAAAAAAYCAFlBAAAAAAAAAAAHAgBZQQAAAAAAAAAACAMAWUIAAAAAAAAAAAkHAFlBAAAAAAAAAAAKBgBZQQAAAAAAAAAACwMAWUEAAAAAAAAAAAwBAFlCAgAAAAAAAAANBQBZQQAAAAAAAAAADgQAWUEAAAAAAAAAAA8OAFlCAgAAAAAAAAAMDwBZQQAAAAAAAAAACgUAWUEAAAAAAAAAAAAAAAA</t>
        </r>
      </text>
    </comment>
    <comment ref="A1076" authorId="0" shapeId="0" xr:uid="{4143B3EB-F4B1-4253-A1E9-6D6E31AF834A}">
      <text>
        <r>
          <rPr>
            <sz val="9"/>
            <color indexed="81"/>
            <rFont val="MS P ゴシック"/>
            <family val="3"/>
            <charset val="128"/>
          </rPr>
          <t>Insight iXlW00001C0001076R0585476093S00002150P00948LAocjBAQBF1NjaVRlZ2ljLmRhdGEuTW9sZWN1bGUBbwF/ARJTY2lUZWdpYy5Nb2xlY3VsZQAAAQFkAv5qAQAAAAIAAjAYAAAA/PwA/AACAAAAAAAA8L8C7Q2+MJkq4L8CAAAAAAAAwL8AAAAAGAAAAPz8APwAAgAAAAAAAPC/AixlGeJYF9c/AgAAAAAAANg/AAAAABgAAAD8/AD8AAIAAAAAAADwvwLtDb4wmSrgvwIAAAAAAADyvwAAAAAcAAAA/PwA/AACAAAAAAAA8L8C/mX35GGh8z8CAAAAAAAAwL8AAAAAIAAAAPz8APwAAgAAAAAAAPC/AixlGeJYF9c/AgAAAAAAAPq/AAAAABwAAAD8/AD8AAIAAAAAAADwvwLtDb4wmSrgvwIAAAAAAAD+PwAAAAAgAAAA/PwA/AACAAAAAAAA8L8COGdEaW/w9b8CAAAAAAAA+r8AAAAAGAAAAPz8APwAAgAAAAAAAPC/AixlGeJYF9c/AgAAAAAAAPY/AAAAABgAAAD8/AD8AAIAAAAAAADwvwI4Z0Rpb/D1vwIAAAAAAADYPwAAAAAYAAAA/PwA/AACAAAAAAAA8L8COGdEaW/w9b8CAAAAAAAA9j8AAAAAGAAAAPz8APwAAgAAAAAAAPC/AiBj7lpCvgBAAgAAAAAAANg/AAAAABgAAAD8/AD8AAIAAAAAAADwvwL+ZffkYaHzPwIAAAAAAADyvwAAAAAwBAABZQgIAAAAAAAAAAgAAWUEAAAAAAAAAAAMBAFlBAAAAAAAAAAAEAgBZQgAAAAAAAAAABQkAWUEAAAAAAAAAAAYCAFlBAAAAAAAAAAAHAQBZQQAAAAAAAAAACAAAWUEAAAAAAAAAAAkIAFlCAgAAAAAAAAAKAwBZQQAAAAAAAAAACwMAWUEAAAAAAAAAAAUHAFlCAgAAAAAAAAAAAAAAA==</t>
        </r>
      </text>
    </comment>
    <comment ref="A1077" authorId="0" shapeId="0" xr:uid="{7B083FB5-05FA-4898-BD65-C3C840A20F7D}">
      <text>
        <r>
          <rPr>
            <sz val="9"/>
            <color indexed="81"/>
            <rFont val="MS P ゴシック"/>
            <family val="3"/>
            <charset val="128"/>
          </rPr>
          <t>Insight iXlW00001C0001077R0585476093S00002152P01248LAocjBAQBF1NjaVRlZ2ljLmRhdGEuTW9sZWN1bGUBbwF/ARJTY2lUZWdpYy5Nb2xlY3VsZQAAAQFkAv5qAQAAAAIAAgEQGAAAAPz8APwAAgAAAAAAAPC/AsgpOpLLf/K/AiNseHqlLN+/AAAAABgAAAD8/AD8AAIAAAAAAADwvwJxrIvbaADlvwLkFB3J5T/YPwAAAAAcAAAA/PwA/AACAAAAAAAA8L8CHqfoSC7/1T8C5BQdyeU/2D8AAAAAGAAAAPz8APwAAgAAAAAAAPC/Ao9TdCSX/+S/ArsnDwu1pvW/AAAAABwAAAD8/AD8AAIAAAAAAADwvwLkFB3J5b8CQALkFB3J5T/YPwAAAAAYAAAA/PwA/AACAAAAAAAA8L8Cj1N0JJf/6j8CI2x4eqUs378AAAAAGAAAAPz8APwAAgAAAAAAAPC/Ao9TdCSX/+o/AnulLEMc6/M/AAAAACAAAAD8/AD8AAIAAAAAAADwvwLiWBe30QDWPwK7Jw8Ltab1vwAAAAAcAAAA/PwA/AACAAAAAAAA8L8C5BQdyeU/AcACe6UsQxzr8z8AAAAAGAAAAPz8APwAAgAAAAAAAPC/AsgpOpLLf/0/AnulLEMc6/M/AAAAABgAAAD8/AD8AAIAAAAAAADwvwLIKTqSy3/9PwIjbHh6pSzfvwAAAAAgAAAA/PwA/AACAAAAAAAA8L8COdbFbTSA8r8C/0P67evAAcAAAAAAGAAAAPz8APwAAgAAAAAAAPC/AjnWxW00gPK/AnulLEMc6/M/AAAAABgAAAD8/AD8AAIAAAAAAADwvwLkFB3J5T8BwAIjbHh6pSzfvwAAAAAYAAAA/PwA/AACAAAAAAAA8L8C5BQdyeW/CkAC5BQdyeU/2D8AAAAAGAAAAPz8APwAAgAAAAAAAPC/AuQUHcnlPwXAAuQUHcnlP9g/AAAAAAERBAABZQQAAAAAAAAAAAgEAWUEAAAAAAAAAAAMAAFlBAAAAAAAAAAAECQBZQQAAAAAAAAAABQIAWUEAAAAAAAAAAAYCAFlBAAAAAAAAAAAHAwBZQgAAAAAAAAAACA8AWUICAAAAAAAAAAkGAFlBAAAAAAAAAAAKBQBZQQAAAAAAAAAACwMAWUEAAAAAAAAAAAwBAFlCAgAAAAAAAAANAABZQgIAAAAAAAAADgQAWUEAAAAAAAAAAA8NAFlBAAAAAAAAAAAIDABZQQAAAAAAAAAACgQAWUEAAAAAAAAAAAAAAAA</t>
        </r>
      </text>
    </comment>
    <comment ref="A1078" authorId="0" shapeId="0" xr:uid="{2954701D-1804-4344-AECB-2D145FB9C8DC}">
      <text>
        <r>
          <rPr>
            <sz val="9"/>
            <color indexed="81"/>
            <rFont val="MS P ゴシック"/>
            <family val="3"/>
            <charset val="128"/>
          </rPr>
          <t>Insight iXlW00001C0001078R0585476093S00002154P01536LAocjBAQBF1NjaVRlZ2ljLmRhdGEuTW9sZWN1bGUBbwF/ARJTY2lUZWdpYy5Nb2xlY3VsZQAAAQFkAv5qAQAAAAIAAgEUGAAAAPz8APwAAgAAAAAAAPC/AigPC7WmefW/AoPix5i7luY/AAAAABwAAAD8/AD8AAIAAAAAAADwvwKZu5aQD3revwIJih9j7lrKPwAAAAAYAAAA/PwA/AACAAAAAAAA8L8CDr4wmSoY9D8Cfh04Z0Rp6b8AAAAAGAAAAPz8APwAAgAAAAAAAPC/AlR0JJf/kPk/AnbgnBGlvfu/AAAAACAAAAD8/AD8AAIAAAAAAADwvwK1N/jCZKoBwAIJih9j7lrKPwAAAAAYAAAA/PwA/AACAAAAAAAA8L8Cmggbnl6pBEACWoY41sVt1D8AAAAAGAAAAPz8APwAAgAAAAAAAPC/AnctIR/07AFAAkJg5dAi2+O/AAAAABgAAAD8/AD8AAIAAAAAAADwvwLu68A5I8oKQAJjEFg5tMjuPwAAAAAYAAAA/PwA/AACAAAAAAAA8L8CE4PAyqFFA0ACd76fGi/d9D8AAAAAIAAAAPz8APwAAgAAAAAAAPC/AigPC7WmefW/AkHxY8xdS/s/AAAAABgAAAD8/AD8AAIAAAAAAADwvwKZu5aQD3revwJ+HThnRGnpvwAAAAAYAAAA/PwA/AACAAAAAAAA8L8CbsX+snvy2D8Cg+LHmLuW5j8AAAAAGAAAAPz8APwAAgAAAAAAAPC/Am7F/rJ78tg/Ar8OnDOitPS/AAAAABgAAAD8/AD8AAIAAAAAAADwvwKdEaW9wRf0PwIJih9j7lrKPwAAAAAgAAAA/PwA/AACAAAAAAAA8L8Cmggbnl6pBEAChutRuB6F/r8AAAAAGAAAAPz8APwAAgAAAAAAAPC/Ag6+MJkqmAjAAoPix5i7luY/AAAAACAAAAD8/AD8AAIAAAAAAADwvwJyGw3gLZDuPwLIKTqSy/8DwAAAAAAYAAAA/PwA/AACAAAAAAAA8L8CDr4wmSqYDMACjNtoAG+BxL8AAAAAGAAAAPz8APwAAgAAAAAAAPC/Ai9uowG8hQ/AAkHxY8xdS/M/AAAAABgAAAD8/AD8AAIAAAAAAADwvwIOvjCZKpgEwAKDUUmdgCb5PwAAAAABFQQAAWUEAAAAAAAAAAAINAFlBAAAAAAAAAAADAgBZQQAAAAAAAAAABAAAWUEAAAAAAAAAAAUGAFlBAAAAAAAAAAAGAgBZQQAAAAAAAAAABwUAWUEAAAAAAAAAAAgFAFlBAAAAAAAAAAAJAABZQgAAAAAAAAAACgEAWUEAAAAAAAAAAAsBAFlBAAAAAAAAAAAMCgBZQQAAAAAAAAAADQsAWUEAAAAAAAAAAA4DAFlCAAAAAAAAAAAPBABZQQAAAAAAAAAAAEQDAFlBAAAAAAAAAAAARE8AWUEAAAAAAAAAAABEjwBZQQAAAAAAAAAAAETPAFlBAAAAAAAAAAACDABZQQAAAAAAAAAACAcAWUEAAAAAAAAAAAAAAAA</t>
        </r>
      </text>
    </comment>
    <comment ref="A1079" authorId="0" shapeId="0" xr:uid="{C75497B4-B8BC-4329-8083-38050F61753F}">
      <text>
        <r>
          <rPr>
            <sz val="9"/>
            <color indexed="81"/>
            <rFont val="MS P ゴシック"/>
            <family val="3"/>
            <charset val="128"/>
          </rPr>
          <t>Insight iXlW00001C0001079R0585476093S00002156P01832LAocjBAQBF1NjaVRlZ2ljLmRhdGEuTW9sZWN1bGUBbwF/ARJTY2lUZWdpYy5Nb2xlY3VsZQAAAQFkAv5qAQAAAAIAAgEYGAAAAPz8APwAAgAAAAAAAPC/Akku/yH99gLAAiFB8WPMXds/AAAAABgAAAD8/AD8AAIAAAAAAADwvwLdRgN4CyTkPwIhQfFjzF3bPwAAAAAcAAAA/PwA/AACAAAAAAAA8L8Cklz+Q/rt9b8CIUHxY8xd2z8AAAAAGAAAAPz8APwAAgAAAAAAAPC/AocW2c73U/Y/AuM2GsBbIPE/AAAAABgAAAD8/AD8AAIAAAAAAADwvwKHFtnO91P2PwKWsgxxrIvLvwAAAAAgAAAA/PwA/AACAAAAAAAA8L8CSS7/If32BsAC5j+k374O3L8AAAAAGAAAAPz8APwAAgAAAAAAAPC/AnIbDeAtkMA/AuY/pN++Dty/AAAAABgAAAD8/AD8AAIAAAAAAADwvwJyGw3gLZDAPwKKsOHplbL0PwAAAAAYAAAA/PwA/AACAAAAAAAA8L8CJLn8h/Tb678C5j+k374O3L8AAAAAGAAAAPz8APwAAgAAAAAAAPC/AiS5/If02+u/Aoqw4emVsvQ/AAAAACAAAAD8/AD8AAIAAAAAAADwvwJJLv8h/fYGwAL7XG3F/rL0PwAAAAAYAAAA/PwA/AACAAAAAAAA8L8C5x2n6EiuAkACIGPuWkI+wD8AAAAAIAAAAPz8APwAAgAAAAAAAPC/AngLJCh+jPM/AuLplbIMcQBAAAAAABgAAAD8/AD8AAIAAAAAAADwvwJJLv8h/fYOwALmP6Tfvg7cvwAAAAAgAAAA/PwA/AACAAAAAAAA8L8CNs07TtERA0ACejarPldb7T8AAAAAGAAAAPz8APwAAgAAAAAAAPC/AjsBTYQNzwhAAm40gLdAguC/AAAAABgAAAD8/AD8AAIAAAAAAADwvwJ4CyQofozzPwIzMzMzMzPzvwAAAAAgAAAA/PwA/AACAAAAAAAA8L8CC7WmeccpEEACih9j7lpCxr8AAAAAGAAAAPz8APwAAgAAAAAAAPC/AiDSb18Hzv8/Al1txf6ye/2/AAAAABgAAAD8/AD8AAIAAAAAAADwvwJJLv8h/fYOwAL6D+m3rwP3vwAAAAAYAAAA/PwA/AACAAAAAAAA8L8CJZf/kH57E8AC5j+k374O3L8AAAAAGAAAAPz8APwAAgAAAAAAAPC/Akku/yH99g7AAg3gLZCg+OE/AAAAABgAAAD8/AD8AAIAAAAAAADwvwLsUbgehWsHQAIYt9EA3gL4vwAAAAAYAAAA/PwA/AACAAAAAAAA8L8C0pFc/kM6E0ACGZXUCWgi6r8AAAAAARkEHAFlBAAAAAAAAAAACAABZQQAAAAAAAAAAAwEAWUEAAAAAAAAAAAQBAFlBAAAAAAAAAAAFAABZQQAAAAAAAAAABggAWUEAAAAAAAAAAAcJAFlBAAAAAAAAAAAIAgBZQQAAAAAAAAAACQIAWUEAAAAAAAAAAAoAAFlCAAAAAAAAAAALBABZQQAAAAAAAAAADAMAWUIAAAAAAAAAAA0FAFlBAAAAAAAAAAAOAwBZQQAAAAAAAAAADwsAWUIDAAAAAAAAAABEBABZQgMAAAAAAAAAAERPAFlBAAAAAAAAAAAARIBEAFlBAAAAAAAAAAAARM0AWUEAAAAAAAAAAABFDQBZQQAAAAAAAAAAAEVNAFlBAAAAAAAAAAAARYBEgFlCAgAAAAAAAAAARcBEQFlBAAAAAAAAAAAGAQBZQQAAAAAAAAAADwBFgFlBAAAAAAAAAAAAAAAAA==</t>
        </r>
      </text>
    </comment>
    <comment ref="A1080" authorId="0" shapeId="0" xr:uid="{F14E9C87-7416-4654-AE6C-0BF25D267A7B}">
      <text>
        <r>
          <rPr>
            <sz val="9"/>
            <color indexed="81"/>
            <rFont val="MS P ゴシック"/>
            <family val="3"/>
            <charset val="128"/>
          </rPr>
          <t>Insight iXlW00001C0001080R0585476093S00002158P00964LAocjBAQBF1NjaVRlZ2ljLmRhdGEuTW9sZWN1bGUBbwF/ARJTY2lUZWdpYy5Nb2xlY3VsZQAAAQFkAv5qAQAAAAIAAjAYAAAA/PwA/AACAAAAAAAA8L8CS+oENBE26D8CQ61p3nGK0r8AAAAAGAAAAPz8APwAAgAAAAAAAPC/Akw3iUFg5ci/AqVOQBNhw5M/AAAAABwAAAD8/AD8AAIAAAAAAADwvwJL6gQ0ETboPwLGbTSAt0D1PwAAAAAcAAAA/PwA/AACAAAAAAAA8L8CTDeJQWDlyL8COwFNhA1P8D8AAAAAGAAAAPz8APwAAgAAAAAAAPC/At/gC5OpgvU/AnUCmggbnuA/AAAAABgAAAD8/AD8AAIAAAAAAADwvwKx4emVsgzxPwJgB84ZUdrzvwAAAAAgAAAA/PwA/AACAAAAAAAA8L8CK4cW2c738L8CFvvL7snD3r8AAAAAIAAAAPz8APwAAgAAAAAAAPC/An6utmJ/WQBAAnZxGw3gLfe/AAAAACAAAAD8/AD8AAIAAAAAAADwvwLHSzeJQWDZPwLnjCjtDb7/vwAAAAAYAAAA/PwA/AACAAAAAAAA8L8CK4cW2c738L8COwFNhA1P+D8AAAAAGAAAAPz8APwAAgAAAAAAAPC/Am3n+6nx0v6/AjsBTYQNT/A/AAAAABgAAAD8/AD8AAIAAAAAAADwvwJt5/up8dL+vwKlTkATYcOTPwAAAAA0BAABZQgIAAAAAAAAAAgQAWUICAAAAAAAAAAMBAFlBAAAAAAAAAAAEAABZQQAAAAAAAAAABQAAWUEAAAAAAAAAAAYBAFlBAAAAAAAAAAAHBQBZQgAAAAAAAAAACAUAWUEAAAAAAAAAAAkDAFlBAAAAAAAAAAAKCwBZQQAAAAAAAAAACwYAWUEAAAAAAAAAAAIDAFlBAAAAAAAAAAAJCgBZQQAAAAAAAAAAAAAAAA=</t>
        </r>
      </text>
    </comment>
    <comment ref="A1081" authorId="0" shapeId="0" xr:uid="{3866009B-3113-493C-B249-23A49BB9359C}">
      <text>
        <r>
          <rPr>
            <sz val="9"/>
            <color indexed="81"/>
            <rFont val="MS P ゴシック"/>
            <family val="3"/>
            <charset val="128"/>
          </rPr>
          <t>Insight iXlW00001C0001081R0585476093S00002160P01176LAocjBAQBF1NjaVRlZ2ljLmRhdGEuTW9sZWN1bGUBbwF/ARJTY2lUZWdpYy5Nb2xlY3VsZQAAAQFkAv5qAQAAAAIAAjwYAAAA/PwA/AACAAAAAAAA8L8CggTFjzF3/r8CQxzr4jYa9b8AAAAAHAAAAPz8APwAAgAAAAAAAPC/AvaX3ZOHhfG/Ava52or9Zee/AAAAABwAAAD8/AD8AAIAAAAAAADwvwL3l92Th4X5vwIpXI/C9SgCwAAAAAAYAAAA/PwA/AACAAAAAAAA8L8C7S+7Jw8L478CKVyPwvUoAsAAAAAAGAAAAPz8APwAAgAAAAAAAPC/AvaX3ZOHhfG/AhaMSuoENNE/AAAAABgAAAD8/AD8AAIAAAAAAADwvwKsrdhfdk/SvwJDHOviNhr1vwAAAAAcAAAA/PwA/AACAAAAAAAA8L8CEHo2qz7XBsACuK8D54wo8L8AAAAAGAAAAPz8APwAAgAAAAAAAPC/AqW9wRcmU82/AgtGJXUCmug/AAAAABgAAAD8/AD8AAIAAAAAAADwvwIaUdobfGHkPwIWjErqBDTRPwAAAAAYAAAA/PwA/AACAAAAAAAA8L8Cz4jS3uAL+D8CC0YldQKa6D8AAAAAIAAAAPz8APwAAgAAAAAAAPC/AsHKoUW28wJAAhaMSuoENNE/AAAAABgAAAD8/AD8AAIAAAAAAADwvwIaUdobfGHkPwKDUUmdgCYCQAAAAAAYAAAA/PwA/AACAAAAAAAA8L8Cpb3BFyZTzb8CBqOSOgFN/D8AAAAAGAAAAPz8APwAAgAAAAAAAPC/As+I0t7gC/g/AgajkjoBTfw/AAAAABgAAAD8/AD8AAIAAAAAAADwvwLiehSuR+EJQAILRiV1AproPwAAAAABEAQAAWUEAAAAAAAAAAAIAAFlCAgAAAAAAAAADAgBZQQAAAAAAAAAABAEAWUEAAAAAAAAAAAUBAFlBAAAAAAAAAAAGAABZQQAAAAAAAAAABwQAWUEAAAAAAAAAAAgHAFlBAAAAAAAAAAAJCABZQgMAAAAAAAAACgkAWUEAAAAAAAAAAAsMAFlBAAAAAAAAAAAMBwBZQgMAAAAAAAAADQsAWUICAAAAAAAAAA4KAFlBAAAAAAAAAAAFAwBZQgIAAAAAAAAACQ0AWUEAAAAAAAAAAAAAAAA</t>
        </r>
      </text>
    </comment>
    <comment ref="A1082" authorId="0" shapeId="0" xr:uid="{A315A4A1-7173-4F7F-895D-D930289234D1}">
      <text>
        <r>
          <rPr>
            <sz val="9"/>
            <color indexed="81"/>
            <rFont val="MS P ゴシック"/>
            <family val="3"/>
            <charset val="128"/>
          </rPr>
          <t>Insight iXlW00001C0001082R0585476093S00002162P01104LAocjBAQBF1NjaVRlZ2ljLmRhdGEuTW9sZWN1bGUBbwF/ARJTY2lUZWdpYy5Nb2xlY3VsZQAAAQFkAv5qAQAAAAIAAjgcAAAA/PwA/AACAAAAAAAA8L8C/7J78rBQ8D8Crthfdk8etr8AAAAAGAAAAPz8APwAAgAAAAAAAPC/AnicoiO5/PE/AkHxY8xdS/G/AAAAABwAAAD8/AD8AAIAAAAAAADwvwLhC5OpgtEAQAJYW7G/7J70vwAAAAAYAAAA/PwA/AACAAAAAAAA8L8C6pWyDHGswz8C1QloImx42j8AAAAAGAAAAPz8APwAAgAAAAAAAPC/AuELk6mC0QRAAlfsL7snD9u/AAAAABgAAAD8/AD8AAIAAAAAAADwvwIJG55eKcvmvwKu2F92Tx62vwAAAAAYAAAA/PwA/AACAAAAAAAA8L8CAwmKH2Pu/j8CyCk6kst/1D8AAAAAHAAAAPz8APwAAgAAAAAAAPC/Avyp8dJNYtg/AgAAAAAAAPy/AAAAABgAAAD8/AD8AAIAAAAAAADwvwLGbTSAt0D5vwLVCWgibHjaPwAAAAAYAAAA/PwA/AACAAAAAAAA8L8C6pWyDHGswz8CdQKaCBue9j8AAAAAIAAAAPz8APwAAgAAAAAAAPC/Ajy9UpYhjgPAAq7YX3ZPHra/AAAAABgAAAD8/AD8AAIAAAAAAADwvwIJG55eKcvmvwJ2ApoIG57+PwAAAAAYAAAA/PwA/AACAAAAAAAA8L8Cxm00gLdA+b8CdQKaCBue9j8AAAAAGAAAAPz8APwAAgAAAAAAAPC/Ajy9UpYhjgPAAov9ZffkYfG/AAAAADwEAAFlBAAAAAAAAAAACAQBZQgIAAAAAAAAAAwAAWUEAAAAAAAAAAAQGAFlCAgAAAAAAAAAFAwBZQQAAAAAAAAAABgAAWUEAAAAAAAAAAAcBAFlBAAAAAAAAAAAIBQBZQgMAAAAAAAAACQMAWUIDAAAAAAAAAAoIAFlBAAAAAAAAAAALCQBZQQAAAAAAAAAADAsAWUICAAAAAAAAAA0KAFlBAAAAAAAAAAAEAgBZQQAAAAAAAAAACAwAWUEAAAAAAAAAAAAAAAA</t>
        </r>
      </text>
    </comment>
    <comment ref="A1083" authorId="0" shapeId="0" xr:uid="{1F25AE63-6929-4F08-98C5-0E40AECC6280}">
      <text>
        <r>
          <rPr>
            <sz val="9"/>
            <color indexed="81"/>
            <rFont val="MS P ゴシック"/>
            <family val="3"/>
            <charset val="128"/>
          </rPr>
          <t>Insight iXlW00001C0001083R0585476093S00002164P00964LAocjBAQBF1NjaVRlZ2ljLmRhdGEuTW9sZWN1bGUBbwF/ARJTY2lUZWdpYy5Nb2xlY3VsZQAAAQFkAv5qAQAAAAIAAjAcAAAA/PwA/AACAAAAAAAA8L8CXCBB8WPM3T8CXtxGA3gL3D8AAAAAGAAAAPz8APwAAgAAAAAAAPC/AhueXinLEPY/AjNVMCqpE6A/AAAAABwAAAD8/AD8AAIAAAAAAADwvwKmLEMc62IAQAJFaW/whcnoPwAAAAAYAAAA/PwA/AACAAAAAAAA8L8Cq2BUUieg2b8CFR3J5T+kr78AAAAAGAAAAPz8APwAAgAAAAAAAPC/AiBj7lpCPuI/As6qz9VW7PY/AAAAABgAAAD8/AD8AAIAAAAAAADwvwJLWYY41sX4PwLkFB3J5T/6PwAAAAAcAAAA/PwA/AACAAAAAAAA8L8CbHh6pSxD9L8CXtxGA3gL3D8AAAAAHAAAAPz8APwAAgAAAAAAAPC/AjEIrBxaZPk/AkLxY8xdS+6/AAAAABgAAAD8/AD8AAIAAAAAAADwvwKrYFRSJ6DZvwLpSC7/If3wvwAAAAAYAAAA/PwA/AACAAAAAAAA8L8CV+wvuycPAcACFR3J5T+kr78AAAAAGAAAAPz8APwAAgAAAAAAAPC/Amx4eqUsQ/S/AulILv8h/fi/AAAAABgAAAD8/AD8AAIAAAAAAADwvwJX7C+7Jw8BwALpSC7/If3wvwAAAAA0BAABZQQAAAAAAAAAAAgEAWUICAAAAAAAAAAMAAFlBAAAAAAAAAAAEAABZQQAAAAAAAAAABQQAWUICAAAAAAAAAAYDAFlBAAAAAAAAAAAHAQBZQQAAAAAAAAAACAMAWUIDAAAAAAAAAAkGAFlCAgAAAAAAAAAKCABZQQAAAAAAAAAACwoAWUICAAAAAAAAAAUCAFlBAAAAAAAAAAAJCwBZQQAAAAAAAAAAAAAAAA=</t>
        </r>
      </text>
    </comment>
    <comment ref="A1084" authorId="0" shapeId="0" xr:uid="{7F491124-5F1F-4745-AEDA-9D8D45872613}">
      <text>
        <r>
          <rPr>
            <sz val="9"/>
            <color indexed="81"/>
            <rFont val="MS P ゴシック"/>
            <family val="3"/>
            <charset val="128"/>
          </rPr>
          <t>Insight iXlW00001C0001084R0585476093S00002166P00964LAocjBAQBF1NjaVRlZ2ljLmRhdGEuTW9sZWN1bGUBbwF/ARJTY2lUZWdpYy5Nb2xlY3VsZQAAAQFkAv5qAQAAAAIAAjAcAAAA/PwA/AACAAAAAAAA8L8CCvmgZ7Pq4z8Cnl4pyxDHwj8AAAAAGAAAAPz8APwAAgAAAAAAAPC/As07TtGRXPM/Am+BBMWPMeW/AAAAABwAAAD8/AD8AAIAAAAAAADwvwLu68A5I0oBQAKxUGuad5zWvwAAAAAYAAAA/PwA/AACAAAAAAAA8L8C7uvAOSNKAUACqFfKMsSx5D8AAAAAGAAAAPz8APwAAgAAAAAAAPC/As07TtGRXPM/Ar4wmSoYle4/AAAAABgAAAD8/AD8AAIAAAAAAADwvwLtDb4wmSrYvwKeXinLEMfCPwAAAAAcAAAA/PwA/AACAAAAAAAA8L8CvsEXJlMFA8ACnl4pyxDHwj8AAAAAHAAAAPz8APwAAgAAAAAAAPC/AqJFtvP91Ow/AsfctYR80Pm/AAAAABgAAAD8/AD8AAIAAAAAAADwvwL3Bl+YTBXsvwIWjErqBDTwPwAAAAAYAAAA/PwA/AACAAAAAAAA8L8C9wZfmEwV7L8C3GgAb4EE578AAAAAGAAAAPz8APwAAgAAAAAAAPC/AnyDL0ymCv6/AtxoAG+BBOe/AAAAABgAAAD8/AD8AAIAAAAAAADwvwJ8gy9Mpgr+vwIWjErqBDTwPwAAAAA0BAABZQQAAAAAAAAAAAgEAWUICAAAAAAAAAAMEAFlCAgAAAAAAAAAEAABZQQAAAAAAAAAABQAAWUEAAAAAAAAAAAYKAFlCAgAAAAAAAAAHAQBZQQAAAAAAAAAACAUAWUEAAAAAAAAAAAkFAFlCAwAAAAAAAAAKCQBZQQAAAAAAAAAACwgAWUICAAAAAAAAAAMCAFlBAAAAAAAAAAALBgBZQQAAAAAAAAAAAAAAAA=</t>
        </r>
      </text>
    </comment>
    <comment ref="A1085" authorId="0" shapeId="0" xr:uid="{EA843AED-BAF4-4C5C-B2B4-F5D5CB194D02}">
      <text>
        <r>
          <rPr>
            <sz val="9"/>
            <color indexed="81"/>
            <rFont val="MS P ゴシック"/>
            <family val="3"/>
            <charset val="128"/>
          </rPr>
          <t>Insight iXlW00001C0001085R0585476093S00002168P01324LAocjBAQBF1NjaVRlZ2ljLmRhdGEuTW9sZWN1bGUBbwF/ARJTY2lUZWdpYy5Nb2xlY3VsZQAAAQFkAv5qAQAAAAIAAgERAREAAAD8/AD8AAIAAAAAAADwvwIf9GxWfS4HQALLoUW28/3UvwAAAAAYAAAA/PwA/AACAAAAAAAA8L8C/0P67etAAEACa7x0kxgExj8AAAAAGAAAAPz8APwAAgAAAAAAAPC/Av9D+u3rQABAAo6XbhKDwPI/AAAAABgAAAD8/AD8AAIAAAAAAADwvwK7Jw8LtabyPwId6+I2GsD6PwAAAAAYAAAA/PwA/AACAAAAAAAA8L8C5x2n6Egu0z8CHeviNhrA8j8AAAAAHAAAAPz8APwAAgAAAAAAAPC/AiqpE9BE2OS/AhkEVg4tsvc/AAAAABgAAAD8/AD8AAIAAAAAAADwvwJPQBNhw9PzvwI51sVtNIDlPwAAAAAgAAAA/PwA/AACAAAAAAAA8L8CKKCJsOHpAcACV32utmJ/5T8AAAAAGAAAAPz8APwAAgAAAAAAAPC/AiqpE9BE2OS/AvCnxks3icG/AAAAABgAAAD8/AD8AAIAAAAAAADwvwK1pnnHKTqSPwILtaZ5xynsvwAAAAAYAAAA/PwA/AACAAAAAAAA8L8CwhcmUwWj0r8ClfYGX5hM/b8AAAAAHAAAAPz8APwAAgAAAAAAAPC/AjsBTYQNT/S/Ao4G8BZIUADAAAAAABgAAAD8/AD8AAIAAAAAAADwvwJrvHSTGAT/vwIj2/l+arz0vwAAAAAYAAAA/PwA/AACAAAAAAAA8L8C4E+Nl24S+r8CFa5H4XoU1r8AAAAAGAAAAPz8APwAAgAAAAAAAPC/Aucdp+hILtM/Amu8dJMYBMY/AAAAABgAAAD8/AD8AAIAAAAAAADwvwK7Jw8LtabyPwLLoUW28/3UvwAAAAABEQAAAPz8APwAAgAAAAAAAPC/AoZa07zjlA1AAsE5I0p7g8e/AAAAAAESAAQBZQQAAAAAAAAAAAQIAWUIDAAAAAAAAAAIDAFlBAAAAAAAAAAADBABZQgMAAAAAAAAABAUAWUEAAAAAAAAAAAUGAFlBAAAAAAAAAAAGBwBZQgAAAAAAAAAABggAWUEAAAAAAAAAAAgJAFlBAAAAAAAAAAAJCgBZQQAAAAAAAAAACgsAWUEAAAAAAAAAAAsMAFlBAAAAAAAAAAAMDQBZQQAAAAAAAAAADQgAWUEAAAAAAAAAAAgOAFlBAAAAAAAAAAAOBABZQQAAAAAAAAAADg8AWUIDAAAAAAAAAA8BAFlBAAAAAAAAAAAAAAAAA==</t>
        </r>
      </text>
    </comment>
    <comment ref="A1086" authorId="0" shapeId="0" xr:uid="{7596B095-280B-4323-9890-AB21462D0BC7}">
      <text>
        <r>
          <rPr>
            <sz val="9"/>
            <color indexed="81"/>
            <rFont val="MS P ゴシック"/>
            <family val="3"/>
            <charset val="128"/>
          </rPr>
          <t>Insight iXlW00001C0001086R0585476093S00002170P01396LAocjBAQBF1NjaVRlZ2ljLmRhdGEuTW9sZWN1bGUBbwF/ARJTY2lUZWdpYy5Nb2xlY3VsZQAAAQFkAv5qAQAAAAIAAgESGAAAAPz8APwAAgAAAAAAAPC/AlVSJ6CJMAlAAn9qvHSTGPq/AAAAACAAAAD8/AD8AAIAAAAAAADwvwJVUiegiTABQAJ/arx0kxj6vwAAAAAYAAAA/PwA/AACAAAAAAAA8L8CqaROQBNh+j8CexSuR+F66L8AAAAAGAAAAPz8APwAAgAAAAAAAPC/AlVSJ6CJMAFAAkJg5dAi27k/AAAAABgAAAD8/AD8AAIAAAAAAADwvwKppE5AE2H6PwKMbOf7qfHuPwAAAAAYAAAA/PwA/AACAAAAAAAA8L8CUkmdgCbC5D8CjGzn+6nx7j8AAAAAHAAAAPz8APwAAgAAAAAAAPC/AoiFWtO845S/Aj/o2az6XPs/AAAAABgAAAD8/AD8AAIAAAAAAADwvwIX2c73U+PtvwLRs1n1udr0PwAAAAAgAAAA/PwA/AACAAAAAAAA8L8CzczMzMzM/L8CYAfOGVHa/D8AAAAAGAAAAPz8APwAAgAAAAAAAPC/AkOtad5xiuq/Ai2yne+nxtM/AAAAABgAAAD8/AD8AAIAAAAAAADwvwIX2c73U+PjvwJgdk8eFmrlvwAAAAAYAAAA/PwA/AACAAAAAAAA8L8CE/JBz2bV9b8C78nDQq1p9b8AAAAAHAAAAPz8APwAAgAAAAAAAPC/Atnw9EpZhgLAAtUJaCJsePC/AAAAABgAAAD8/AD8AAIAAAAAAADwvwIcfGEyVTAEwAItQxzr4jaqvwAAAAAYAAAA/PwA/AACAAAAAAAA8L8CP8bctYR8/L8CS1mGONbF4z8AAAAAGAAAAPz8APwAAgAAAAAAAPC/AkYldQKaCMM/AkJg5dAi27k/AAAAABgAAAD8/AD8AAIAAAAAAADwvwJSSZ2AJsLkPwJ7FK5H4XrovwAAAAABEQAAAPz8APwAAgAAAAAAAPC/Aru4jQbwlg9AAnyDL0ymCrY/AAAAAAETAAQBZQQAAAAAAAAAAAQIAWUEAAAAAAAAAAAIDAFlCAwAAAAAAAAADBABZQQAAAAAAAAAABAUAWUIDAAAAAAAAAAUGAFlBAAAAAAAAAAAGBwBZQQAAAAAAAAAABwgAWUIAAAAAAAAAAAcJAFlBAAAAAAAAAAAJCgBZQQAAAAAAAAAACgsAWUEAAAAAAAAAAAsMAFlBAAAAAAAAAAAMDQBZQQAAAAAAAAAADQ4AWUEAAAAAAAAAAA4JAFlBAAAAAAAAAAAJDwBZQQAAAAAAAAAADwUAWUEAAAAAAAAAAA8ARABZQgMAAAAAAAAAAEQCAFlBAAAAAAAAAAAAAAAAA==</t>
        </r>
      </text>
    </comment>
    <comment ref="A1087" authorId="0" shapeId="0" xr:uid="{955295D2-DAEA-4A9C-8095-CBDA514EE014}">
      <text>
        <r>
          <rPr>
            <sz val="9"/>
            <color indexed="81"/>
            <rFont val="MS P ゴシック"/>
            <family val="3"/>
            <charset val="128"/>
          </rPr>
          <t>Insight iXlW00001C0001087R0585476093S00002172P01104LAocjBAQBF1NjaVRlZ2ljLmRhdGEuTW9sZWN1bGUBbwF/ARJTY2lUZWdpYy5Nb2xlY3VsZQAAAQFkAv5qAQAAAAIAAjgYAAAA/PwA/AACAAAAAAAA8L8CKe0NvjCZ/b8CZRniWBe35b8AAAAAHAAAAPz8APwAAgAAAAAAAPC/Ahx8YTJVMPs/Atlfdk8eFvI/AAAAABgAAAD8/AD8AAIAAAAAAADwvwLrc7UV+0sCQAI2zTtO0ZHUPwAAAAAYAAAA/PwA/AACAAAAAAAA8L8CG8BbIEHx5z8ClWWIY13cxr8AAAAAGAAAAPz8APwAAgAAAAAAAPC/AhvAWyBB8ec/ApvmHafoSOo/AAAAABgAAAD8/AD8AAIAAAAAAADwvwLswDkjSnvvvwKVZYhjXdzGvwAAAAAYAAAA/PwA/AACAAAAAAAA8L8CRwN4CyQovr8CZRniWBe35b8AAAAAGAAAAPz8APwAAgAAAAAAAPC/Ahx8YTJVMPs/AvjkYaHWNN+/AAAAACAAAAD8/AD8AAIAAAAAAADwvwLrc7UV+0sKQAI2zTtO0ZHUPwAAAAAYAAAA/PwA/AACAAAAAAAA8L8CRwN4CyQovr8CTvOOU3Qk9T8AAAAAGAAAAPz8APwAAgAAAAAAAPC/AuzAOSNKe++/ApvmHafoSOo/AAAAACQAAAD8/AD8AAIAAAAAAADwvwIp7Q2+MJn1vwL0bFZ9rrb4vwAAAAAkAAAA/PwA/AACAAAAAAAA8L8CtaZ5xym6BcACswxxrIvb8r8AAAAAJAAAAPz8APwAAgAAAAAAAPC/ApX2Bl+YzALAAgAAAAAAAMg/AAAAADwEEAFlBAAAAAAAAAAACBwBZQQAAAAAAAAAAAwYAWUEAAAAAAAAAAAQJAFlBAAAAAAAAAAAFAABZQQAAAAAAAAAABgUAWUIDAAAAAAAAAAcDAFlBAAAAAAAAAAAIAgBZQgAAAAAAAAAACQoAWUICAAAAAAAAAAoFAFlBAAAAAAAAAAALAABZQQAAAAAAAAAADAAAWUEAAAAAAAAAAA0AAFlBAAAAAAAAAAADBABZQgMAAAAAAAAAAQIAWUEAAAAAAAAAAAAAAAA</t>
        </r>
      </text>
    </comment>
    <comment ref="A1088" authorId="0" shapeId="0" xr:uid="{6DA8E066-3BAC-45A2-8AA6-20B4A97DB80A}">
      <text>
        <r>
          <rPr>
            <sz val="9"/>
            <color indexed="81"/>
            <rFont val="MS P ゴシック"/>
            <family val="3"/>
            <charset val="128"/>
          </rPr>
          <t>Insight iXlW00001C0001088R0585476093S00002174P01996LAocjBAQBF1NjaVRlZ2ljLmRhdGEuTW9sZWN1bGUBbwF/ARJTY2lUZWdpYy5Nb2xlY3VsZQAAAQFkAv5qAQAAAAIAAgEaGAAAAPz8APwAAgAAAAAAAPC/Ag8LtaZ5x/E/AqwcWmQ73/Y/AAAAABgAAAD8/AD8AAIAAAAAAADwvwJtVn2utmLPPwKsHFpkO9/+PwAAAAAYAAAA/PwA/AACAAAAAAAA8L8CiIVa07zjBEACGQRWDi2y8r8AAAAAGAAAAPz8APwAAgAAAAAAAPC/Ag8LtaZ5x/E/AlYOLbKdbwNAAAAAABwAAAD8/AD8AAIAAAAAAADwvwKIhVrTvOMAQAJcj8L1KFzTvwAAAAAcAAAA/PwA/AACAAAAAAAA8L8CZapgVFIn6L8CrBxaZDvf/j8AAAAAGAAAAPz8APwAAgAAAAAAAPC/AjNVMCqpE/S/Amu8dJMYBPE/AAAAACAAAAD8/AD8AAIAAAAAAADwvwKIhVrTvOMMQAIZBFYOLbLyvwAAAAAYAAAA/PwA/AACAAAAAAAA8L8CHxZqTfOO4z8C1XjpJjEI4j8AAAAAGAAAAPz8APwAAgAAAAAAAPC/AoiFWtO84wBAAqwcWmQ73/Y/AAAAACAAAAD8/AD8AAIAAAAAAADwvwKIhVrTvOMAQAJmiGNd3EYAwAAAAAAYAAAA/PwA/AACAAAAAAAA8L8CiIVa07zjBEAC1XjpJjEI4j8AAAAAGAAAAPz8APwAAgAAAAAAAPC/Ag8LtaZ5x/E/AlyPwvUoXNO/AAAAACAAAAD8/AD8AAIAAAAAAADwvwJlqmBUUifovwLAfR04Z0TJPwAAAAAgAAAA/PwA/AACAAAAAAAA8L8CmSoYldQJAsACa7x0kxgE8T8AAAAAGAAAAPz8APwAAgAAAAAAAPC/AsRCrWnecRBAAmaIY13cRgDAAAAAABgAAAD8/AD8AAIAAAAAAADwvwKZKhiV1AkGwALAfR04Z0TJPwAAAAAYAAAA/PwA/AACAAAAAAAA8L8CmioYldQJDsACwH0dOGdEyT8AAAAAGAAAAPz8APwAAgAAAAAAAPC/AvGFyVTB6BNAAssQx7q4jfi/AAAAABgAAAD8/AD8AAIAAAAAAADwvwLEQq1p3nESQAKHONbFbTQHwAAAAAAYAAAA/PwA/AACAAAAAAAA8L8CZ9Xnaiv2CUACZohjXdxGBMAAAAAAGAAAAPz8APwAAgAAAAAAAPC/Ak0VjErqBBHAAvoP6bevA/E/AAAAABgAAAD8/AD8AAIAAAAAAADwvwJNFYxK6gQRwAIUYcPTK2XlvwAAAAAYAAAA/PwA/AACAAAAAAAA8L8CTRWMSuoEFcACFGHD0ytl5b8AAAAAGAAAAPz8APwAAgAAAAAAAPC/Ak0VjErqBBXAAvoP6bevA/E/AAAAABgAAAD8/AD8AAIAAAAAAADwvwJNFYxK6gQXwALAfR04Z0TJPwAAAAABHAQAAWUEAAAAAAAAAAAIEAFlBAAAAAAAAAAADAABZQQAAAAAAAAAABAsAWUEAAAAAAAAAAAEFAFlBAAAAAAAAAAAGBQBZQQAAAAAAAAAABwIAWUEAAAAAAAAAAAgAAFlBAAAAAAAAAAAJAABZQQAAAAAAAAAACgIAWUIAAAAAAAAAAAsJAFlBAAAAAAAAAAAMCABZQQAAAAAAAAAADQYAWUIAAAAAAAAAAA4GAFlBAAAAAAAAAAAPBwBZQQAAAAAAAAAAAEQOAFlBAAAAAAAAAAAAREBEAFlBAAAAAAAAAAAARI8AWUEAAAAAAAAAAABEzwBZQQAAAAAAAAAAAEUPAFlBAAAAAAAAAAAARUBEQFlBAAAAAAAAAAAARYBEQFlCAwAAAAAAAAAARcBFgFlBAAAAAAAAAAAARgBFQFlCAgAAAAAAAAAARkBFwFlCAgAAAAAAAAADAQBZQQAAAAAAAAAABAwAWUEAAAAAAAAAAABGAEZAWUEAAAAAAAAAAAAAAAA</t>
        </r>
      </text>
    </comment>
    <comment ref="A1089" authorId="0" shapeId="0" xr:uid="{DCDD7F95-A7C2-4925-845D-96D6F491F0B8}">
      <text>
        <r>
          <rPr>
            <sz val="9"/>
            <color indexed="81"/>
            <rFont val="MS P ゴシック"/>
            <family val="3"/>
            <charset val="128"/>
          </rPr>
          <t>Insight iXlW00001C0001089R0585476093S00002176P00964LAocjBAQBF1NjaVRlZ2ljLmRhdGEuTW9sZWN1bGUBbwF/ARJTY2lUZWdpYy5Nb2xlY3VsZQAAAQFkAv5qAQAAAAIAAjAYAAAA/PwA/AACAAAAAAAA8L8CKKCJsOHp7z8Cu0kMAiuH4r8AAAAAHAAAAPz8APwAAgAAAAAAAPC/As47TtGRXPk/AnE9CtejcM0/AAAAABgAAAD8/AD8AAIAAAAAAADwvwKegCbChqenPwJI4XoUrkfRvwAAAAAYAAAA/PwA/AACAAAAAAAA8L8CnoAmwoanpz8CXI/C9Shc5z8AAAAAGAAAAPz8APwAAgAAAAAAAPC/AiigibDh6e8/Ajq0yHa+n/A/AAAAACAAAAD8/AD8AAIAAAAAAADwvwKfPCzUmub0PwLswDkjSnv4vwAAAAAYAAAA/PwA/AACAAAAAAAA8L8CelioNc076r8CpHA9Ctej6L8AAAAAGAAAAPz8APwAAgAAAAAAAPC/AnpYqDXNO+q/Aq5H4XoUrvM/AAAAABgAAAD8/AD8AAIAAAAAAADwvwJ/jLlrCfn6vwJI4XoUrkfRvwAAAAAYAAAA/PwA/AACAAAAAAAA8L8C5x2n6EiuBEACcT0K16NwzT8AAAAAHAAAAPz8APwAAgAAAAAAAPC/AplMFYxKagTAAqRwPQrXo+i/AAAAABgAAAD8/AD8AAIAAAAAAADwvwJ/jLlrCfn6vwJcj8L1KFznPwAAAAA0BAABZQQAAAAAAAAAAAgAAWUEAAAAAAAAAAAMCAFlBAAAAAAAAAAAEAQBZQQAAAAAAAAAABQAAWUIAAAAAAAAAAAYCAFlCAwAAAAAAAAAHAwBZQgIAAAAAAAAACAYAWUEAAAAAAAAAAAkBAFlBAAAAAAAAAAAKCABZQQAAAAAAAAAACwgAWUICAAAAAAAAAAMEAFlBAAAAAAAAAAAHCwBZQQAAAAAAAAAAAAAAAA=</t>
        </r>
      </text>
    </comment>
    <comment ref="A1090" authorId="0" shapeId="0" xr:uid="{0A56587E-CF2C-41CA-9E2F-F440C29136C3}">
      <text>
        <r>
          <rPr>
            <sz val="9"/>
            <color indexed="81"/>
            <rFont val="MS P ゴシック"/>
            <family val="3"/>
            <charset val="128"/>
          </rPr>
          <t>Insight iXlW00001C0001090R0585476093S00002178P01612LAocjBAQBF1NjaVRlZ2ljLmRhdGEuTW9sZWN1bGUBbwF/ARJTY2lUZWdpYy5Nb2xlY3VsZQAAAQFkAv5qAQAAAAIAAgEVGAAAAPz8APwAAgAAAAAAAPC/Al8pyxDHuve/Ap2iI7n8h+Q/AAAAABwAAAD8/AD8AAIAAAAAAADwvwJYObTIdr7jvwJyio7k8h/CPwAAAAAYAAAA/PwA/AACAAAAAAAA8L8C16NwPQrX8T8CZF3cRgN4678AAAAAGAAAAPz8APwAAgAAAAAAAPC/Ah1aZDvfT/c/AmkAb4EExfy/AAAAACAAAAD8/AD8AAIAAAAAAADwvwLQRNjw9MoCwAJyio7k8h/CPwAAAAAgAAAA/PwA/AACAAAAAAAA8L8CXynLEMe6978CT9GRXP5D+j8AAAAAGAAAAPz8APwAAgAAAAAAAPC/Alg5tMh2vuO/AmRd3EYDeOu/AAAAABgAAAD8/AD8AAIAAAAAAADwvwKsHFpkO9/PPwKdoiO5/IfkPwAAAAAYAAAA/PwA/AACAAAAAAAA8L8CXCBB8WPMAEACRkdy+Q/p5b8AAAAAGAAAAPz8APwAAgAAAAAAAPC/AtejcD0K1/E/AnKKjuTyH8I/AAAAABgAAAD8/AD8AAIAAAAAAADwvwKsHFpkO9/PPwKyLm6jAbz1vwAAAAAgAAAA/PwA/AACAAAAAAAA8L8Cf/s6cM6IA0ACB1+YTBWM/78AAAAAGAAAAPz8APwAAgAAAAAAAPC/AvH0SlmGuAnAAp2iI7n8h+Q/AAAAACAAAAD8/AD8AAIAAAAAAADwvwIE54wo7Q3qPwKJY13cRoMEwAAAAAAYAAAA/PwA/AACAAAAAAAA8L8Cf/s6cM6IA0ACUrgehetR0D8AAAAAGAAAAPz8APwAAgAAAAAAAPC/AoGVQ4tsZwdAAoEmwoanV/k/AAAAABgAAAD8/AD8AAIAAAAAAADwvwLx9EpZhrgNwAKbd5yiI7nMvwAAAAAYAAAA/PwA/AACAAAAAAAA8L8CidLe4AtTEMACTtGRXP5D8j8AAAAAGAAAAPz8APwAAgAAAAAAAPC/AvH0SlmGuAXAApAxdy0hH/g/AAAAABgAAAD8/AD8AAIAAAAAAADwvwJlqmBUUicAQAJNhA1Pr5TyPwAAAAAYAAAA/PwA/AACAAAAAAAA8L8Cm+Ydp+jICkACkKD4Meau5T8AAAAAARYEAAFlBAAAAAAAAAAACCQBZQQAAAAAAAAAAAwIAWUEAAAAAAAAAAAQAAFlBAAAAAAAAAAAFAABZQgAAAAAAAAAABgEAWUEAAAAAAAAAAAcBAFlBAAAAAAAAAAAIAgBZQQAAAAAAAAAACQcAWUEAAAAAAAAAAAoGAFlBAAAAAAAAAAALAwBZQgAAAAAAAAAADAQAWUEAAAAAAAAAAA0DAFlBAAAAAAAAAAAOCABZQQAAAAAAAAAADwBFAFlBAAAAAAAAAAAARAwAWUEAAAAAAAAAAABETABZQQAAAAAAAAAAAESMAFlBAAAAAAAAAAAARM4AWUEAAAAAAAAAAABFDgBZQQAAAAAAAAAAAgoAWUEAAAAAAAAAAABEzwBZQQAAAAAAAAAAAAAAAA=</t>
        </r>
      </text>
    </comment>
    <comment ref="A1091" authorId="0" shapeId="0" xr:uid="{47F6A4AD-9749-44FB-8522-6217B3BC89B7}">
      <text>
        <r>
          <rPr>
            <sz val="9"/>
            <color indexed="81"/>
            <rFont val="MS P ゴシック"/>
            <family val="3"/>
            <charset val="128"/>
          </rPr>
          <t>Insight iXlW00001C0001091R0585476093S00002180P01832LAocjBAQBF1NjaVRlZ2ljLmRhdGEuTW9sZWN1bGUBbwF/ARJTY2lUZWdpYy5Nb2xlY3VsZQAAAQFkAv5qAQAAAAIAAgEYGAAAAPz8APwAAgAAAAAAAPC/AjC7Jw8Ltfy/Aj/G3LWEfNg/AAAAABwAAAD8/AD8AAIAAAAAAADwvwL7XG3F/rLtvwIE54wo7Q2+vwAAAAAYAAAA/PwA/AACAAAAAAAA8L8CDCQofoy56T8CcM6I0t7g8b8AAAAAGAAAAPz8APwAAgAAAAAAAPC/AkzIBz2bVfI/AhTQRNjwdADAAAAAACAAAAD8/AD8AAIAAAAAAADwvwK5jQbwFkgFwAIE54wo7Q2+vwAAAAAYAAAA/PwA/AACAAAAAAAA8L8C564l5IOe/D8Cpd++Dpwz7r8AAAAAIAAAAPz8APwAAgAAAAAAAPC/AjC7Jw8Ltfy/ApAxdy0hH/Y/AAAAABgAAAD8/AD8AAIAAAAAAADwvwL7XG3F/rLtvwJwzojS3uDxvwAAAAAYAAAA/PwA/AACAAAAAAAA8L8CescpOpLLr78CP8bctYR82D8AAAAAGAAAAPz8APwAAgAAAAAAAPC/AnrHKTqSy6+/AnHOiNLe4Pm/AAAAABgAAAD8/AD8AAIAAAAAAADwvwIMJCh+jLnpPwIE54wo7Q2+vwAAAAAgAAAA/PwA/AACAAAAAAAA8L8ClrIMcawLAUACm1Wfq63YAcAAAAAAGAAAAPz8APwAAgAAAAAAAPC/Ato9eVioNQzAAj/G3LWEfNg/AAAAABgAAAD8/AD8AAIAAAAAAADwvwKWsgxxrAsBQAIJG55eKctwvwAAAAAYAAAA/PwA/AACAAAAAAAA8L8CkX77OnDO9z8CGlHaG3xh6D8AAAAAIAAAAPz8APwAAgAAAAAAAPC/AmHD0ytlGeA/AqCJsOHplQbAAAAAABgAAAD8/AD8AAIAAAAAAADwvwJI4XoUrkf9PwJE+u3rwDn7PwAAAAABEQAAAPz8APwAAgAAAAAAAPC/Aq36XG3F/vI/Aq+2Yn/ZvQNAAAAAABgAAAD8/AD8AAIAAAAAAADwvwJiMlUwKqkLQAI6kst/SL/xPwAAAAAYAAAA/PwA/AACAAAAAAAA8L8CBoGVQ4vsCEACoWez6nO1xT8AAAAAGAAAAPz8APwAAgAAAAAAAPC/Au2ePCzUGhDAAse6uI0G8N6/AAAAABgAAAD8/AD8AAIAAAAAAADwvwL99nXgnJERwAIgY+5aQj7sPwAAAAAYAAAA/PwA/AACAAAAAAAA8L8C2j15WKg1CMAC0pFc/kP68z8AAAAAGAAAAPz8APwAAgAAAAAAAPC/AhQ/xty1hAZAAlQFo5I6Af4/AAAAAAEZBAABZQQAAAAAAAAAAAgoAWUEAAAAAAAAAAAMCAFlBAAAAAAAAAAAEAABZQQAAAAAAAAAABQIAWUEAAAAAAAAAAAYAAFlCAAAAAAAAAAAHAQBZQQAAAAAAAAAACAEAWUEAAAAAAAAAAAkHAFlBAAAAAAAAAAAKCABZQQAAAAAAAAAACwMAWUIAAAAAAAAAAAwEAFlBAAAAAAAAAAANBQBZQQAAAAAAAAAADg0AWUEAAAAAAAAAAA8DAFlBAAAAAAAAAAAARA4AWUIDAAAAAAAAAABEQEQAWUEAAAAAAAAAAABEgETAWUEAAAAAAAAAAABEzQBZQgMAAAAAAAAAAEUMAFlBAAAAAAAAAAAARUwAWUEAAAAAAAAAAABFjABZQQAAAAAAAAAAAEXARIBZQgIAAAAAAAAAAgkAWUEAAAAAAAAAAABEAEXAWUEAAAAAAAAAAAAAAAA</t>
        </r>
      </text>
    </comment>
    <comment ref="A1092" authorId="0" shapeId="0" xr:uid="{690F0D0F-4D9A-4F8B-AAA2-593CE6CA492B}">
      <text>
        <r>
          <rPr>
            <sz val="9"/>
            <color indexed="81"/>
            <rFont val="MS P ゴシック"/>
            <family val="3"/>
            <charset val="128"/>
          </rPr>
          <t>Insight iXlW00001C0001092R0585476093S00002182P01904LAocjBAQBF1NjaVRlZ2ljLmRhdGEuTW9sZWN1bGUBbwF/ARJTY2lUZWdpYy5Nb2xlY3VsZQAAAQFkAv5qAQAAAAIAAgEZGAAAAPz8APwAAgAAAAAAAPC/Ai9uowG8BQHAAuAtkKD4Mdo/AAAAABwAAAD8/AD8AAIAAAAAAADwvwKrz9VW7C/0vwKASL99HTi3vwAAAAAYAAAA/PwA/AACAAAAAAAA8L8CYcPTK2UZ3j8CiPTb14Fz8b8AAAAAGAAAAPz8APwAAgAAAAAAAPC/AjxO0ZFc/uk/AiBj7lpCPgDAAAAAACAAAAD8/AD8AAIAAAAAAADwvwJQHhZqTfMHwAKASL99HTi3vwAAAAAYAAAA/PwA/AACAAAAAAAA8L8CuY0G8BZI9z8C1CtlGeJY7b8AAAAAIAAAAPz8APwAAgAAAAAAAPC/Ai9uowG8BQHAAngLJCh+jPY/AAAAABgAAAD8/AD8AAIAAAAAAADwvwKrz9VW7C/0vwKI9NvXgXPxvwAAAAAYAAAA/PwA/AACAAAAAAAA8L8Cpb3BFyZT2b8C4C2QoPgx2j8AAAAAGAAAAPz8APwAAgAAAAAAAPC/AqW9wRcmU9m/Aoj029eBc/m/AAAAABgAAAD8/AD8AAIAAAAAAADwvwJhw9MrZRnePwKASL99HTi3vwAAAAAgAAAA/PwA/AACAAAAAAAA8L8C/0P67evA/D8Cp+hILv+hAcAAAAAAGAAAAPz8APwAAgAAAAAAAPC/AnHOiNLe4A7AAuAtkKD4Mdo/AAAAABgAAAD8/AD8AAIAAAAAAADwvwL/Q/rt68D8PwJO845TdCSXPwAAAAAYAAAA/PwA/AACAAAAAAAA8L8CcPCFyVRBBkAC4zYawFsgyT8AAAAAIAAAAPz8APwAAgAAAAAAAPC/AhkEVg4tssU/AnRGlPYGXwbAAAAAABgAAAD8/AD8AAIAAAAAAADwvwKTy39Iv/0IQAKUGARWDi3yPwAAAAAgAAAA/PwA/AACAAAAAAAA8L8CAU2EDU9vEEACMnctIR/09D8AAAAAGAAAAPz8APwAAgAAAAAAAPC/AqkT0ETY8Pc/Ap6AJsKGp/s/AAAAABgAAAD8/AD8AAIAAAAAAADwvwJkXdxGA3jyPwLNXUvIBz3pPwAAAAAYAAAA/PwA/AACAAAAAAAA8L8COGdEaW9wEcACJlMFo5I63b8AAAAAGAAAAPz8APwAAgAAAAAAAPC/AmWqYFRS5xLAAvAWSFD8GO0/AAAAABgAAAD8/AD8AAIAAAAAAADwvwJxzojS3uAKwAK6awn5oGf0PwAAAAAYAAAA/PwA/AACAAAAAAAA8L8CRdjw9ErZA0ACPN9PjZdu/j8AAAAAGAAAAPz8APwAAgAAAAAAAPC/AqjGSzeJARNAAhNhw9MrZeE/AAAAAAEaBAABZQQAAAAAAAAAAAgoAWUEAAAAAAAAAAAMCAFlBAAAAAAAAAAAEAABZQQAAAAAAAAAABQIAWUEAAAAAAAAAAAYAAFlCAAAAAAAAAAAHAQBZQQAAAAAAAAAACAEAWUEAAAAAAAAAAAkHAFlBAAAAAAAAAAAKCABZQQAAAAAAAAAACwMAWUIAAAAAAAAAAAwEAFlBAAAAAAAAAAANBQBZQQAAAAAAAAAADg0AWUEAAAAAAAAAAA8DAFlBAAAAAAAAAAAARA4AWUIDAAAAAAAAAABEQEQAWUEAAAAAAAAAAABEgETAWUEAAAAAAAAAAABEzQBZQgMAAAAAAAAAAEUMAFlBAAAAAAAAAAAARUwAWUEAAAAAAAAAAABFjABZQQAAAAAAAAAAAEXARIBZQgIAAAAAAAAAAEYAREBZQQAAAAAAAAAAAgkAWUEAAAAAAAAAAABEAEXAWUEAAAAAAAAAAAAAAAA</t>
        </r>
      </text>
    </comment>
    <comment ref="A1093" authorId="0" shapeId="0" xr:uid="{1054A8F3-ADDB-4927-B500-593BF495BC1C}">
      <text>
        <r>
          <rPr>
            <sz val="9"/>
            <color indexed="81"/>
            <rFont val="MS P ゴシック"/>
            <family val="3"/>
            <charset val="128"/>
          </rPr>
          <t>Insight iXlW00001C0001093R0585476093S00002184P00932LAocjBAQBF1NjaVRlZ2ljLmRhdGEuTW9sZWN1bGUBbwF/ARJTY2lUZWdpYy5Nb2xlY3VsZQAAAQFkAv5qAQAAAAIAAjAYAAAA/PwA/AACAAAAAAAA8L8CbsX+snvy7j8AAAAAABwAAAD8/AD8AAIAAAAAAADwvwL129eBc0bYPwIX2c73U+PpPwAAAAAYAAAA/PwA/AACAAAAAAAA8L8C9dvXgXNG2D8CF9nO91Pj6b8AAAAAGAAAAPz8APwAAgAAAAAAAPC/AiNKe4MvTOK/AgAAAAAAAOC/AAAAABwAAAD8/AD8AAIAAAAAAADwvwIjSnuDL0zivwIAAAAAAADgPwAAAAAYAAAA/PwA/AACAAAAAAAA8L8Ct2J/2T15/z8AAAAAACAAAAD8/AD8AAIAAAAAAADwvwJTBaOSOgH3vwIAAAAAAADwvwAAAAAgAAAA/PwA/AACAAAAAAAA8L8CXLG/7J68A0ACg8DKoUW26z8AAAAAIAAAAPz8APwAAgAAAAAAAPC/Alyxv+yevANAAoPAyqFFtuu/AAAAABgAAAD8/AD8AAIAAAAAAADwvwJTBaOSOgH3vwEAAAAAGAAAAPz8APwAAgAAAAAAAPC/AssyxLEubgLAAgAAAAAAAOA/AAAAABgAAAD8/AD8AAIAAAAAAADwvwLLMsSxLm4CwAIAAAAAAADgvwAAAAA0BAABZQgIAAAAAAAAAAgAAWUEAAAAAAAAAAAMCAFlCAwAAAAAAAAAEAQBZQQAAAAAAAAAABQAAWUEAAAAAAAAAAAYDAFlBAAAAAAAAAAAHBQBZQgAAAAAAAAAACAUAWUEAAAAAAAAAAAkEAFlBAAAAAAAAAAAKCQBZQQAAAAAAAAAACwYAWUEAAAAAAAAAAAQDAFlBAAAAAAAAAAAKCwBZQQAAAAAAAAAAAAAAAA=</t>
        </r>
      </text>
    </comment>
    <comment ref="A1094" authorId="0" shapeId="0" xr:uid="{6C79A10D-4229-49D9-B7C3-FB8DF0A5F31E}">
      <text>
        <r>
          <rPr>
            <sz val="9"/>
            <color indexed="81"/>
            <rFont val="MS P ゴシック"/>
            <family val="3"/>
            <charset val="128"/>
          </rPr>
          <t>Insight iXlW00001C0001094R0585476093S00002186P01104LAocjBAQBF1NjaVRlZ2ljLmRhdGEuTW9sZWN1bGUBbwF/ARJTY2lUZWdpYy5Nb2xlY3VsZQAAAQFkAv5qAQAAAAIAAjgYAAAA/PwA/AACAAAAAAAA8L8CEVg5tMh2xj8C5x2n6Eguxz8AAAAAGAAAAPz8APwAAgAAAAAAAPC/AhHHuriNBvI/AiFB8WPMXd8/AAAAABwAAAD8/AD8AAIAAAAAAADwvwIRWDm0yHbGPwKHONbFbTTqvwAAAAAcAAAA/PwA/AACAAAAAAAA8L8CEce6uI0G8j8Cz4jS3uAL8r8AAAAAGAAAAPz8APwAAgAAAAAAAPC/AssyxLEubvs/Ag1xrIvbaNS/AAAAACAAAAD8/AD8AAIAAAAAAADwvwJ/arx0kxjmvwJ6xyk6ksvlPwAAAAAYAAAA/PwA/AACAAAAAAAA8L8CnDOitDf49j8C5j+k374O9z8AAAAAGAAAAPz8APwAAgAAAAAAAPC/An9qvHSTGOa/AkMc6+I2GvW/AAAAABgAAAD8/AD8AAIAAAAAAADwvwKBlUOLbOf4vwKHONbFbTTqvwAAAAAYAAAA/PwA/AACAAAAAAAA8L8CgZVDi2zn+L8C5x2n6Eguxz8AAAAAIAAAAPz8APwAAgAAAAAAAPC/Atnw9EpZhug/Au84RUdyeQFAAAAAACAAAAD8/AD8AAIAAAAAAADwvwJz1xLyQU8DQAL8qfHSTWL6PwAAAAAYAAAA/PwA/AACAAAAAAAA8L8COPjCZKpg/r8C++3rwDkj/L8AAAAAGAAAAPz8APwAAgAAAAAAAPC/Ampv8IXJVATAAkp7gy9MpuS/AAAAADwEAAFlCAgAAAAAAAAACAABZQQAAAAAAAAAAAwIAWUEAAAAAAAAAAAQBAFlBAAAAAAAAAAAFAABZQQAAAAAAAAAABgEAWUEAAAAAAAAAAAcCAFlBAAAAAAAAAAAICQBZQQAAAAAAAAAACQUAWUEAAAAAAAAAAAoGAFlCAAAAAAAAAAALBgBZQQAAAAAAAAAADAgAWUEAAAAAAAAAAA0IAFlBAAAAAAAAAAAEAwBZQgIAAAAAAAAABwgAWUEAAAAAAAAAAAAAAAA</t>
        </r>
      </text>
    </comment>
    <comment ref="A1095" authorId="0" shapeId="0" xr:uid="{9447510E-0C84-4F78-92A6-D2ED89BC4E63}">
      <text>
        <r>
          <rPr>
            <sz val="9"/>
            <color indexed="81"/>
            <rFont val="MS P ゴシック"/>
            <family val="3"/>
            <charset val="128"/>
          </rPr>
          <t>Insight iXlW00001C0001095R0585476093S00002188P00892LAocjBAQBF1NjaVRlZ2ljLmRhdGEuTW9sZWN1bGUBbwF/ARJTY2lUZWdpYy5Nb2xlY3VsZQAAAQFkAv5qAQAAAAIAAiwYAAAA/PwA/AACAAAAAAAA8L8CkKD4Meau8j8CMQisHFpk078AAAAAHAAAAPz8APwAAgAAAAAAAPC/AtiBc0aU9tY/ArWmeccpOtI/AAAAABwAAAD8/AD8AAIAAAAAAADwvwKNuWsJ+aD/PwK1pnnHKTrSPwAAAAAYAAAA/PwA/AACAAAAAAAA8L8CkaD4Meau+j8CvAUSFD/G8z8AAAAAGAAAAPz8APwAAgAAAAAAAPC/AiFB8WPMXeU/AktZhjjWxfM/AAAAABgAAAD8/AD8AAIAAAAAAADwvwIydy0hH/TivwKBt0CC4seYvwAAAAAcAAAA/PwA/AACAAAAAAAA8L8CkKD4Meau8j8CDQIrhxbZ9L8AAAAAGAAAAPz8APwAAgAAAAAAAPC/AkhQ/Bhz1+y/Ato9eVioNe+/AAAAABgAAAD8/AD8AAIAAAAAAADwvwIkKH6MuWv2vwK30QDeAgniPwAAAAAYAAAA/PwA/AACAAAAAAAA8L8CWMoyxLGuAcACgbdAguLHmL8AAAAAGAAAAPz8APwAAgAAAAAAAPC/AiQofoy5a/6/AvjkYaHWNO+/AAAAADAEAAFlBAAAAAAAAAAACAABZQgIAAAAAAAAAAwIAWUEAAAAAAAAAAAQBAFlBAAAAAAAAAAAFAQBZQQAAAAAAAAAABgAAWUEAAAAAAAAAAAcFAFlBAAAAAAAAAAAIBQBZQQAAAAAAAAAACQgAWUEAAAAAAAAAAAoHAFlBAAAAAAAAAAAEAwBZQgIAAAAAAAAACgkAWUEAAAAAAAAAAAAAAAA</t>
        </r>
      </text>
    </comment>
    <comment ref="A1096" authorId="0" shapeId="0" xr:uid="{F61273EC-ADA2-47D8-8067-7FF6A7A8DD4C}">
      <text>
        <r>
          <rPr>
            <sz val="9"/>
            <color indexed="81"/>
            <rFont val="MS P ゴシック"/>
            <family val="3"/>
            <charset val="128"/>
          </rPr>
          <t>Insight iXlW00001C0001096R0585476093S00002190P01104LAocjBAQBF1NjaVRlZ2ljLmRhdGEuTW9sZWN1bGUBbwF/ARJTY2lUZWdpYy5Nb2xlY3VsZQAAAQFkAv5qAQAAAAIAAjgYAAAA/PwA/AACAAAAAAAA8L8COGdEaW9wAEACKjqSy39I478AAAAAHAAAAPz8APwAAgAAAAAAAPC/Amx4eqUsQ/I/AjlFR3L5D8m/AAAAABwAAAD8/AD8AAIAAAAAAADwvwLQRNjw9MoFQAIep+hILv/BPwAAAAAYAAAA/PwA/AACAAAAAAAA8L8C0ETY8PTKAUACJXUCmggb8D8AAAAAGAAAAPz8APwAAgAAAAAAAPC/AqtgVFInoNE/Ak/RkVz+Q+a/AAAAABgAAAD8/AD8AAIAAAAAAADwvwLlYaHWNO/zPwI9vVKWIY7pPwAAAAAcAAAA/PwA/AACAAAAAAAA8L8CQxzr4jYaAkACX5hMFYxK+b8AAAAAGAAAAPz8APwAAgAAAAAAAPC/Ai6QoPgx5uK/AjlFR3L5D8m/AAAAABgAAAD8/AD8AAIAAAAAAADwvwJZqDXNO073vwJP0ZFc/kPmvwAAAAAYAAAA/PwA/AACAAAAAAAA8L8CTYQNT6+UAsACOUVHcvkPyb8AAAAAJAAAAPz8APwAAgAAAAAAAPC/AqcKRiV1ggnAAk/RkVz+Q+a/AAAAABgAAAD8/AD8AAIAAAAAAADwvwJZqDXNO073vwJZF7fRAN70PwAAAAAYAAAA/PwA/AACAAAAAAAA8L8CLpCg+DHm4r8Csi5uowG86T8AAAAAGAAAAPz8APwAAgAAAAAAAPC/Ak2EDU+vlALAArIubqMBvOk/AAAAADwEAAFlBAAAAAAAAAAACAABZQgIAAAAAAAAAAwIAWUEAAAAAAAAAAAQBAFlBAAAAAAAAAAAFAQBZQQAAAAAAAAAABgAAWUEAAAAAAAAAAAcEAFlBAAAAAAAAAAAIBwBZQQAAAAAAAAAACQgAWUIDAAAAAAAAAAoJAFlBAAAAAAAAAAALDABZQQAAAAAAAAAADAcAWUIDAAAAAAAAAA0LAFlCAgAAAAAAAAAFAwBZQgIAAAAAAAAACQ0AWUEAAAAAAAAAAAAAAAA</t>
        </r>
      </text>
    </comment>
    <comment ref="A1097" authorId="0" shapeId="0" xr:uid="{488A0919-E2AF-4DDD-93A6-9E7460CA1189}">
      <text>
        <r>
          <rPr>
            <sz val="9"/>
            <color indexed="81"/>
            <rFont val="MS P ゴシック"/>
            <family val="3"/>
            <charset val="128"/>
          </rPr>
          <t>Insight iXlW00001C0001097R0585476093S00002192P01036LAocjBAQBF1NjaVRlZ2ljLmRhdGEuTW9sZWN1bGUBbwF/ARJTY2lUZWdpYy5Nb2xlY3VsZQAAAQFkAv5qAQAAAAIAAjQcAAAA/PwA/AACAAAAAAAA8L8Ck6mCUUmd6j8Cw/UoXI/Cxb8AAAAAGAAAAPz8APwAAgAAAAAAAPC/AqMjufyH9O0/Am8Sg8DKofK/AAAAABwAAAD8/AD8AAIAAAAAAADwvwKNuWsJ+aD+PwKFfNCzWfX1vwAAAAAYAAAA/PwA/AACAAAAAAAA8L8CIv32deCcob8CH4XrUbge1T8AAAAAGAAAAPz8APwAAgAAAAAAAPC/AsfctYR8UANAAoc41sVtNOC/AAAAABgAAAD8/AD8AAIAAAAAAADwvwJWMCqpE9DsvwLD9Shcj8LFvwAAAAAYAAAA/PwA/AACAAAAAAAA8L8CXf5D+u3r+z8CrK3YX3ZPzj8AAAAAHAAAAPz8APwAAgAAAAAAAPC/Ak5iEFg5tMg/Ai4hH/RsVv2/AAAAABgAAAD8/AD8AAIAAAAAAADwvwJteHqlLEP8vwIfhetRuB7VPwAAAAAkAAAA/PwA/AACAAAAAAAA8L8CV+wvuycPBcACw/UoXI/Cxb8AAAAAGAAAAPz8APwAAgAAAAAAAPC/AiL99nXgnKG/AkjhehSuR/U/AAAAABgAAAD8/AD8AAIAAAAAAADwvwJWMCqpE9DsvwJI4XoUrkf9PwAAAAAYAAAA/PwA/AACAAAAAAAA8L8CbXh6pSxD/L8CSOF6FK5H9T8AAAAAOAQAAWUEAAAAAAAAAAAIBAFlCAgAAAAAAAAADAABZQQAAAAAAAAAABAYAWUICAAAAAAAAAAUDAFlBAAAAAAAAAAAGAABZQQAAAAAAAAAABwEAWUEAAAAAAAAAAAgFAFlCAwAAAAAAAAAJCABZQQAAAAAAAAAACgMAWUIDAAAAAAAAAAsKAFlBAAAAAAAAAAAMCwBZQgIAAAAAAAAABAIAWUEAAAAAAAAAAAgMAFlBAAAAAAAAAAAAAAAAA==</t>
        </r>
      </text>
    </comment>
    <comment ref="A1098" authorId="0" shapeId="0" xr:uid="{66F5EF0C-21ED-4C2E-A791-944B7F94B173}">
      <text>
        <r>
          <rPr>
            <sz val="9"/>
            <color indexed="81"/>
            <rFont val="MS P ゴシック"/>
            <family val="3"/>
            <charset val="128"/>
          </rPr>
          <t>Insight iXlW00001C0001098R0585476093S00002194P01324LAocjBAQBF1NjaVRlZ2ljLmRhdGEuTW9sZWN1bGUBbwF/ARJTY2lUZWdpYy5Nb2xlY3VsZQAAAQFkAv5qAQAAAAIAAgERASMAAAD8/AD8AAIAAAAAAADwvwI7AU2EDU8GQAKYbhKDwMrBPwAAAAAYAAAA/PwA/AACAAAAAAAA8L8Cw/UoXI/C/j8Ctch2vp8a178AAAAAGAAAAPz8APwAAgAAAAAAAPC/AsP1KFyPwv4/Ai2yne+nxvW/AAAAABgAAAD8/AD8AAIAAAAAAADwvwKBlUOLbOfwPwItsp3vp8b9vwAAAAAYAAAA/PwA/AACAAAAAAAA8L8C/Knx0k1iyD8CLbKd76fG9b8AAAAAGAAAAPz8APwAAgAAAAAAAPC/Avyp8dJNYsg/ArXIdr6fGte/AAAAABgAAAD8/AD8AAIAAAAAAADwvwKBlUOLbOfwPwKYbhKDwMrBPwAAAAAcAAAA/PwA/AACAAAAAAAA8L8C1lbsL7sn6z8CHcnlP6Tf8T8AAAAAGAAAAPz8APwAAgAAAAAAAPC/AuSlm8QgsMK/ApayDHGsi/M/AAAAACAAAAD8/AD8AAIAAAAAAADwvwJ56SYxCKzkvwJsCfmgZ7MAQAAAAAAYAAAA/PwA/AACAAAAAAAA8L8CkKD4Meau4b8CSHL5D+m30z8AAAAAGAAAAPz8APwAAgAAAAAAAPC/Aqd5xyk6kuu/Avp+arx0k+S/AAAAABgAAAD8/AD8AAIAAAAAAADwvwIeOGdEaW/9vwImUwWjkjrrvwAAAAAcAAAA/PwA/AACAAAAAAAA8L8Cp3nHKToSBMACyQc9m1Wfu78AAAAAGAAAAPz8APwAAgAAAAAAAPC/AmHD0ytlmQHAAiWX/5B+++o/AAAAABgAAAD8/AD8AAIAAAAAAADwvwJ4CyQofozzvwIa4lgXt9HwPwAAAAABEQAAAPz8APwAAgAAAAAAAPC/AqFns+pztQxAAlQFo5I6Ab0/AAAAAAESAAQBZQQAAAAAAAAAAAQIAWUEAAAAAAAAAAAIDAFlCAgAAAAAAAAADBABZQQAAAAAAAAAABAUAWUICAAAAAAAAAAUGAFlBAAAAAAAAAAAGAQBZQgMAAAAAAAAABgcAWUEAAAAAAAAAAAcIAFlBAAAAAAAAAAAICQBZQgAAAAAAAAAACAoAWUEAAAAAAAAAAAoFAFlBAAAAAAAAAAAKCwBZQQAAAAAAAAAACwwAWUEAAAAAAAAAAAwNAFlBAAAAAAAAAAANDgBZQQAAAAAAAAAADg8AWUEAAAAAAAAAAA8KAFlBAAAAAAAAAAAAAAAAA==</t>
        </r>
      </text>
    </comment>
    <comment ref="A1099" authorId="0" shapeId="0" xr:uid="{9D00B7B5-24C1-4AE2-9556-CFC001902E6D}">
      <text>
        <r>
          <rPr>
            <sz val="9"/>
            <color indexed="81"/>
            <rFont val="MS P ゴシック"/>
            <family val="3"/>
            <charset val="128"/>
          </rPr>
          <t>Insight iXlW00001C0001099R0585476093S00002196P00948LAocjBAQBF1NjaVRlZ2ljLmRhdGEuTW9sZWN1bGUBbwF/ARJTY2lUZWdpYy5Nb2xlY3VsZQAAAQFkAv5qAQAAAAIAAjABEAAAAPz8APwAAgAAAAAAAPC/AtDVVuwvu/W/AjbNO07RkcQ/AAAAABgAAAD8/AD8AAIAAAAAAADwvwJhVFInoInkPwI2zTtO0ZHEPwAAAAAYAAAA/PwA/AACAAAAAAAA8L8CSp2AJsKG9j8C0bNZ9bna3r8AAAAAIAAAAPz8APwAAgAAAAAAAPC/AjxO0ZFc/gDAAtGzWfW52t6/AAAAACAAAAD8/AD8AAIAAAAAAADwvwI8TtGRXP4AwAKDwMqhRbbpPwAAAAAYAAAA/PwA/AACAAAAAAAA8L8CoKut2F92678C6Nms+lxt8D8AAAAAGAAAAPz8APwAAgAAAAAAAPC/AqCrrdhfduu/AjbNO07Rkea/AAAAACAAAAD8/AD8AAIAAAAAAADwvwKAt0CC4scCQAJ0tRX7y+7BvwAAAAAYAAAA/PwA/AACAAAAAAAA8L8Cg1FJnYAmwj8C6Nms+lxt8D8AAAAAGAAAAPz8APwAAgAAAAAAAPC/AoNRSZ2AJsI/AjbNO07Rkea/AAAAACAAAAD8/AD8AAIAAAAAAADwvwI6kst/SL/zPwLVCWgibHj3vwAAAAAYAAAA/PwA/AACAAAAAAAA8L8CSp2AJsKG9j8Cg8DKoUW26T8AAAAAMAQkAWUEAAAAAAAAAAAIBAFlBAAAAAAAAAAADAABZQgAAAAAAAAAABAAAWUIAAAAAAAAAAAUAAFlBAAAAAAAAAAAGAABZQQAAAAAAAAAABwIAWUIAAAAAAAAAAAgFAFlBAAAAAAAAAAAJBgBZQQAAAAAAAAAACgIAWUEAAAAAAAAAAAsBAFlBAAAAAAAAAAAIAQBZQQAAAAAAAAAAAAAAAA=</t>
        </r>
      </text>
    </comment>
    <comment ref="A1100" authorId="0" shapeId="0" xr:uid="{44D8448A-905A-4C6B-88D4-67DD76611863}">
      <text>
        <r>
          <rPr>
            <sz val="9"/>
            <color indexed="81"/>
            <rFont val="MS P ゴシック"/>
            <family val="3"/>
            <charset val="128"/>
          </rPr>
          <t>Insight iXlW00001C0001100R0585476093S00002198P00576LAocjBAQBF1NjaVRlZ2ljLmRhdGEuTW9sZWN1bGUBbwF/ARJTY2lUZWdpYy5Nb2xlY3VsZQAAAQFkAv5qAQAAAAIAAhwYAAAA/PwA/AACAAAAAAAA8L8CfIMvTKYK9T8CK6kT0ETY2D8AAAAAGAAAAPz8APwAAgAAAAAAAPC/AhHHuriNBtg/AnzysFBrmqc/AAAAABgAAAD8/AD8AAIAAAAAAADwvwKneccpOpLhPwKaKhiV1AnuvwAAAAAYAAAA/PwA/AACAAAAAAAA8L8CveMUHcnlv78Cq8/VVuwv7T8AAAAAGAAAAPz8APwAAgAAAAAAAPC/AnicoiO5/OO/AnzysFBrmqc/AAAAABwAAAD8/AD8AAIAAAAAAADwvwJ+rrZif9n3vwKx4emVsgzdvwAAAAABEQAAAPz8APwAAgAAAAAAAPC/AiQofoy56wBAAs1dS8gHPYu/AAAAABgABAFlBAAAAAAAAAAABAgBZQQAAAAAAAAAAAQMAWUEAAAAAAAAAAAMEAFlBAAAAAAAAAAAEAQBZQQAAAAAAAAAABAUAWUEAAAAAAAAAAAAAAAA</t>
        </r>
      </text>
    </comment>
    <comment ref="A1101" authorId="0" shapeId="0" xr:uid="{4E1BF52F-EFB2-4D1E-99F1-83579FC86EB6}">
      <text>
        <r>
          <rPr>
            <sz val="9"/>
            <color indexed="81"/>
            <rFont val="MS P ゴシック"/>
            <family val="3"/>
            <charset val="128"/>
          </rPr>
          <t>Insight iXlW00001C0001101R0585476093S00002200P00788LAocjBAQBF1NjaVRlZ2ljLmRhdGEuTW9sZWN1bGUBbwF/ARJTY2lUZWdpYy5Nb2xlY3VsZQAAAQFkAv5qAQAAAAIAAigcAAAA/PwA/AACAAAAAAAA8L8C4E+Nl24S/j8CzTtO0ZFc8T8AAAAAGAAAAPz8APwAAgAAAAAAAPC/Ai1DHOviNvA/Apt3nKIjueI/AAAAABgAAAD8/AD8AAIAAAAAAADwvwJZF7fRAN7CPwLNO07RkVzxPwAAAAAYAAAA/PwA/AACAAAAAAAA8L8CrfpcbcX+5r8Cm3ecoiO54j8AAAAAGAAAAPz8APwAAgAAAAAAAPC/Aq36XG3F/ua/AswQx7q4jdq/AAAAACQAAAD8/AD8AAIAAAAAAADwvwKcM6K0N/jwvwLqlbIMcaz1vwAAAAAkAAAA/PwA/AACAAAAAAAA8L8CNxrAWyBB+78CHcnlP6Tfzr8AAAAAGAAAAPz8APwAAgAAAAAAAPC/AlkXt9EA3sI/AmaIY13cRu2/AAAAABgAAAD8/AD8AAIAAAAAAADwvwItQxzr4jbwPwLMEMe6uI3avwAAAAABEQAAAPz8APwAAgAAAAAAAPC/AlYOLbKdbwVAAjcawFsgQcG/AAAAACQABAFlBAAAAAAAAAAABAgBZQQAAAAAAAAAAAgMAWUEAAAAAAAAAAAMEAFlBAAAAAAAAAAAEBQBZQQAAAAAAAAAABAYAWUEAAAAAAAAAAAQHAFlBAAAAAAAAAAAHCABZQQAAAAAAAAAACAEAWUEAAAAAAAAAAAAAAAA</t>
        </r>
      </text>
    </comment>
    <comment ref="A1102" authorId="0" shapeId="0" xr:uid="{8EF51296-449D-4364-B0E8-FF275CF29ACF}">
      <text>
        <r>
          <rPr>
            <sz val="9"/>
            <color indexed="81"/>
            <rFont val="MS P ゴシック"/>
            <family val="3"/>
            <charset val="128"/>
          </rPr>
          <t>Insight iXlW00001C0001102R0585476093S00002202P01272LAocjBAQBF1NjaVRlZ2ljLmRhdGEuTW9sZWN1bGUBbwF/ARJTY2lUZWdpYy5Nb2xlY3VsZQAAAQFkAv5qAQAAAAIAAgERHAAAAPz8APwAAgAAAAAAAPC/AsTTK2UZ4qi/AuJYF7fRAOQ/AAAAABgAAAD8/AD8AAIAAAAAAADwvwKMSuoENBHqvwJyio7k8h+SvwAAAAAYAAAA/PwA/AACAAAAAAAA8L8CxNMrZRniqL8CikFg5dAi5b8AAAAAGAAAAPz8APwAAgAAAAAAAPC/AjLmriXkg+w/Avyp8dJNYtS/AAAAABgAAAD8/AD8AAIAAAAAAADwvwIofoy5awnxPwKlvcEXJlPlPwAAAAAYAAAA/PwA/AACAAAAAAAA8L8Ct9EA3gIJAEACGJXUCWgi8D8AAAAAGAAAAPz8APwAAgAAAAAAAPC/AkSLbOf7KQZAAva52or9Zdc/AAAAABgAAAD8/AD8AAIAAAAAAADwvwK8BRIUP8YEQALH3LWEfNDjvwAAAAAcAAAA/PwA/AACAAAAAAAA8L8CMuauJeSD+j8CUkmdgCbC7r8AAAAAGAAAAPz8APwAAgAAAAAAAPC/AkYldQKaCPW/Atc07zhFR+y/AAAAABgAAAD8/AD8AAIAAAAAAADwvwKjkjoBTYQCwALXNO84RUfsvwAAAAAcAAAA/PwA/AACAAAAAAAA8L8Co5I6AU2EBsACcoqO5PIfkr8AAAAAGAAAAPz8APwAAgAAAAAAAPC/AqOSOgFNhALAAjBMpgpGJes/AAAAABgAAAD8/AD8AAIAAAAAAADwvwJGJXUCmgj1vwIwTKYKRiXrPwAAAAABEQAAAPz8APwAAgAAAAAAAPC/Aqrx0k1ikAxAAkoMAiuHFpm/AAAAAAERAAAA/PwA/AACAAAAAAAA8L8CY+5aQj5oEkACU5YhjnVxez8AAAAAAREAAAD8/AD8AAIAAAAAAADwvwINcayL26gWQAIJih9j7lqyPwAAAAA8AAQBZQQAAAAAAAAAAAQIAWUEAAAAAAAAAAAIDAFlBAAAAAAAAAAADBABZQgMAAAAAAAAABAUAWUEAAAAAAAAAAAUGAFlCAgAAAAAAAAAGBwBZQQAAAAAAAAAABwgAWUICAAAAAAAAAAgDAFlBAAAAAAAAAAABCQBZQQAAAAAAAAAACQoAWUEAAAAAAAAAAAoLAFlBAAAAAAAAAAALDABZQQAAAAAAAAAADA0AWUEAAAAAAAAAAA0BAFlBAAAAAAAAAAAAAAAAA==</t>
        </r>
      </text>
    </comment>
    <comment ref="A1103" authorId="0" shapeId="0" xr:uid="{35403A0B-5387-47A5-A35F-2F484D9F2519}">
      <text>
        <r>
          <rPr>
            <sz val="9"/>
            <color indexed="81"/>
            <rFont val="MS P ゴシック"/>
            <family val="3"/>
            <charset val="128"/>
          </rPr>
          <t>Insight iXlW00001C0001103R0585476093S00002204P01272LAocjBAQBF1NjaVRlZ2ljLmRhdGEuTW9sZWN1bGUBbwF/ARJTY2lUZWdpYy5Nb2xlY3VsZQAAAQFkAv5qAQAAAAIAAgERHAAAAPz8APwAAgAAAAAAAPC/AsTTK2UZ4qi/AuJYF7fRAOQ/AAAAABgAAAD8/AD8AAIAAAAAAADwvwKMSuoENBHqvwJyio7k8h+SvwAAAAAYAAAA/PwA/AACAAAAAAAA8L8CxNMrZRniqL8CikFg5dAi5b8AAAAAGAAAAPz8APwAAgAAAAAAAPC/AjLmriXkg+w/Avyp8dJNYtS/AAAAABgAAAD8/AD8AAIAAAAAAADwvwIy5q4l5IP6PwJSSZ2AJsLuvwAAAAAYAAAA/PwA/AACAAAAAAAA8L8CvAUSFD/GBEACx9y1hHzQ478AAAAAGAAAAPz8APwAAgAAAAAAAPC/AkSLbOf7KQZAAva52or9Zdc/AAAAABwAAAD8/AD8AAIAAAAAAADwvwK30QDeAgkAQAIYldQJaCLwPwAAAAAYAAAA/PwA/AACAAAAAAAA8L8CKH6MuWsJ8T8Cpb3BFyZT5T8AAAAAGAAAAPz8APwAAgAAAAAAAPC/AkYldQKaCPW/Atc07zhFR+y/AAAAABgAAAD8/AD8AAIAAAAAAADwvwKjkjoBTYQCwALXNO84RUfsvwAAAAAcAAAA/PwA/AACAAAAAAAA8L8Co5I6AU2EBsACcoqO5PIfkr8AAAAAGAAAAPz8APwAAgAAAAAAAPC/AqOSOgFNhALAAjBMpgpGJes/AAAAABgAAAD8/AD8AAIAAAAAAADwvwJGJXUCmgj1vwIwTKYKRiXrPwAAAAABEQAAAPz8APwAAgAAAAAAAPC/Aqrx0k1ikAxAAkoMAiuHFpm/AAAAAAERAAAA/PwA/AACAAAAAAAA8L8CY+5aQj5oEkACU5YhjnVxez8AAAAAAREAAAD8/AD8AAIAAAAAAADwvwINcayL26gWQAIJih9j7lqyPwAAAAA8AAQBZQQAAAAAAAAAAAQIAWUEAAAAAAAAAAAIDAFlBAAAAAAAAAAADBABZQgMAAAAAAAAABAUAWUEAAAAAAAAAAAUGAFlCAgAAAAAAAAAGBwBZQQAAAAAAAAAABwgAWUICAAAAAAAAAAgDAFlBAAAAAAAAAAABCQBZQQAAAAAAAAAACQoAWUEAAAAAAAAAAAoLAFlBAAAAAAAAAAALDABZQQAAAAAAAAAADA0AWUEAAAAAAAAAAA0BAFlBAAAAAAAAAAAAAAAAA==</t>
        </r>
      </text>
    </comment>
    <comment ref="A1104" authorId="0" shapeId="0" xr:uid="{45BC9B1F-ACFC-420B-A2ED-57577C64F33A}">
      <text>
        <r>
          <rPr>
            <sz val="9"/>
            <color indexed="81"/>
            <rFont val="MS P ゴシック"/>
            <family val="3"/>
            <charset val="128"/>
          </rPr>
          <t>Insight iXlW00001C0001104R0585476093S00002206P00824LAocjBAQBF1NjaVRlZ2ljLmRhdGEuTW9sZWN1bGUBbwF/ARJTY2lUZWdpYy5Nb2xlY3VsZQAAAQFkAv5qAQAAAAIAAigcAAAA/PwA/AACAAAAAAAA8L8CaQBvgQTF3z8CWoY41sVt4D8AAAAAGAAAAPz8APwAAgAAAAAAAPC/AmkAb4EExfO/AlqGONbFbeA/AAAAABgAAAD8/AD8AAIAAAAAAADwvwJpAG+BBMX7vwJuowG8BRL2PwAAAAAYAAAA/PwA/AACAAAAAAAA8L8CNYC3QILiAcACWoY41sVt4D8AAAAAGAAAAPz8APwAAgAAAAAAAPC/Ap6AJsKGp9e/AlOWIY51cYs/AAAAABgAAAD8/AD8AAIAAAAAAADwvwJcIEHxY8z1PwJTliGOdXGLPwAAAAAcAAAA/PwA/AACAAAAAAAA8L8CT0ATYcPTAUACWoY41sVt4D8AAAAAGAAAAPz8APwAAgAAAAAAAPC/Ap6AJsKGp9e/Aqd5xyk6ku+/AAAAABgAAAD8/AD8AAIAAAAAAADwvwJpAG+BBMXfPwLUvOMUHcn3vwAAAAAYAAAA/PwA/AACAAAAAAAA8L8CXCBB8WPM9T8Cp3nHKTqS778AAAAALAQQAWUEAAAAAAAAAAAIBAFlBAAAAAAAAAAADAQBZQQAAAAAAAAAABAAAWUEAAAAAAAAAAAUAAFlCAwAAAAAAAAAGBQBZQQAAAAAAAAAABwQAWUIDAAAAAAAAAAgJAFlCAgAAAAAAAAAJBQBZQQAAAAAAAAAACAcAWUEAAAAAAAAAAAMCAFlBAAAAAAAAAAAAAAAAA==</t>
        </r>
      </text>
    </comment>
    <comment ref="A1105" authorId="0" shapeId="0" xr:uid="{A7ABDEC8-EEA3-4663-B39B-61E154C46EFF}">
      <text>
        <r>
          <rPr>
            <sz val="9"/>
            <color indexed="81"/>
            <rFont val="MS P ゴシック"/>
            <family val="3"/>
            <charset val="128"/>
          </rPr>
          <t>Insight iXlW00001C0001105R0585476093S00002208P01016LAocjBAQBF1NjaVRlZ2ljLmRhdGEuTW9sZWN1bGUBbwF/ARJTY2lUZWdpYy5Nb2xlY3VsZQAAAQFkAv5qAQAAAAIAAjQcAAAA/PwA/AACAAAAAAAA8L8CseHplbIMsb8CtFn1udqKvT8AAAAAIAAAAPz8APwAAgAAAAAAAPC/AmgibHh6pfo/ArRZ9bnair0/AAAAABgAAAD8/AD8AAIAAAAAAADwvwJNhA1Pr5TpPwKTqYJRSZ3YvwAAAAAYAAAA/PwA/AACAAAAAAAA8L8Cnl4pyxDH/L8CtFn1udqKvT8AAAAAGAAAAPz8APwAAgAAAAAAAPC/Arr8h/Tb1+2/ApOpglFJndi/AAAAABgAAAD8/AD8AAIAAAAAAADwvwJoImx4eqX6PwKbVZ+rrdjxPwAAAAAgAAAA/PwA/AACAAAAAAAA8L8CqTXNO05RBcACk6mCUUmd2L8AAAAAJAAAAPz8APwAAgAAAAAAAPC/Ak2EDU+vlOk/ApxVn6ut2Pk/AAAAACQAAAD8/AD8AAIAAAAAAADwvwJVwaikTkAEQAKcVZ+rrdj5PwAAAAAgAAAA/PwA/AACAAAAAAAA8L8CEAu1pnnH/L8Cm1Wfq63Y8T8AAAAAGAAAAPz8APwAAgAAAAAAAPC/Ak2EDU+vlOk/AmWqYFRSJ/a/AAAAABgAAAD8/AD8AAIAAAAAAADwvwK6/If029ftvwJlqmBUUif2vwAAAAAYAAAA/PwA/AACAAAAAAAA8L8CseHplbIMsb8CZapgVFIn/r8AAAAANAQIAWUEAAAAAAAAAAAIAAFlBAAAAAAAAAAADBABZQQAAAAAAAAAABAAAWUIDAAAAAAAAAAUBAFlBAAAAAAAAAAAGAwBZQgAAAAAAAAAABwUAWUEAAAAAAAAAAAgFAFlBAAAAAAAAAAAJAwBZQQAAAAAAAAAACgIAWUIDAAAAAAAAAAsEAFlBAAAAAAAAAAAMCwBZQgIAAAAAAAAADAoAWUEAAAAAAAAAAAAAAAA</t>
        </r>
      </text>
    </comment>
    <comment ref="A1106" authorId="0" shapeId="0" xr:uid="{860D53C3-5068-4F23-83A4-A9D1D488F98C}">
      <text>
        <r>
          <rPr>
            <sz val="9"/>
            <color indexed="81"/>
            <rFont val="MS P ゴシック"/>
            <family val="3"/>
            <charset val="128"/>
          </rPr>
          <t>Insight iXlW00001C0001106R0585476093S00002210P01760LAocjBAQBF1NjaVRlZ2ljLmRhdGEuTW9sZWN1bGUBbwF/ARJTY2lUZWdpYy5Nb2xlY3VsZQAAAQFkAv5qAQAAAAIAAgEXGAAAAPz8APwAAgAAAAAAAPC/AuJ6FK5H4fu/Apjdk4eFWt8/AAAAABwAAAD8/AD8AAIAAAAAAADwvwJANV66SQzsvwICTYQNT6+EvwAAAAAYAAAA/PwA/AACAAAAAAAA8L8Cx0s3iUFg6z8Cmggbnl4p8L8AAAAAGAAAAPz8APwAAgAAAAAAAPC/Ailcj8L1KPM/AlLaG3xhMv+/AAAAACAAAAD8/AD8AAIAAAAAAADwvwLKw0Ktad4EwAICTYQNT6+EvwAAAAAgAAAA/PwA/AACAAAAAAAA8L8C4noUrkfh+78CZvfkYaHW9z8AAAAAGAAAAPz8APwAAgAAAAAAAPC/AsRCrWnecf0/AvhT46WbxOq/AAAAABgAAAD8/AD8AAIAAAAAAADwvwJANV66SQzsvwKaCBueXinwvwAAAAAYAAAA/PwA/AACAAAAAAAA8L8CGy/dJAaBhb8C1CtlGeJY3z8AAAAAGAAAAPz8APwAAgAAAAAAAPC/Ahsv3SQGgYW/ApoIG55eKfi/AAAAABgAAAD8/AD8AAIAAAAAAADwvwLHSzeJQWDrPwKIhVrTvOOEvwAAAAAcAAAA/PwA/AACAAAAAAAA8L8C9UpZhjhWCUACKssQx7q40T8AAAAAIAAAAPz8APwAAgAAAAAAAPC/Ar1SliGOdQFAArByaJHt/ADAAAAAABgAAAD8/AD8AAIAAAAAAADwvwLrc7UV+8sLwAKY3ZOHhVrfPwAAAAAYAAAA/PwA/AACAAAAAAAA8L8CvVKWIY51AUACs3vysFBruj8AAAAAIAAAAPz8APwAAgAAAAAAAPC/Av9D+u3rwOE/ArWmeccpugXAAAAAABgAAAD8/AD8AAIAAAAAAADwvwIYJlMFoxIMQAIRWDm0yHbzPwAAAAAYAAAA/PwA/AACAAAAAAAA8L8C63O1FfvLD8ACM1UwKqkT2L8AAAAAGAAAAPz8APwAAgAAAAAAAPC/AgYSFD/GXBHAAszuycNCre8/AAAAABgAAAD8/AD8AAIAAAAAAADwvwLrc7UV+8sHwAKoV8oyxLH1PwAAAAAYAAAA/PwA/AACAAAAAAAA8L8C4L4OnDOi+D8CqTXNO07R6z8AAAAAGAAAAPz8APwAAgAAAAAAAPC/AssyxLEu7gZAAirLEMe6uP8/AAAAABgAAAD8/AD8AAIAAAAAAADwvwK1yHa+nxr+PwIbwFsgQfH8PwAAAAABGAQAAWUEAAAAAAAAAAAIKAFlBAAAAAAAAAAADAgBZQQAAAAAAAAAABAAAWUEAAAAAAAAAAAUAAFlCAAAAAAAAAAAGAgBZQQAAAAAAAAAABwEAWUEAAAAAAAAAAAgBAFlBAAAAAAAAAAAJBwBZQQAAAAAAAAAACggAWUEAAAAAAAAAAAsOAFlBAAAAAAAAAAAMAwBZQgAAAAAAAAAADQQAWUEAAAAAAAAAAA4GAFlBAAAAAAAAAAAPAwBZQQAAAAAAAAAAAEQLAFlCAgAAAAAAAAAARE0AWUEAAAAAAAAAAABEjQBZQQAAAAAAAAAAAETNAFlBAAAAAAAAAAAARQ4AWUICAAAAAAAAAABFQEWAWUICAAAAAAAAAABFgEUAWUEAAAAAAAAAAAkCAFlBAAAAAAAAAAAARABFQFlBAAAAAAAAAAAAAAAAA==</t>
        </r>
      </text>
    </comment>
    <comment ref="A1107" authorId="0" shapeId="0" xr:uid="{64050380-E4FA-453F-9BB9-FDF37F129E54}">
      <text>
        <r>
          <rPr>
            <sz val="9"/>
            <color indexed="81"/>
            <rFont val="MS P ゴシック"/>
            <family val="3"/>
            <charset val="128"/>
          </rPr>
          <t>Insight iXlW00001C0001107R0585476093S00002212P01104LAocjBAQBF1NjaVRlZ2ljLmRhdGEuTW9sZWN1bGUBbwF/ARJTY2lUZWdpYy5Nb2xlY3VsZQAAAQFkAv5qAQAAAAIAAjgYAAAA/PwA/AACAAAAAAAA8L8CqMZLN4lB9j8C3UYDeAskwD8AAAAAHAAAAPz8APwAAgAAAAAAAPC/At21hHzQs+k/AmAHzhlR2uW/AAAAABwAAAD8/AD8AAIAAAAAAADwvwIDCYofY+7CvwKSXP5D+u3XvwAAAAAYAAAA/PwA/AACAAAAAAAA8L8CAwmKH2Puwr8Ct9EA3gIJ5D8AAAAAGAAAAPz8APwAAgAAAAAAAPC/At21hHzQs+k/As6qz9VW7O0/AAAAABgAAAD8/AD8AAIAAAAAAADwvwJU46WbxCADQALdRgN4CyTAPwAAAAAgAAAA/PwA/AACAAAAAAAA8L8CYqHWNO848L8C3GgAb4EE8j8AAAAAGAAAAPz8APwAAgAAAAAAAPC/AmKh1jTvOPC/Akku/yH99uu/AAAAABgAAAD8/AD8AAIAAAAAAADwvwKkAbwFEhT+vwKSXP5D+u3XvwAAAAAgAAAA/PwA/AACAAAAAAAA8L8CVOOlm8QgB0ACHeviNhrA7z8AAAAAGAAAAPz8APwAAgAAAAAAAPC/AqQBvAUSFP6/ArfRAN4CCeQ/AAAAACAAAAD8/AD8AAIAAAAAAADwvwJU46WbxCAHQALM7snDQq3nvwAAAAAYAAAA/PwA/AACAAAAAAAA8L8CLbKd76fGAcACa7x0kxgE9b8AAAAAGAAAAPz8APwAAgAAAAAAAPC/AkLPZtXn6gbAAqtgVFInoMm/AAAAADwEAAFlCAgAAAAAAAAACAQBZQQAAAAAAAAAAAwQAWUIDAAAAAAAAAAQAAFlBAAAAAAAAAAAFAABZQQAAAAAAAAAABgMAWUEAAAAAAAAAAAcCAFlBAAAAAAAAAAAIBwBZQQAAAAAAAAAACQUAWUIAAAAAAAAAAAoGAFlBAAAAAAAAAAALBQBZQQAAAAAAAAAADAgAWUEAAAAAAAAAAA0IAFlBAAAAAAAAAAACAwBZQQAAAAAAAAAACAoAWUEAAAAAAAAAAAAAAAA</t>
        </r>
      </text>
    </comment>
    <comment ref="A1108" authorId="0" shapeId="0" xr:uid="{5E9A5B3D-7133-49A5-998A-8966BF6A0A2C}">
      <text>
        <r>
          <rPr>
            <sz val="9"/>
            <color indexed="81"/>
            <rFont val="MS P ゴシック"/>
            <family val="3"/>
            <charset val="128"/>
          </rPr>
          <t>Insight iXlW00001C0001108R0585476093S00002214P00876LAocjBAQBF1NjaVRlZ2ljLmRhdGEuTW9sZWN1bGUBbwF/ARJTY2lUZWdpYy5Nb2xlY3VsZQAAAQFkAv5qAQAAAAIAAiwcAAAA/PwA/AACAAAAAAAA8L8CBhIUP8bc9z8C/Rhz1xLy8D8AAAAAGAAAAPz8APwAAgAAAAAAAPC/AsE5I0p7g+U/AuBPjZduEt8/AAAAABgAAAD8/AD8AAIAAAAAAADwvwIGo5I6AU3oPwKBJsKGp1fgvwAAAAAYAAAA/PwA/AACAAAAAAAA8L8CPN9PjZduyr8COrTIdr6f6L8AAAAAGAAAAPz8APwAAgAAAAAAAPC/AusENBE2PO2/At9xio7k8q+/AAAAABgAAAD8/AD8AAIAAAAAAADwvwJ2ApoIG57+vwLfcYqO5PKvvwAAAAAYAAAA/PwA/AACAAAAAAAA8L8CdgKaCBue/r8C41gXt9EA7j8AAAAAGAAAAPz8APwAAgAAAAAAAPC/AusENBE2PO2/AuNYF7fRAO4/AAAAABgAAAD8/AD8AAIAAAAAAADwvwIooImw4enyPwJ56SYxCKz2vwAAAAAYAAAA/PwA/AACAAAAAAAA8L8Cu7iNBvAW/D8CxY8xdy0h478AAAAAAREAAAD8/AD8AAIAAAAAAADwvwLEQq1p3nEEQAK38/3UeOnGvwAAAAAsAAQBZQQAAAAAAAAAAAQIAWUEAAAAAAAAAAAIDAFlBAAAAAAAAAAADBABZQQAAAAAAAAAABAUAWUEAAAAAAAAAAAUGAFlBAAAAAAAAAAAGBwBZQQAAAAAAAAAABwQAWUEAAAAAAAAAAAIIAFlBAAAAAAAAAAAICQBZQQAAAAAAAAAACQIAWUEAAAAAAAAAAAAAAAA</t>
        </r>
      </text>
    </comment>
    <comment ref="A1109" authorId="0" shapeId="0" xr:uid="{2E915E23-8B2B-4291-BF5D-16CF6B430FF3}">
      <text>
        <r>
          <rPr>
            <sz val="9"/>
            <color indexed="81"/>
            <rFont val="MS P ゴシック"/>
            <family val="3"/>
            <charset val="128"/>
          </rPr>
          <t>Insight iXlW00001C0001109R0585476093S00002216P01180LAocjBAQBF1NjaVRlZ2ljLmRhdGEuTW9sZWN1bGUBbwF/ARJTY2lUZWdpYy5Nb2xlY3VsZQAAAQFkAv5qAQAAAAIAAjwYAAAA/PwA/AACAAAAAAAA8L8CjSjtDb4wAsACcM6I0t7gwz8AAAAAGAAAAPz8APwAAgAAAAAAAPC/AiIf9GxWffi/AuLplbIMceC/AAAAABgAAAD8/AD8AAIAAAAAAADwvwIHX5hMFYzivwKl374OnDPKvwAAAAAYAAAA/PwA/AACAAAAAAAA8L8CescpOpLL178CrD5XW7G/6D8AAAAAGAAAAPz8APwAAgAAAAAAAPC/Amb35GGh1vG/AhWuR+F6FPc/AAAAABwAAAD8/AD8AAIAAAAAAADwvwK7SQwCK4cAwAKJQWDl0CLyPwAAAAAgAAAA/PwA/AACAAAAAAAA8L8C+THmriXk5b8CHHxhMlUw878AAAAAGAAAAPz8APwAAgAAAAAAAPC/AsdLN4lBYM0/AqhXyjLEsfm/AAAAABgAAAD8/AD8AAIAAAAAAADwvwKOl24Sg8DsPwJApN++DpzrvwAAAAAYAAAA/PwA/AACAAAAAAAA8L8Cx0s3iUFg/j8CQKTfvg6c678AAAAAGAAAAPz8APwAAgAAAAAAAPC/AuSlm8QgMANAAi1DHOviNmo/AAAAABgAAAD8/AD8AAIAAAAAAADwvwLHSzeJQWD+PwLH3LWEfNDrPwAAAAAYAAAA/PwA/AACAAAAAAAA8L8CjpduEoPA7D8Cx9y1hHzQ6z8AAAAAGAAAAPz8APwAAgAAAAAAAPC/Ahsv3SQGgdk/Ai1DHOviNmo/AAAAAAERAAAA/PwA/AACAAAAAAAA8L8CSgwCK4eWCUACmUwVjErqtL8AAAAAARAABAFlBAAAAAAAAAAABAgBZQQAAAAAAAAAAAgMAWUEAAAAAAAAAAAMEAFlBAAAAAAAAAAAEBQBZQQAAAAAAAAAABQAAWUEAAAAAAAAAAAIGAFlBAAAAAAAAAAAGBwBZQQAAAAAAAAAABwgAWUEAAAAAAAAAAAgJAFlCAwAAAAAAAAAJCgBZQQAAAAAAAAAACgsAWUICAAAAAAAAAAsMAFlBAAAAAAAAAAAMDQBZQgMAAAAAAAAADQIAWUEAAAAAAAAAAA0IAFlBAAAAAAAAAAAAAAAAA==</t>
        </r>
      </text>
    </comment>
    <comment ref="A1110" authorId="0" shapeId="0" xr:uid="{F5D9A576-8384-4A4C-AD29-59E641B8044F}">
      <text>
        <r>
          <rPr>
            <sz val="9"/>
            <color indexed="81"/>
            <rFont val="MS P ゴシック"/>
            <family val="3"/>
            <charset val="128"/>
          </rPr>
          <t>Insight iXlW00001C0001110R0585476093S00002218P01432LAocjBAQBF1NjaVRlZ2ljLmRhdGEuTW9sZWN1bGUBbwF/ARJTY2lUZWdpYy5Nb2xlY3VsZQAAAQFkAv5qAQAAAAIAAgETHAAAAPz8APwAAgAAAAAAAPC/AkVpb/CFydS/AlMnoImw4fI/AAAAABgAAAD8/AD8AAIAAAAAAADwvwL5oGez6nPxvwJvgQTFjzHhPwAAAAAYAAAA/PwA/AACAAAAAAAA8L8C+aBns+pz+b8CKH6MuWsJ1b8AAAAAGAAAAPz8APwAAgAAAAAAAPC/An3Qs1n1uQTAAih+jLlrCdW/AAAAABwAAAD8/AD8AAIAAAAAAADwvwJ90LNZ9bkIwAJvgQTFjzHhPwAAAAAYAAAA/PwA/AACAAAAAAAA8L8CfdCzWfW5BMAC+aBns+pz9j8AAAAAGAAAAPz8APwAAgAAAAAAAPC/AvmgZ7Pqc/m/AvmgZ7Pqc/Y/AAAAABgAAAD8/AD8AAIAAAAAAADwvwJFaW/whcnUvwIll/+Qfvu6vwAAAAAYAAAA/PwA/AACAAAAAAAA8L8CveMUHcnl378CU5YhjnVx8b8AAAAAGAAAAPz8APwAAgAAAAAAAPC/AuM2GsBbINE/Au58PzVeuvu/AAAAABgAAAD8/AD8AAIAAAAAAADwvwJwXwfOGVHzPwKoxks3iUH2vwAAAAAYAAAA/PwA/AACAAAAAAAA8L8CDr4wmSoY9j8CHqfoSC7/2b8AAAAAGAAAAPz8APwAAgAAAAAAAPC/AszuycNCreM/ApvmHafoSM4/AAAAABgAAAD8/AD8AAIAAAAAAADwvwLjx5i7lpACQAIeOGdEaW+wvwAAAAAkAAAA/PwA/AACAAAAAAAA8L8CgNk9eVio/z8Ca7x0kxgE7D8AAAAAJAAAAPz8APwAAgAAAAAAAPC/Ar4wmSoYFQpAAg8LtaZ5x9E/AAAAACQAAAD8/AD8AAIAAAAAAADwvwIGo5I6AU0FQAI5RUdy+Q/wvwAAAAABEQAAAPz8APwAAgAAAAAAAPC/ApLLf0i/PRBAArXIdr6fGse/AAAAAAERAAAA/PwA/AACAAAAAAAA8L8CIUHxY8xdFEACeXqlLEMcw78AAAAAARIABAFlBAAAAAAAAAAABAgBZQQAAAAAAAAAAAgMAWUEAAAAAAAAAAAMEAFlBAAAAAAAAAAAEBQBZQQAAAAAAAAAABQYAWUEAAAAAAAAAAAYBAFlBAAAAAAAAAAABBwBZQQAAAAAAAAAABwgAWUEAAAAAAAAAAAgJAFlCAgAAAAAAAAAJCgBZQQAAAAAAAAAACgsAWUICAAAAAAAAAAsMAFlBAAAAAAAAAAAMBwBZQgMAAAAAAAAACw0AWUEAAAAAAAAAAA0OAFlBAAAAAAAAAAANDwBZQQAAAAAAAAAADQBEAFlBAAAAAAAAAAAAAAAAA==</t>
        </r>
      </text>
    </comment>
    <comment ref="A1111" authorId="0" shapeId="0" xr:uid="{5C43AE81-1BAA-4C37-B243-04A797614A8D}">
      <text>
        <r>
          <rPr>
            <sz val="9"/>
            <color indexed="81"/>
            <rFont val="MS P ゴシック"/>
            <family val="3"/>
            <charset val="128"/>
          </rPr>
          <t>Insight iXlW00001C0001111R0585476093S00002220P01432LAocjBAQBF1NjaVRlZ2ljLmRhdGEuTW9sZWN1bGUBbwF/ARJTY2lUZWdpYy5Nb2xlY3VsZQAAAQFkAv5qAQAAAAIAAgETHAAAAPz8APwAAgAAAAAAAPC/Amb35GGh1vC/AvRsVn2utvU/AAAAABgAAAD8/AD8AAIAAAAAAADwvwKsrdhfdk/2vwL0bFZ9rrbaPwAAAAAYAAAA/PwA/AACAAAAAAAA8L8CrK3YX3ZP9r8ChslUwaik4r8AAAAAGAAAAPz8APwAAgAAAAAAAPC/AvcGX5hMFQLAAsNkqmBUUvG/AAAAABwAAAD8/AD8AAIAAAAAAADwvwJQjZduEgMJwAKGyVTBqKTivwAAAAAYAAAA/PwA/AACAAAAAAAA8L8CUI2XbhIDCcAC9GxWfa622j8AAAAAGAAAAPz8APwAAgAAAAAAAPC/AvcGX5hMFQLAAno2qz5XW+0/AAAAABgAAAD8/AD8AAIAAAAAAADwvwItQxzr4jbavwL45GGh1jTPPwAAAAAYAAAA/PwA/AACAAAAAAAA8L8Cfq62Yn/ZzT8CRwN4CyQo8D8AAAAAGAAAAPz8APwAAgAAAAAAAPC/ArByaJHtfPM/AlJJnYAmwuo/AAAAABgAAAD8/AD8AAIAAAAAAADwvwL2KFyPwvX4PwLm0CLb+X66vwAAAAAYAAAA/PwA/AACAAAAAAAA8L8CtoR80LNZ7T8CT0ATYcPT678AAAAAGAAAAPz8APwAAgAAAAAAAPC/AlmoNc07TrG/AjEqqRPQROa/AAAAABgAAAD8/AD8AAIAAAAAAADwvwLr4jYawFsEQAJ24JwRpb3RvwAAAAAkAAAA/PwA/AACAAAAAAAA8L8COpLLf0i/BUACaCJseHql5j8AAAAAJAAAAPz8APwAAgAAAAAAAPC/Alyxv+yePAxAAu9aQj7o2dy/AAAAACQAAAD8/AD8AAIAAAAAAADwvwJkXdxGA/gCQAL+1HjpJjH0vwAAAAABEQAAAPz8APwAAgAAAAAAAPC/AuELk6mCURFAAvyp8dJNYqA/AAAAAAERAAAA/PwA/AACAAAAAAAA8L8Cb4EExY9xFUACdnEbDeAtsD8AAAAAARIABAFlBAAAAAAAAAAABAgBZQQAAAAAAAAAAAgMAWUEAAAAAAAAAAAMEAFlBAAAAAAAAAAAEBQBZQQAAAAAAAAAABQYAWUEAAAAAAAAAAAYBAFlBAAAAAAAAAAABBwBZQQAAAAAAAAAABwgAWUIDAAAAAAAAAAgJAFlBAAAAAAAAAAAJCgBZQgIAAAAAAAAACgsAWUEAAAAAAAAAAAsMAFlCAgAAAAAAAAAMBwBZQQAAAAAAAAAACg0AWUEAAAAAAAAAAA0OAFlBAAAAAAAAAAANDwBZQQAAAAAAAAAADQBEAFlBAAAAAAAAAAAAAAAAA==</t>
        </r>
      </text>
    </comment>
    <comment ref="A1112" authorId="0" shapeId="0" xr:uid="{87C106A0-CB31-4C8A-8375-C52262B0C807}">
      <text>
        <r>
          <rPr>
            <sz val="9"/>
            <color indexed="81"/>
            <rFont val="MS P ゴシック"/>
            <family val="3"/>
            <charset val="128"/>
          </rPr>
          <t>Insight iXlW00001C0001112R0585476093S00002222P01232LAocjBAQBF1NjaVRlZ2ljLmRhdGEuTW9sZWN1bGUBbwF/ARJTY2lUZWdpYy5Nb2xlY3VsZQAAAQFkAv5qAQAAAAIAAgEQGAAAAPz8APwAAgAAAAAAAPC/As1dS8gHPfC/Aq7YX3ZPHs4/AAAAABwAAAD8/AD8AAIAAAAAAADwvwIy5q4l5IOOvwKu2F92Tx7OPwAAAAAgAAAA/PwA/AACAAAAAAAA8L8CzV1LyAc9+L8CWMoyxLEu5L8AAAAAIAAAAPz8APwAAgAAAAAAAPC/As1dS8gHPfi/Aldbsb/snvE/AAAAABgAAAD8/AD8AAIAAAAAAADwvwLPiNLe4AvfPwJYyjLEsS7kvwAAAAAYAAAA/PwA/AACAAAAAAAA8L8Cz4jS3uAL3z8CV1uxv+ye8T8AAAAAGAAAAPz8APwAAgAAAAAAAPC/AjSitDf4wv8/Aq7YX3ZPHs4/AAAAABgAAAD8/AD8AAIAAAAAAADwvwLmriXkgx4EwAJYyjLEsS7kvwAAAAAYAAAA/PwA/AACAAAAAAAA8L8CNKK0N/jC9z8CV1uxv+ye8T8AAAAAGAAAAPz8APwAAgAAAAAAAPC/AjSitDf4wvc/AljKMsSxLuS/AAAAABwAAAD8/AD8AAIAAAAAAADwvwKCc0aU9oYNQAL4U+Olm8SwvwAAAAAYAAAA/PwA/AACAAAAAAAA8L8CpwpGJXUCBkACFa5H4XoU2r8AAAAAGAAAAPz8APwAAgAAAAAAAPC/AqcKRiV1AgZAAmHD0ytlGew/AAAAABgAAAD8/AD8AAIAAAAAAADwvwLmriXkgx4EwAIsZRniWBf6vwAAAAAYAAAA/PwA/AACAAAAAAAA8L8C564l5IMeDMACWMoyxLEu5L8AAAAAGAAAAPz8APwAAgAAAAAAAPC/AuauJeSDHgTAAlFrmnecotc/AAAAAAEQBAABZQQAAAAAAAAAAAgAAWUEAAAAAAAAAAAMAAFlCAAAAAAAAAAAEAQBZQQAAAAAAAAAABQEAWUEAAAAAAAAAAAYIAFlBAAAAAAAAAAAHAgBZQQAAAAAAAAAACAUAWUEAAAAAAAAAAAkEAFlBAAAAAAAAAAAKCwBZQQAAAAAAAAAACwYAWUEAAAAAAAAAAAwGAFlBAAAAAAAAAAANBwBZQQAAAAAAAAAADgcAWUEAAAAAAAAAAA8HAFlBAAAAAAAAAAAJBgBZQQAAAAAAAAAAAAAAAA=</t>
        </r>
      </text>
    </comment>
    <comment ref="A1113" authorId="0" shapeId="0" xr:uid="{D2FFAFFA-DE73-48AA-9EF9-0CF70EC4A746}">
      <text>
        <r>
          <rPr>
            <sz val="9"/>
            <color indexed="81"/>
            <rFont val="MS P ゴシック"/>
            <family val="3"/>
            <charset val="128"/>
          </rPr>
          <t>Insight iXlW00001C0001113R0585476093S00002224P01684LAocjBAQBF1NjaVRlZ2ljLmRhdGEuTW9sZWN1bGUBbwF/ARJTY2lUZWdpYy5Nb2xlY3VsZQAAAQFkAv5qAQAAAAIAAgEWGAAAAPz8APwAAgAAAAAAAPC/ArIubqMBvPE/AkA1XrpJDMq/AAAAABwAAAD8/AD8AAIAAAAAAADwvwJcIEHxY8zdPwIAAAAAAADiPwAAAAAgAAAA/PwA/AACAAAAAAAA8L8CyeU/pN++AEACdgKaCBuenr8AAAAAHAAAAPz8APwAAgAAAAAAAPC/AmU730+Nl/K/AgU0ETY8PQlAAAAAABwAAAD8/AD8AAIAAAAAAADwvwLy0k1iENgAwAJuowG8BRL1vwAAAAAgAAAA/PwA/AACAAAAAAAA8L8C2fD0SlmG6D8CX5hMFYxK8r8AAAAAGAAAAPz8APwAAgAAAAAAAPC/AmU730+Nl/K/AgpoImx4evI/AAAAABgAAAD8/AD8AAIAAAAAAADwvwIX2c73U+MFQAJkXdxGA3jpvwAAAAAYAAAA/PwA/AACAAAAAAAA8L8Ck6mCUUmd4L8CxNMrZRni2D8AAAAAGAAAAPz8APwAAgAAAAAAAPC/AgAi/fZ14Py/AsTTK2UZ4tg/AAAAABgAAAD8/AD8AAIAAAAAAADwvwK6awn5oGf3vwKrYFRSJ6DhvwAAAAAYAAAA/PwA/AACAAAAAAAA8L8C001iEFg5AMACBTQRNjw9BUAAAAAAGAAAAPz8APwAAgAAAAAAAPC/Aoxs5/up8dK/AgU0ETY8PQVAAAAAABgAAAD8/AD8AAIAAAAAAADwvwKe76fGSzf8vwJaZDvfTw0CwAAAAAAYAAAA/PwA/AACAAAAAAAA8L8CjGzn+6nx0r8CCmgibHh6+j8AAAAAGAAAAPz8APwAAgAAAAAAAPC/AtNNYhBYOQDAAgpoImx4evo/AAAAABgAAAD8/AD8AAIAAAAAAADwvwJrvHSTGAQMQAK4QILix5jDvwAAAAAYAAAA/PwA/AACAAAAAAAA8L8CZMxdS8gHC0ACy6FFtvP9+L8AAAAAGAAAAPz8APwAAgAAAAAAAPC/AobrUbgehf8/Ak0VjErqBPe/AAAAABgAAAD8/AD8AAIAAAAAAADwvwJlO99PjZfevwLJdr6fGi/nvwAAAAAYAAAA/PwA/AACAAAAAAAA8L8Ce6UsQxzr6L8C4umVsgxxA8AAAAAAGAAAAPz8APwAAgAAAAAAAPC/AhNhw9MrZcG/AhwN4C2QoPq/AAAAAAEXBAABZQQAAAAAAAAAAAgAAWUEAAAAAAAAAAAMLAFlBAAAAAAAAAAAECgBZQQAAAAAAAAAABQAAWUIAAAAAAAAAAAYIAFlBAAAAAAAAAAAHAgBZQQAAAAAAAAAACAEAWUEAAAAAAAAAAAkGAFlBAAAAAAAAAAAKCQBZQQAAAAAAAAAACw8AWUEAAAAAAAAAAAwOAFlBAAAAAAAAAAANBABZQgIAAAAAAAAADgYAWUEAAAAAAAAAAA8GAFlBAAAAAAAAAAAARAcAWUEAAAAAAAAAAABERwBZQQAAAAAAAAAAAESHAFlBAAAAAAAAAAAARMoAWUICAAAAAAAAAABFAEVAWUICAAAAAAAAAABFQETAWUEAAAAAAAAAAAMMAFlBAAAAAAAAAAANAEUAWUEAAAAAAAAAAAAAAAA</t>
        </r>
      </text>
    </comment>
    <comment ref="A1114" authorId="0" shapeId="0" xr:uid="{9A1CD6BB-7398-46F4-B4A8-F14E594423DF}">
      <text>
        <r>
          <rPr>
            <sz val="9"/>
            <color indexed="81"/>
            <rFont val="MS P ゴシック"/>
            <family val="3"/>
            <charset val="128"/>
          </rPr>
          <t>Insight iXlW00001C0001114R0585476093S00002226P01196LAocjBAQBF1NjaVRlZ2ljLmRhdGEuTW9sZWN1bGUBbwF/ARJTY2lUZWdpYy5Nb2xlY3VsZQAAAQFkAv5qAQAAAAIAAjwYAAAA/PwA/AACAAAAAAAA8L8ChslUwaik+T8ClrIMcayLm78AAAAAHAAAAPz8APwAAgAAAAAAAPC/AqwcWmQ73+0/AnulLEMc6+Y/AAAAABwAAAD8/AD8AAIAAAAAAADwvwK+MJkqGJWUPwI+eVioNc3TPwAAAAAYAAAA/PwA/AACAAAAAAAA8L8CrBxaZDvfvz8C7FG4HoXr5b8AAAAAGAAAAPz8APwAAgAAAAAAAPC/AobJVMGopPE/Avp+arx0k+y/AAAAABgAAAD8/AD8AAIAAAAAAADwvwKeXinLEMcEQALoaiv2l92zPwAAAAAgAAAA/PwA/AACAAAAAAAA8L8CgZVDi2zn5b8CsJRliGNd9L8AAAAAGAAAAPz8APwAAgAAAAAAAPC/AoPix5i7luy/AnulLEMc6+Y/AAAAABgAAAD8/AD8AAIAAAAAAADwvwI+CtejcD37vwKmm8QgsHLAPwAAAAAgAAAA/PwA/AACAAAAAAAA8L8C1XjpJjEICEACSHL5D+m37z8AAAAAGAAAAPz8APwAAgAAAAAAAPC/AsUgsHJokfm/AoPAyqFFtuu/AAAAACAAAAD8/AD8AAIAAAAAAADwvwJ7FK5H4XoJQAK6awn5oGfnvwAAAAAYAAAA/PwA/AACAAAAAAAA8L8Cg+LHmLsWBcACYHZPHhZqzb8AAAAAGAAAAPz8APwAAgAAAAAAAPC/Aj/G3LWEfADAAjxO0ZFc/vA/AAAAABgAAAD8/AD8AAIAAAAAAADwvwKjI7n8h/QHwAL2l92Th4XmPwAAAAABEQQAAWUICAAAAAAAAAAIBAFlBAAAAAAAAAAADBABZQgMAAAAAAAAABAAAWUEAAAAAAAAAAAUAAFlBAAAAAAAAAAAGAwBZQQAAAAAAAAAABwIAWUEAAAAAAAAAAAgHAFlBAAAAAAAAAAAJBQBZQgAAAAAAAAAACgYAWUEAAAAAAAAAAAsFAFlBAAAAAAAAAAAMCABZQQAAAAAAAAAADQgAWUEAAAAAAAAAAA4NAFlBAAAAAAAAAAACAwBZQQAAAAAAAAAACAoAWUEAAAAAAAAAAAwOAFlBAAAAAAAAAAAAAAAAA==</t>
        </r>
      </text>
    </comment>
    <comment ref="A1115" authorId="0" shapeId="0" xr:uid="{09995C69-2ECA-4EA3-A2FB-B53D630C24CE}">
      <text>
        <r>
          <rPr>
            <sz val="9"/>
            <color indexed="81"/>
            <rFont val="MS P ゴシック"/>
            <family val="3"/>
            <charset val="128"/>
          </rPr>
          <t>Insight iXlW00001C0001115R0585476093S00002228P01236LAocjBAQBF1NjaVRlZ2ljLmRhdGEuTW9sZWN1bGUBbwF/ARJTY2lUZWdpYy5Nb2xlY3VsZQAAAQFkAv5qAQAAAAIAAgEQHAAAAPz8APwAAgAAAAAAAPC/AlJJnYAmwgJAAintDb4wmfO/AAAAABgAAAD8/AD8AAIAAAAAAADwvwLQ1VbsLzsFQAJnRGlv8IXRvwAAAAAYAAAA/PwA/AACAAAAAAAA8L8C4ZwRpb3B/z8CfIMvTKYK3j8AAAAAGAAAAPz8APwAAgAAAAAAAPC/ArRZ9bnaigFAAilcj8L1KPc/AAAAABwAAAD8/AD8AAIAAAAAAADwvwK1pnnHKTr1PwIpXI/C9Sj/PwAAAAAYAAAA/PwA/AACAAAAAAAA8L8CW0I+6Nms4j8Cak3zjlN09D8AAAAAHAAAAPz8APwAAgAAAAAAAPC/AjerPldbse8/Apjdk4eFWtc/AAAAABgAAAD8/AD8AAIAAAAAAADwvwKppE5AE2HfPwK30QDeAgngvwAAAAAYAAAA/PwA/AACAAAAAAAA8L8CrK3YX3ZP4L8Ct9EA3gIJ4L8AAAAAGAAAAPz8APwAAgAAAAAAAPC/AtZW7C+7J/C/Ah3J5T+k3/W/AAAAABgAAAD8/AD8AAIAAAAAAADwvwIzVTAqqRMAwAKOdXEbDeD1vwAAAAAYAAAA/PwA/AACAAAAAAAA8L8CM1UwKqkTBMACt9EA3gIJ4L8AAAAAAREAAAD8/AD8AAIAAAAAAADwvwIzVTAqqRMMwAK30QDeAgngvwAAAAAYAAAA/PwA/AACAAAAAAAA8L8CM1UwKqkTAMACmN2Th4Va1z8AAAAAGAAAAPz8APwAAgAAAAAAAPC/AmWqYFRSJ/C/Apjdk4eFWtc/AAAAAAERAAAA/PwA/AACAAAAAAAA8L8CNjy9UpahC0ACVHQkl/+Q0j8AAAAAARAABAFlBAAAAAAAAAAABAgBZQQAAAAAAAAAAAgMAWUIDAAAAAAAAAAMEAFlBAAAAAAAAAAAEBQBZQgIAAAAAAAAABQYAWUEAAAAAAAAAAAYCAFlBAAAAAAAAAAAGBwBZQQAAAAAAAAAABwgAWUEAAAAAAAAAAAgJAFlCAwAAAAAAAAAJCgBZQQAAAAAAAAAACgsAWUIDAAAAAAAAAAsMAFlBAAAAAAAAAAALDQBZQQAAAAAAAAAADQ4AWUICAAAAAAAAAA4IAFlBAAAAAAAAAAAAAAAAA==</t>
        </r>
      </text>
    </comment>
    <comment ref="A1116" authorId="0" shapeId="0" xr:uid="{301EF8A8-472F-4635-9845-F868E767ED3F}">
      <text>
        <r>
          <rPr>
            <sz val="9"/>
            <color indexed="81"/>
            <rFont val="MS P ゴシック"/>
            <family val="3"/>
            <charset val="128"/>
          </rPr>
          <t>Insight iXlW00001C0001116R0585476093S00002230P00892LAocjBAQBF1NjaVRlZ2ljLmRhdGEuTW9sZWN1bGUBbwF/ARJTY2lUZWdpYy5Nb2xlY3VsZQAAAQFkAv5qAQAAAAIAAiwYAAAA/PwA/AACAAAAAAAA8L8CSp2AJsKG6z8Ci/1l9+Rh2b8AAAAAHAAAAPz8APwAAgAAAAAAAPC/AhUdyeU/pOE/AnbgnBGlveE/AAAAABwAAAD8/AD8AAIAAAAAAADwvwKlTkATYcP9PwJPr5RliGPZvwAAAAAYAAAA/PwA/AACAAAAAAAA8L8C0bNZ9blaAUACduCcEaW94T8AAAAAGAAAAPz8APwAAgAAAAAAAPC/AqVOQBNhw/U/AvXb14FzRvI/AAAAABgAAAD8/AD8AAIAAAAAAADwvwISNjy9UpbZvwKNuWsJ+aDrPwAAAAAcAAAA/PwA/AACAAAAAAAA8L8CrYvbaABv0T8C7uvAOSNK878AAAAAGAAAAPz8APwAAgAAAAAAAPC/AgyTqYJRSfK/AjtwzojS3sg/AAAAABgAAAD8/AD8AAIAAAAAAADwvwIijnVxG40BwAKq8dJNYhDovwAAAAAYAAAA/PwA/AACAAAAAAAA8L8CcoqO5PIf878CduCcEaW96b8AAAAAGAAAAPz8APwAAgAAAAAAAPC/AqfoSC7/IQHAAuPHmLuWkM8/AAAAADAEAAFlBAAAAAAAAAAACAABZQgIAAAAAAAAAAwIAWUEAAAAAAAAAAAQBAFlBAAAAAAAAAAAFAQBZQQAAAAAAAAAABgAAWUEAAAAAAAAAAAcFAFlBAAAAAAAAAAAICgBZQQAAAAAAAAAACQcAWUEAAAAAAAAAAAoHAFlBAAAAAAAAAAAEAwBZQgIAAAAAAAAACQgAWUEAAAAAAAAAAAAAAAA</t>
        </r>
      </text>
    </comment>
    <comment ref="A1117" authorId="0" shapeId="0" xr:uid="{F97AF1D4-B0EE-49E2-B3F9-6741CC9DF5BA}">
      <text>
        <r>
          <rPr>
            <sz val="9"/>
            <color indexed="81"/>
            <rFont val="MS P ゴシック"/>
            <family val="3"/>
            <charset val="128"/>
          </rPr>
          <t>Insight iXlW00001C0001117R0585476093S00002232P00892LAocjBAQBF1NjaVRlZ2ljLmRhdGEuTW9sZWN1bGUBbwF/ARJTY2lUZWdpYy5Nb2xlY3VsZQAAAQFkAv5qAQAAAAIAAiwYAAAA/PwA/AACAAAAAAAA8L8CkKD4Meau8j8CMQisHFpk078AAAAAHAAAAPz8APwAAgAAAAAAAPC/AtiBc0aU9tY/ArWmeccpOtI/AAAAABwAAAD8/AD8AAIAAAAAAADwvwKNuWsJ+aD/PwK1pnnHKTrSPwAAAAAYAAAA/PwA/AACAAAAAAAA8L8CkaD4Meau+j8CvAUSFD/G8z8AAAAAGAAAAPz8APwAAgAAAAAAAPC/AiFB8WPMXeU/AktZhjjWxfM/AAAAABgAAAD8/AD8AAIAAAAAAADwvwIydy0hH/TivwKBt0CC4seYvwAAAAAcAAAA/PwA/AACAAAAAAAA8L8CkKD4Meau8j8CDQIrhxbZ9L8AAAAAIAAAAPz8APwAAgAAAAAAAPC/AljKMsSxrgHAAoG3QILix5i/AAAAABgAAAD8/AD8AAIAAAAAAADwvwJIUPwYc9fsvwLaPXlYqDXvvwAAAAAYAAAA/PwA/AACAAAAAAAA8L8CJCh+jLlr9r8Ct9EA3gIJ4j8AAAAAGAAAAPz8APwAAgAAAAAAAPC/AiQofoy5a/6/AvjkYaHWNO+/AAAAADAEAAFlBAAAAAAAAAAACAABZQgIAAAAAAAAAAwIAWUEAAAAAAAAAAAQBAFlBAAAAAAAAAAAFAQBZQQAAAAAAAAAABgAAWUEAAAAAAAAAAAcJAFlBAAAAAAAAAAAIBQBZQQAAAAAAAAAACQUAWUEAAAAAAAAAAAoIAFlBAAAAAAAAAAAEAwBZQgIAAAAAAAAABwoAWUEAAAAAAAAAAAAAAAA</t>
        </r>
      </text>
    </comment>
    <comment ref="A1118" authorId="0" shapeId="0" xr:uid="{E634179A-C2DD-451C-ADF2-43D2E40AFF58}">
      <text>
        <r>
          <rPr>
            <sz val="9"/>
            <color indexed="81"/>
            <rFont val="MS P ゴシック"/>
            <family val="3"/>
            <charset val="128"/>
          </rPr>
          <t>Insight iXlW00001C0001118R0585476093S00002234P01252LAocjBAQBF1NjaVRlZ2ljLmRhdGEuTW9sZWN1bGUBbwF/ARJTY2lUZWdpYy5Nb2xlY3VsZQAAAQFkAv5qAQAAAAIAAgEQGAAAAPz8APwAAgAAAAAAAPC/AhFYObTI9gVAAiDSb18HztE/AAAAABgAAAD8/AD8AAIAAAAAAADwvwLgT42XbhL+PwLAWyBB8WPMvwAAAAAYAAAA/PwA/AACAAAAAAAA8L8C4E+Nl24S/j8CeAskKH6M878AAAAAGAAAAPz8APwAAgAAAAAAAPC/Ap7vp8ZLN/A/AngLJCh+jPu/AAAAABgAAAD8/AD8AAIAAAAAAADwvwLiehSuR+HCPwJ4CyQofozzvwAAAAAYAAAA/PwA/AACAAAAAAAA8L8C4noUrkfhwj8CwFsgQfFjzL8AAAAAGAAAAPz8APwAAgAAAAAAAPC/Ap7vp8ZLN/A/AiDSb18HztE/AAAAABgAAAD8/AD8AAIAAAAAAADwvwItsp3vp8bpPwLSb18Hzhn0PwAAAAAgAAAA/PwA/AACAAAAAAAA8L8C/tR46SYxyL8CS1mGONbF9T8AAAAAGAAAAPz8APwAAgAAAAAAAPC/AjlFR3L5D+O/AhwN4C2QoNw/AAAAABgAAAD8/AD8AAIAAAAAAADwvwJuxf6ye/LsvwKQMXctIR/gvwAAAAAYAAAA/PwA/AACAAAAAAAA8L8CcoqO5PIf/r8Cnl4pyxDH5r8AAAAAHAAAAPz8APwAAgAAAAAAAPC/AplMFYxKagTAAhHHuriNBqA/AAAAABgAAAD8/AD8AAIAAAAAAADwvwKMbOf7qfEBwAKP5PIf0m/vPwAAAAAYAAAA/PwA/AACAAAAAAAA8L8CXLG/7J489L8CXtxGA3gL8z8AAAAAAREAAAD8/AD8AAIAAAAAAADwvwJ3vp8aL10MQAK1yHa+nxrHvwAAAAABEQAEAWUEAAAAAAAAAAAECAFlBAAAAAAAAAAACAwBZQgIAAAAAAAAAAwQAWUEAAAAAAAAAAAQFAFlCAgAAAAAAAAAFBgBZQQAAAAAAAAAABgEAWUIDAAAAAAAAAAYHAFlBAAAAAAAAAAAHCABZQQAAAAAAAAAACAkAWUEAAAAAAAAAAAkFAFlBAAAAAAAAAAAJCgBZQQAAAAAAAAAACgsAWUEAAAAAAAAAAAsMAFlBAAAAAAAAAAAMDQBZQQAAAAAAAAAADQ4AWUEAAAAAAAAAAA4JAFlBAAAAAAAAAAAAAAAAA==</t>
        </r>
      </text>
    </comment>
    <comment ref="A1119" authorId="0" shapeId="0" xr:uid="{598BA1D5-EEA7-456F-BAF3-F0A0B961E932}">
      <text>
        <r>
          <rPr>
            <sz val="9"/>
            <color indexed="81"/>
            <rFont val="MS P ゴシック"/>
            <family val="3"/>
            <charset val="128"/>
          </rPr>
          <t>Insight iXlW00001C0001119R0585476093S00002236P01320LAocjBAQBF1NjaVRlZ2ljLmRhdGEuTW9sZWN1bGUBbwF/ARJTY2lUZWdpYy5Nb2xlY3VsZQAAAQFkAv5qAQAAAAIAAgERGAAAAPz8APwAAgAAAAAAAPC/AgvXo3A9igtAAm+jAbwFEuo/AAAAACAAAAD8/AD8AAIAAAAAAADwvwLSAN4CCYoHQAJP0ZFc/kOqvwAAAAAYAAAA/PwA/AACAAAAAAAA8L8CpAG8BRIU/z8CT9GRXP5Dqr8AAAAAGAAAAPz8APwAAgAAAAAAAPC/AhWuR+F6FPc/Am+jAbwFEuo/AAAAABgAAAD8/AD8AAIAAAAAAADwvwJSuB6F61HcPwJvowG8BRLqPwAAAAAYAAAA/PwA/AACAAAAAAAA8L8CcT0K16Nwrb8CcF8HzhlRqr8AAAAAGAAAAPz8APwAAgAAAAAAAPC/AlK4HoXrUdw/Ano2qz5XW+2/AAAAABgAAAD8/AD8AAIAAAAAAADwvwJUBaOSOgHNvwLFILByaJH6vwAAAAAgAAAA/PwA/AACAAAAAAAA8L8CIGPuWkI+8r8CyJi7lpAP9L8AAAAAGAAAAPz8APwAAgAAAAAAAPC/Aqd5xyk6kvC/AkeU9gZfmNC/AAAAABgAAAD8/AD8AAIAAAAAAADwvwJFaW/whcn/vwI6I0p7gy/ivwAAAAAYAAAA/PwA/AACAAAAAAAA8L8Cn82qz9XWBcACINJvXwfOuT8AAAAAHAAAAPz8APwAAgAAAAAAAPC/ApQYBFYOLQTAAt0kBoGVQ/E/AAAAABgAAAD8/AD8AAIAAAAAAADwvwIZldQJaCL5vwJpke18PzX2PwAAAAAYAAAA/PwA/AACAAAAAAAA8L8CIh/0bFZ96r8CUwWjkjoB5z8AAAAAGAAAAPz8APwAAgAAAAAAAPC/AqQBvAUSFPc/Ano2qz5XW+2/AAAAAAERAAAA/PwA/AACAAAAAAAA8L8CuR6F61H4EEACNe84RUdywb8AAAAAARIABAFlBAAAAAAAAAAABAgBZQQAAAAAAAAAAAgMAWUIDAAAAAAAAAAMEAFlBAAAAAAAAAAAEBQBZQgIAAAAAAAAABQYAWUEAAAAAAAAAAAYHAFlBAAAAAAAAAAAHCABZQQAAAAAAAAAACAkAWUEAAAAAAAAAAAkFAFlBAAAAAAAAAAAJCgBZQQAAAAAAAAAACgsAWUEAAAAAAAAAAAsMAFlBAAAAAAAAAAAMDQBZQQAAAAAAAAAADQ4AWUEAAAAAAAAAAA4JAFlBAAAAAAAAAAAGDwBZQgIAAAAAAAAADwIAWUEAAAAAAAAAAAAAAAA</t>
        </r>
      </text>
    </comment>
    <comment ref="A1120" authorId="0" shapeId="0" xr:uid="{DA056026-D314-4B08-A9EC-3C2EB2046A36}">
      <text>
        <r>
          <rPr>
            <sz val="9"/>
            <color indexed="81"/>
            <rFont val="MS P ゴシック"/>
            <family val="3"/>
            <charset val="128"/>
          </rPr>
          <t>Insight iXlW00001C0001120R0585476093S00002238P01320LAocjBAQBF1NjaVRlZ2ljLmRhdGEuTW9sZWN1bGUBbwF/ARJTY2lUZWdpYy5Nb2xlY3VsZQAAAQFkAv5qAQAAAAIAAgERGAAAAPz8APwAAgAAAAAAAPC/AixlGeJYlwRAArK/7J48LPM/AAAAACAAAAD8/AD8AAIAAAAAAADwvwIsZRniWJcEQAKL/WX35GHJPwAAAAAYAAAA/PwA/AACAAAAAAAA8L8CFmpN845T+z8COwFNhA1P078AAAAAGAAAAPz8APwAAgAAAAAAAPC/AhZqTfOOU/s/Ak9AE2HD0/S/AAAAABgAAAD8/AD8AAIAAAAAAADwvwKqE9BE2PDqPwJPQBNhw9P8vwAAAAAYAAAA/PwA/AACAAAAAAAA8L8CPZtVn6utmL8CT0ATYcPT9L8AAAAAGAAAAPz8APwAAgAAAAAAAPC/Aj2bVZ+rrZi/AjsBTYQNT9O/AAAAABgAAAD8/AD8AAIAAAAAAADwvwKqE9BE2PDqPwKL/WX35GHJPwAAAAAYAAAA/PwA/AACAAAAAAAA8L8Cm+Ydp+hI5D8C/DpwzojS8j8AAAAAIAAAAPz8APwAAgAAAAAAAPC/AqQBvAUSFNe/AnUkl/+QfvQ/AAAAABgAAAD8/AD8AAIAAAAAAADwvwLpt68D54zovwLBOSNKe4PXPwAAAAAYAAAA/PwA/AACAAAAAAAA8L8CgEi/fR048b8CPZtVn6ut4r8AAAAAGAAAAPz8APwAAgAAAAAAAPC/Ah44Z0RpbwDAAmpv8IXJVOm/AAAAABwAAAD8/AD8AAIAAAAAAADwvwJ9PzVeuskFwALE0ytlGeKovwAAAAAYAAAA/PwA/AACAAAAAAAA8L8COIlBYOVQA8AC4noUrkfh7D8AAAAAGAAAAPz8APwAAgAAAAAAAPC/AiWX/5B++/a/AvhT46WbxPE/AAAAAAERAAAA/PwA/AACAAAAAAAA8L8Ck8t/SL/9CkACtTf4wmSq0L8AAAAAARIABAFlBAAAAAAAAAAABAgBZQQAAAAAAAAAAAgMAWUEAAAAAAAAAAAMEAFlCAgAAAAAAAAAEBQBZQQAAAAAAAAAABQYAWUICAAAAAAAAAAYHAFlBAAAAAAAAAAAHAgBZQgMAAAAAAAAABwgAWUEAAAAAAAAAAAgJAFlBAAAAAAAAAAAJCgBZQQAAAAAAAAAACgYAWUEAAAAAAAAAAAoLAFlBAAAAAAAAAAALDABZQQAAAAAAAAAADA0AWUEAAAAAAAAAAA0OAFlBAAAAAAAAAAAODwBZQQAAAAAAAAAADwoAWUEAAAAAAAAAAAAAAAA</t>
        </r>
      </text>
    </comment>
    <comment ref="A1121" authorId="0" shapeId="0" xr:uid="{9712B3DA-BF82-46CD-95BE-549CCDE085F6}">
      <text>
        <r>
          <rPr>
            <sz val="9"/>
            <color indexed="81"/>
            <rFont val="MS P ゴシック"/>
            <family val="3"/>
            <charset val="128"/>
          </rPr>
          <t>Insight iXlW00001C0001121R0585476093S00002240P01272LAocjBAQBF1NjaVRlZ2ljLmRhdGEuTW9sZWN1bGUBbwF/ARJTY2lUZWdpYy5Nb2xlY3VsZQAAAQFkAv5qAQAAAAIAAgERAREAAAD8/AD8AAIAAAAAAADwvwJBguLHmLv5PwKneccpOpL8vwAAAAAYAAAA/PwA/AACAAAAAAAA8L8CQYLix5i7+T8CTvOOU3Qk6b8AAAAAGAAAAPz8APwAAgAAAAAAAPC/AkHxY8xdywNAApvmHafoSNK/AAAAABwAAAD8/AD8AAIAAAAAAADwvwJ6xyk6kssDQAKzDHGsi9vmPwAAAAAYAAAA/PwA/AACAAAAAAAA8L8CQYLix5i7+T8CWoY41sVt8z8AAAAAGAAAAPz8APwAAgAAAAAAAPC/Av9D+u3rwOc/ArMMcayL2+Y/AAAAABgAAAD8/AD8AAIAAAAAAADwvwL/Q/rt68DnPwKb5h2n6EjSvwAAAAAcAAAA/PwA/AACAAAAAAAA8L8CJuSDns2qv78CTvOOU3Qk6b8AAAAAGAAAAPz8APwAAgAAAAAAAPC/Agg9m1Wfq++/ApvmHafoSNK/AAAAABgAAAD8/AD8AAIAAAAAAADwvwI3qz5XW7H9vwJO845TdCTpvwAAAAAYAAAA/PwA/AACAAAAAAAA8L8CvAUSFD/GBcACm+Ydp+hI0r8AAAAAHAAAAPz8APwAAgAAAAAAAPC/ArwFEhQ/xgXAArMMcayL2+Y/AAAAABgAAAD8/AD8AAIAAAAAAADwvwI3qz5XW7H9vwJahjjWxW3zPwAAAAAYAAAA/PwA/AACAAAAAAAA8L8C6pWyDHGs778CswxxrIvb5j8AAAAAAREAAAD8/AD8AAIAAAAAAADwvwLgLZCg+DEKQAI/6Nms+lzVvwAAAAABEQAAAPz8APwAAgAAAAAAAPC/An6MuWsJORFAAiFB8WPMXdO/AAAAAAERAAAA/PwA/AACAAAAAAAA8L8CKA8LtaZ5FUAC78nDQq1pzr8AAAAAPAAEAWUEAAAAAAAAAAAECAFlCAwAAAAAAAAACAwBZQQAAAAAAAAAAAwQAWUICAAAAAAAAAAQFAFlBAAAAAAAAAAAFBgBZQgIAAAAAAAAABgEAWUEAAAAAAAAAAAYHAFlBAAAAAAAAAAAHCABZQQAAAAAAAAAACAkAWUEAAAAAAAAAAAkKAFlBAAAAAAAAAAAKCwBZQQAAAAAAAAAACwwAWUEAAAAAAAAAAAwNAFlBAAAAAAAAAAANCABZQQAAAAAAAAAAAAAAAA=</t>
        </r>
      </text>
    </comment>
    <comment ref="A1122" authorId="0" shapeId="0" xr:uid="{BA71A02A-93A1-4428-8A1D-A8F0FF3898E2}">
      <text>
        <r>
          <rPr>
            <sz val="9"/>
            <color indexed="81"/>
            <rFont val="MS P ゴシック"/>
            <family val="3"/>
            <charset val="128"/>
          </rPr>
          <t>Insight iXlW00001C0001122R0585476093S00002242P01684LAocjBAQBF1NjaVRlZ2ljLmRhdGEuTW9sZWN1bGUBbwF/ARJTY2lUZWdpYy5Nb2xlY3VsZQAAAQFkAv5qAQAAAAIAAgEWGAAAAPz8APwAAgAAAAAAAPC/AmWqYFRSpwHAAqcKRiV1AuI/AAAAABwAAAD8/AD8AAIAAAAAAADwvwLKVMGopE7zvwKnCkYldQLiPwAAAAAYAAAA/PwA/AACAAAAAAAA8L8CbVZ9rrZi6T8CpwpGJXUC4j8AAAAAIAAAAPz8APwAAgAAAAAAAPC/AmWqYFRSpwXAAn4dOGdEadO/AAAAABgAAAD8/AD8AAIAAAAAAADwvwLfcYqO5PL4PwJ7FK5H4Xq0vwAAAAAYAAAA/PwA/AACAAAAAAAA8L8C2qz6XG3F0j8CumsJ+aBn078AAAAAGAAAAPz8APwAAgAAAAAAAPC/Atqs+lxtxdI/ApVliGNd3PY/AAAAABgAAAD8/AD8AAIAAAAAAADwvwKTqYJRSZ3mvwK6awn5oGfTvwAAAAAYAAAA/PwA/AACAAAAAAAA8L8Ck6mCUUmd5r8ClWWIY13c9j8AAAAAIAAAAPz8APwAAgAAAAAAAPC/AmWqYFRSpwXAApVliGNd3PY/AAAAABgAAAD8/AD8AAIAAAAAAADwvwLLoUW28/0DQAL4U+Olm8TQPwAAAAAYAAAA/PwA/AACAAAAAAAA8L8CZapgVFKnDcACfh04Z0Rp078AAAAAHAAAAPz8APwAAgAAAAAAAPC/At9xio7k8vg/Au7rwDkjSvM/AAAAABgAAAD8/AD8AAIAAAAAAADwvwIfhetRuB4KQAJ0RpT2Bl/YvwAAAAAgAAAA/PwA/AACAAAAAAAA8L8C/fZ14JzREEAC6Gor9pfdo78AAAAAGAAAAPz8APwAAgAAAAAAAPC/AkETYcPTK/Y/Aih+jLlrCfG/AAAAABgAAAD8/AD8AAIAAAAAAADwvwL0bFZ9rjYBQALDZKpgVFL7vwAAAAAYAAAA/PwA/AACAAAAAAAA8L8CZapgVFKnDcACYAfOGVHa9L8AAAAAGAAAAPz8APwAAgAAAAAAAPC/AjNVMCqp0xLAAn4dOGdEadO/AAAAABgAAAD8/AD8AAIAAAAAAADwvwJlqmBUUqcNwAJB8WPMXUvmPwAAAAAYAAAA/PwA/AACAAAAAAAA8L8C0NVW7C+7CEACfq62Yn/Z9b8AAAAAGAAAAPz8APwAAgAAAAAAAPC/AsTTK2UZ4hNAAuSDns2qz+W/AAAAAAEXBAABZQQAAAAAAAAAAAgYAWUEAAAAAAAAAAAMAAFlBAAAAAAAAAAAEAgBZQQAAAAAAAAAABQcAWUEAAAAAAAAAAAYIAFlBAAAAAAAAAAAHAQBZQQAAAAAAAAAACAEAWUEAAAAAAAAAAAkAAFlCAAAAAAAAAAAKBABZQQAAAAAAAAAACwMAWUEAAAAAAAAAAAwCAFlBAAAAAAAAAAANCgBZQgMAAAAAAAAADg0AWUEAAAAAAAAAAA8EAFlCAwAAAAAAAAAARA8AWUEAAAAAAAAAAABESwBZQQAAAAAAAAAAAESLAFlBAAAAAAAAAAAARMsAWUEAAAAAAAAAAABFAEQAWUICAAAAAAAAAABFTgBZQQAAAAAAAAAABQIAWUEAAAAAAAAAAA0ARQBZQQAAAAAAAAAAAAAAAA=</t>
        </r>
      </text>
    </comment>
    <comment ref="A1123" authorId="0" shapeId="0" xr:uid="{E37130E6-FFB4-4F93-9721-32E24F3AAE74}">
      <text>
        <r>
          <rPr>
            <sz val="9"/>
            <color indexed="81"/>
            <rFont val="MS P ゴシック"/>
            <family val="3"/>
            <charset val="128"/>
          </rPr>
          <t>Insight iXlW00001C0001123R0585476093S00002244P01004LAocjBAQBF1NjaVRlZ2ljLmRhdGEuTW9sZWN1bGUBbwF/ARJTY2lUZWdpYy5Nb2xlY3VsZQAAAQFkAv5qAQAAAAIAAjQcAAAA/PwA/AACAAAAAAAA8L8C+THmriXk4T8CRrbz/dR45T8AAAAAGAAAAPz8APwAAgAAAAAAAPC/AubQItv5fsq/AgAi/fZ14Jw/AAAAABgAAAD8/AD8AAIAAAAAAADwvwL5MeauJeThPwIm5IOezarjvwAAAAAYAAAA/PwA/AACAAAAAAAA8L8CQz7o2az69z8CNe84RUdy0b8AAAAAGAAAAPz8APwAAgAAAAAAAPC/ApLtfD813gNAAq5p3nGKjty/AAAAABgAAAD8/AD8AAIAAAAAAADwvwJvEoPAyiEBQAJrK/aX3ZPfPwAAAAAYAAAA/PwA/AACAAAAAAAA8L8COrTIdr6f5r8Cc9cS8kHP6r8AAAAAGAAAAPz8APwAAgAAAAAAAPC/Ah1aZDvfT/u/AnPXEvJBz+q/AAAAABwAAAD8/AD8AAIAAAAAAADwvwIPLbKd76cBwAIAIv32deCcPwAAAAAYAAAA/PwA/AACAAAAAAAA8L8CHVpkO99P+78Ck6mCUUmd7D8AAAAAGAAAAPz8APwAAgAAAAAAAPC/Ajq0yHa+n+a/ApOpglFJnew/AAAAAAERAAAA/PwA/AACAAAAAAAA8L8C+FPjpZtECkACINJvXwfOiT8AAAAAAREAAAD8/AD8AAIAAAAAAADwvwKKH2PuWkIRQAJ3LSEf9GymPwAAAAAwAAQBZQQAAAAAAAAAAAQIAWUEAAAAAAAAAAAIDAFlBAAAAAAAAAAADBABZQQAAAAAAAAAABAUAWUEAAAAAAAAAAAUDAFlBAAAAAAAAAAABBgBZQQAAAAAAAAAABgcAWUEAAAAAAAAAAAcIAFlBAAAAAAAAAAAICQBZQQAAAAAAAAAACQoAWUEAAAAAAAAAAAoBAFlBAAAAAAAAAAAAAAAAA==</t>
        </r>
      </text>
    </comment>
    <comment ref="A1124" authorId="0" shapeId="0" xr:uid="{F2090358-BDCB-4600-9276-73E65BD3989B}">
      <text>
        <r>
          <rPr>
            <sz val="9"/>
            <color indexed="81"/>
            <rFont val="MS P ゴシック"/>
            <family val="3"/>
            <charset val="128"/>
          </rPr>
          <t>Insight iXlW00001C0001124R0585476093S00002246P01144LAocjBAQBF1NjaVRlZ2ljLmRhdGEuTW9sZWN1bGUBbwF/ARJTY2lUZWdpYy5Nb2xlY3VsZQAAAQFkAv5qAQAAAAIAAjwcAAAA/PwA/AACAAAAAAAA8L8C8KfGSzeJ3b8CTYQNT6+U+T8AAAAAGAAAAPz8APwAAgAAAAAAAPC/AvhT46WbxO6/AhdIUPwYc+c/AAAAABgAAAD8/AD8AAIAAAAAAADwvwL8qfHSTWL/vwIXSFD8GHPnPwAAAAAcAAAA/PwA/AACAAAAAAAA8L8C/tR46SaxA8ACseHplbIMwb8AAAAAGAAAAPz8APwAAgAAAAAAAPC/Avyp8dJNYv+/AvA4RUdy+e+/AAAAABgAAAD8/AD8AAIAAAAAAADwvwL4U+Olm8TuvwLwOEVHcvnvvwAAAAAYAAAA/PwA/AACAAAAAAAA8L8C8KfGSzeJ3b8CseHplbIMwb8AAAAAHAAAAPz8APwAAgAAAAAAAPC/AgisHFpkO+E/ArHh6ZWyDMG/AAAAABgAAAD8/AD8AAIAAAAAAADwvwIEVg4tsp3wPwIXSFD8GHPnPwAAAAAYAAAA/PwA/AACAAAAAAAA8L8CAiuHFtlOAEACF0hQ/Bhz5z8AAAAAGAAAAPz8APwAAgAAAAAAAPC/AgIrhxbZTgRAArHh6ZWyDMG/AAAAABgAAAD8/AD8AAIAAAAAAADwvwICK4cW2U4AQALwOEVHcvnvvwAAAAAYAAAA/PwA/AACAAAAAAAA8L8CBFYOLbKd8D8C8DhFR3L5778AAAAAAREAAAD8/AD8AAIAAAAAAADwvwJpke18P7UKQAIcfGEyVTDSPwAAAAABEQAAAPz8APwAAgAAAAAAAPC/AkM+6NmsehFAAjojSnuDL9Q/AAAAADgABAFlBAAAAAAAAAAABAgBZQgMAAAAAAAAAAgMAWUEAAAAAAAAAAAMEAFlCAgAAAAAAAAAEBQBZQQAAAAAAAAAABQYAWUICAAAAAAAAAAYBAFlBAAAAAAAAAAAGBwBZQQAAAAAAAAAABwgAWUEAAAAAAAAAAAgJAFlBAAAAAAAAAAAJCgBZQQAAAAAAAAAACgsAWUEAAAAAAAAAAAsMAFlBAAAAAAAAAAAMBwBZQQAAAAAAAAAAAAAAAA=</t>
        </r>
      </text>
    </comment>
    <comment ref="A1125" authorId="0" shapeId="0" xr:uid="{51E08ED6-2BAF-438D-B778-644601AB155E}">
      <text>
        <r>
          <rPr>
            <sz val="9"/>
            <color indexed="81"/>
            <rFont val="MS P ゴシック"/>
            <family val="3"/>
            <charset val="128"/>
          </rPr>
          <t>Insight iXlW00001C0001125R0585476093S00002248P00996LAocjBAQBF1NjaVRlZ2ljLmRhdGEuTW9sZWN1bGUBbwF/ARJTY2lUZWdpYy5Nb2xlY3VsZQAAAQFkAv5qAQAAAAIAAjQYAAAA/PwA/AACAAAAAAAA8L8CAAAAAAAA8L8CseHplbIMwT8AAAAAGAAAAPz8APwAAgAAAAAAAPC/AgAAAAAAAPi/AvA4RUdy+e8/AAAAABgAAAD8/AD8AAIAAAAAAADwvwACseHplbIMwT8AAAAAGAAAAPz8APwAAgAAAAAAAPC/AgAAAAAAAABAArHh6ZWyDME/AAAAABwAAAD8/AD8AAIAAAAAAADwvwIAAAAAAAD4vwIXSFD8GHPnvwAAAAAYAAAA/PwA/AACAAAAAAAA8L8CAAAAAAAA4D8CF0hQ/Bhz578AAAAAIAAAAPz8APwAAgAAAAAAAPC/AgAAAAAAAPg/AhdIUPwYc+e/AAAAACAAAAD8/AD8AAIAAAAAAADwvwIAAAAAAAAEwALwOEVHcvnvPwAAAAAkAAAA/PwA/AACAAAAAAAA8L8CAAAAAAAA+D8C0pFc/kP67z8AAAAAJAAAAPz8APwAAgAAAAAAAPC/AgAAAAAAAAhAArHh6ZWyDME/AAAAACAAAAD8/AD8AAIAAAAAAADwvwIAAAAAAADwvwIrqRPQRNj9PwAAAAAYAAAA/PwA/AACAAAAAAAA8L8CAAAAAAAA8L8CTYQNT6+U+b8AAAAAGAAAAPz8APwAAgAAAAAAAPC/AAJNhA1Pr5T5vwAAAAA0BAABZQQAAAAAAAAAAAgAAWUEAAAAAAAAAAAMGAFlBAAAAAAAAAAAEAABZQgMAAAAAAAAABQIAWUIDAAAAAAAAAAYFAFlBAAAAAAAAAAAHAQBZQgAAAAAAAAAACAMAWUEAAAAAAAAAAAkDAFlBAAAAAAAAAAAKAQBZQQAAAAAAAAAACwQAWUEAAAAAAAAAAAwLAFlCAgAAAAAAAAAFDABZQQAAAAAAAAAAAAAAAA=</t>
        </r>
      </text>
    </comment>
    <comment ref="A1126" authorId="0" shapeId="0" xr:uid="{D2E15A88-9103-4CFC-9759-18AD6261BFD1}">
      <text>
        <r>
          <rPr>
            <sz val="9"/>
            <color indexed="81"/>
            <rFont val="MS P ゴシック"/>
            <family val="3"/>
            <charset val="128"/>
          </rPr>
          <t>Insight iXlW00001C0001126R0585476093S00002250P01232LAocjBAQBF1NjaVRlZ2ljLmRhdGEuTW9sZWN1bGUBbwF/ARJTY2lUZWdpYy5Nb2xlY3VsZQAAAQFkAv5qAQAAAAIAAgEQGAAAAPz8APwAAgAAAAAAAPC/AizUmuYdp/A/AnPXEvJBz9a/AAAAABwAAAD8/AD8AAIAAAAAAADwvwIRNjy9UpbRPwL4wmSqYFTSPwAAAAAgAAAA/PwA/AACAAAAAAAA8L8C5KWbxCCw/z8Ck8t/SL99jb8AAAAAHAAAAPz8APwAAgAAAAAAAPC/AqabxCCwcgvAAkVpb/CFyeI/AAAAACAAAAD8/AD8AAIAAAAAAADwvwId6+I2GsDrPwK+UpYhjnX1vwAAAAAYAAAA/PwA/AACAAAAAAAA8L8CTDeJQWDl9r8CRWlv8IXJ4j8AAAAAGAAAAPz8APwAAgAAAAAAAPC/An6MuWsJ+QVAAmTMXUvIB+W/AAAAABgAAAD8/AD8AAIAAAAAAADwvwJmiGNd3EblvwLzsFBrmnesvwAAAAAYAAAA/PwA/AACAAAAAAAA8L8CppvEILByB8ACfq62Yn/Z0b8AAAAAGAAAAPz8APwAAgAAAAAAAPC/AqabxCCwcgfAAuQUHcnlP/c/AAAAABgAAAD8/AD8AAIAAAAAAADwvwJMN4lBYOX+vwJ+rrZif9nRvwAAAAAYAAAA/PwA/AACAAAAAAAA8L8CTDeJQWDl/r8C5BQdyeU/9z8AAAAAGAAAAPz8APwAAgAAAAAAAPC/AmaIY13cRuW/Aj2bVZ+rrfM/AAAAABgAAAD8/AD8AAIAAAAAAADwvwKTqYJRSR0LQAJxzojS3uC7PwAAAAAYAAAA/PwA/AACAAAAAAAA8L8C029fB84ZDEACzczMzMzM9L8AAAAAGAAAAPz8APwAAgAAAAAAAPC/AjGZKhiV1ABAAtqs+lxtxfa/AAAAAAEQBAABZQQAAAAAAAAAAAgAAWUEAAAAAAAAAAAMJAFlBAAAAAAAAAAAEAABZQgAAAAAAAAAABQcAWUEAAAAAAAAAAAYCAFlBAAAAAAAAAAAHAQBZQQAAAAAAAAAACAoAWUEAAAAAAAAAAAkLAFlBAAAAAAAAAAAKBQBZQQAAAAAAAAAACwUAWUEAAAAAAAAAAAwFAFlBAAAAAAAAAAANBgBZQQAAAAAAAAAADgYAWUEAAAAAAAAAAA8GAFlBAAAAAAAAAAADCABZQQAAAAAAAAAAAAAAAA=</t>
        </r>
      </text>
    </comment>
    <comment ref="A1127" authorId="0" shapeId="0" xr:uid="{1A2E3287-D122-45A6-8D2B-385EFC31163B}">
      <text>
        <r>
          <rPr>
            <sz val="9"/>
            <color indexed="81"/>
            <rFont val="MS P ゴシック"/>
            <family val="3"/>
            <charset val="128"/>
          </rPr>
          <t>Insight iXlW00001C0001127R0585476093S00002252P01760LAocjBAQBF1NjaVRlZ2ljLmRhdGEuTW9sZWN1bGUBbwF/ARJTY2lUZWdpYy5Nb2xlY3VsZQAAAQFkAv5qAQAAAAIAAgEXGAAAAPz8APwAAgAAAAAAAPC/AjWAt0CC4vM/AnP5D+m3r8O/AAAAABgAAAD8/AD8AAIAAAAAAADwvwI3GsBbIEH1vwK30QDeAgngvwAAAAAcAAAA/PwA/AACAAAAAAAA8L8CMzMzMzMz4z8C9I5TdCSX4z8AAAAAIAAAAPz8APwAAgAAAAAAAPC/AouO5PIf0gFAAvXb14FzRpQ/AAAAABgAAAD8/AD8AAIAAAAAAADwvwJ90LNZ9bn6vwJvowG8BRLcPwAAAAAYAAAA/PwA/AACAAAAAAAA8L8C4umVsgxx8L8ChC9MpgpG8z8AAAAAHAAAAPz8APwAAgAAAAAAAPC/AuLplbIMcfC/AsIXJlMFowlAAAAAACAAAAD8/AD8AAIAAAAAAADwvwL8OnDOiNLsPwLm0CLb+X7xvwAAAAAYAAAA/PwA/AACAAAAAAAA8L8C0gDeAgmK/78C9dvXgXNG9L8AAAAAGAAAAPz8APwAAgAAAAAAAPC/AtiBc0aU9gZAAnHOiNLe4Oe/AAAAABgAAAD8/AD8AAIAAAAAAADwvwIcDeAtkKDYvwJvowG8BRLcPwAAAAABEQAAAPz8APwAAgAAAAAAAPC/AtnO91PjpQfAAubQItv5fvG/AAAAABgAAAD8/AD8AAIAAAAAAADwvwIkSnuDL0z+vwLCFyZTBaMFQAAAAAAYAAAA/PwA/AACAAAAAAAA8L8CAk2EDU+vxL8CwhcmUwWjBUAAAAAAGAAAAPz8APwAAgAAAAAAAPC/Alr1udqK/dW/Atbnaiv2l+W/AAAAABgAAAD8/AD8AAIAAAAAAADwvwICTYQNT6/EvwKEL0ymCkb7PwAAAAAYAAAA/PwA/AACAAAAAAAA8L8CJEp7gy9M/r8ChC9MpgpG+z8AAAAAGAAAAPz8APwAAgAAAAAAAPC/AixlGeJYFw1AAtUJaCJseLq/AAAAABgAAAD8/AD8AAIAAAAAAADwvwImdQKaCBsMQAJR2ht8YTL4vwAAAAAYAAAA/PwA/AACAAAAAAAA8L8CTMgHPZvVAEAC001iEFg59r8AAAAAGAAAAPz8APwAAgAAAAAAAPC/AoxK6gQ0Efq/AtZW7C+7pwHAAAAAABgAAAD8/AD8AAIAAAAAAADwvwItQxzr4jZavwKiRbbz/dT5vwAAAAAYAAAA/PwA/AACAAAAAAAA8L8CWFuxv+ye5L8CJQaBlUMLA8AAAAAAARgEEAFlBAAAAAAAAAAACAABZQQAAAAAAAAAAAwAAWUEAAAAAAAAAAAQFAFlBAAAAAAAAAAAFCgBZQQAAAAAAAAAABgwAWUEAAAAAAAAAAAcAAFlCAAAAAAAAAAAIAQBZQQAAAAAAAAAACQMAWUEAAAAAAAAAAAoCAFlBAAAAAAAAAAALCABZQQAAAAAAAAAADABEAFlBAAAAAAAAAAANDwBZQQAAAAAAAAAADgEAWUIDAAAAAAAAAA8FAFlBAAAAAAAAAAAARAUAWUEAAAAAAAAAAABESQBZQQAAAAAAAAAAAESJAFlBAAAAAAAAAAAARMkAWUEAAAAAAAAAAABFCABZQgIAAAAAAAAAAEVOAFlBAAAAAAAAAAAARYBFQFlCAgAAAAAAAAANBgBZQQAAAAAAAAAAAEUARYBZQQAAAAAAAAAAAAAAAA=</t>
        </r>
      </text>
    </comment>
    <comment ref="A1128" authorId="0" shapeId="0" xr:uid="{FCF0AA07-FC39-4B4B-AC98-4AAA0E50DEBF}">
      <text>
        <r>
          <rPr>
            <sz val="9"/>
            <color indexed="81"/>
            <rFont val="MS P ゴシック"/>
            <family val="3"/>
            <charset val="128"/>
          </rPr>
          <t>Insight iXlW00001C0001128R0585476093S00002254P01020LAocjBAQBF1NjaVRlZ2ljLmRhdGEuTW9sZWN1bGUBbwF/ARJTY2lUZWdpYy5Nb2xlY3VsZQAAAQFkAv5qAQAAAAIAAjQYAAAA/PwA/AACAAAAAAAA8L8C++3rwDkj+r8CgnNGlPYG978AAAAAGAAAAPz8APwAAgAAAAAAAPC/AkSLbOf7qfS/AiuHFtnO99+/AAAAABgAAAD8/AD8AAIAAAAAAADwvwISFD/G3DUCwALvWkI+6NnUvwAAAAAYAAAA/PwA/AACAAAAAAAA8L8CRIts5/up9L8Ca7x0kxgE4D8AAAAAIAAAAPz8APwAAgAAAAAAAPC/AgmsHFpkO9u/AjVeukkMAvA/AAAAABgAAAD8/AD8AAIAAAAAAADwvwL+1HjpJjHcPwJrvHSTGATgPwAAAAAYAAAA/PwA/AACAAAAAAAA8L8CT9GRXP5D9j8CgZVDi2zn6T8AAAAAHAAAAPz8APwAAgAAAAAAAPC/Ato9eVioNfs/AtBm1edqK/w/AAAAABgAAAD8/AD8AAIAAAAAAADwvwIIPZtVn6v/PwL8qfHSTWJAPwAAAAAcAAAA/PwA/AACAAAAAAAA8L8CT9GRXP5D9j8CrBxaZDvf6b8AAAAAHAAAAPz8APwAAgAAAAAAAPC/Av7UeOkmMdw/AiuHFtnO99+/AAAAABgAAAD8/AD8AAIAAAAAAADwvwIJrBxaZDvbvwKWQ4ts5/vvvwAAAAABEQAAAPz8APwAAgAAAAAAAPC/AusENBE2PAZAAjbNO07RkcQ/AAAAADQABAFlBAAAAAAAAAAABAgBZQQAAAAAAAAAAAQMAWUEAAAAAAAAAAAMEAFlBAAAAAAAAAAAEBQBZQQAAAAAAAAAABQYAWUICAAAAAAAAAAYHAFlBAAAAAAAAAAAGCABZQQAAAAAAAAAACAkAWUICAAAAAAAAAAkKAFlBAAAAAAAAAAAKBQBZQQAAAAAAAAAACgsAWUEAAAAAAAAAAAsBAFlBAAAAAAAAAAAAAAAAA==</t>
        </r>
      </text>
    </comment>
    <comment ref="A1129" authorId="0" shapeId="0" xr:uid="{027D9685-AB90-4105-8570-67BA2477317C}">
      <text>
        <r>
          <rPr>
            <sz val="9"/>
            <color indexed="81"/>
            <rFont val="MS P ゴシック"/>
            <family val="3"/>
            <charset val="128"/>
          </rPr>
          <t>Insight iXlW00001C0001129R0585476093S00002256P01304LAocjBAQBF1NjaVRlZ2ljLmRhdGEuTW9sZWN1bGUBbwF/ARJTY2lUZWdpYy5Nb2xlY3VsZQAAAQFkAv5qAQAAAAIAAgERGAAAAPz8APwAAgAAAAAAAPC/AuBPjZduEg5AAv2H9NvXgfQ/AAAAACAAAAD8/AD8AAIAAAAAAADwvwLgT42XbhIKQALtnjws1JraPwAAAAAYAAAA/PwA/AACAAAAAAAA8L8C30+Nl24SAkAC7Z48LNSa2j8AAAAAGAAAAPz8APwAAgAAAAAAAPC/Ar+fGi/dJPw/AhriWBe30dy/AAAAABgAAAD8/AD8AAIAAAAAAADwvwJ9PzVeuknoPwIa4lgXt9HcvwAAAAAYAAAA/PwA/AACAAAAAAAA8L8CvjCZKhiV0D8C7Z48LNSa2j8AAAAAGAAAAPz8APwAAgAAAAAAAPC/AqFns+pztee/Au2ePCzUmto/AAAAABwAAAD8/AD8AAIAAAAAAADwvwJCYOXQItvzvwLek4eFWtPcvwAAAAAYAAAA/PwA/AACAAAAAAAA8L8CqFfKMsSx6r8Ci47k8h/S9b8AAAAAHAAAAPz8APwAAgAAAAAAAPC/Alyxv+yePPm/At0kBoGVQwDAAAAAABgAAAD8/AD8AAIAAAAAAADwvwIHX5hMFYwDwAK7SQwCK4f4vwAAAAAYAAAA/PwA/AACAAAAAAAA8L8CxNMrZRniAcAC/0P67evA4b8AAAAAGAAAAPz8APwAAgAAAAAAAPC/AiPb+X5qPAfAAsx/SL99Hcg/AAAAABwAAAD8/AD8AAIAAAAAAADwvwKlTkATYcMEwAKX/5B++zryPwAAAAAYAAAA/PwA/AACAAAAAAAA8L8CX5hMFYxK6D8C/Yf029eB9D8AAAAAGAAAAPz8APwAAgAAAAAAAPC/Ar+fGi/dJPw/Av2H9NvXgfQ/AAAAAAERAAAA/PwA/AACAAAAAAAA8L8CI9v5fmo8EkACXtxGA3gL2L8AAAAAAREABAFlBAAAAAAAAAAABAgBZQQAAAAAAAAAAAgMAWUIDAAAAAAAAAAMEAFlBAAAAAAAAAAAEBQBZQgMAAAAAAAAABQYAWUEAAAAAAAAAAAYHAFlBAAAAAAAAAAAHCABZQQAAAAAAAAAACAkAWUICAAAAAAAAAAkKAFlBAAAAAAAAAAAKCwBZQgIAAAAAAAAACwcAWUEAAAAAAAAAAAsMAFlBAAAAAAAAAAAMDQBZQQAAAAAAAAAABQ4AWUEAAAAAAAAAAA4PAFlCAgAAAAAAAAAPAgBZQQAAAAAAAAAAAAAAAA=</t>
        </r>
      </text>
    </comment>
    <comment ref="A1130" authorId="0" shapeId="0" xr:uid="{B0B12EE4-DCB6-483C-8E2C-3FC626A5E674}">
      <text>
        <r>
          <rPr>
            <sz val="9"/>
            <color indexed="81"/>
            <rFont val="MS P ゴシック"/>
            <family val="3"/>
            <charset val="128"/>
          </rPr>
          <t>Insight iXlW00001C0001130R0585476093S00002258P01176LAocjBAQBF1NjaVRlZ2ljLmRhdGEuTW9sZWN1bGUBbwF/ARJTY2lUZWdpYy5Nb2xlY3VsZQAAAQFkAv5qAQAAAAIAAjwcAAAA/PwA/AACAAAAAAAA8L8CXtxGA3gL8T8CIv32deCckT8AAAAAGAAAAPz8APwAAgAAAAAAAPC/AmIyVTAqqf8/AiGwcmiR7di/AAAAABwAAAD8/AD8AAIAAAAAAADwvwLJdr6fGi8FQAL+ZffkYaHWPwAAAAAYAAAA/PwA/AACAAAAAAAA8L8C3+ALk6mCyT8CLpCg+DHm3r8AAAAAGAAAAPz8APwAAgAAAAAAAPC/AkzIBz2bVeW/AiL99nXgnJE/AAAAABgAAAD8/AD8AAIAAAAAAADwvwLJdr6fGi8BQAIy5q4l5IPzPwAAAAAYAAAA/PwA/AACAAAAAAAA8L8C1sVtNIC38j8Cq8/VVuwv8D8AAAAAGAAAAPz8APwAAgAAAAAAAPC/AmhEaW/whfi/Ai6QoPgx5t6/AAAAABwAAAD8/AD8AAIAAAAAAADwvwI8TtGRXH4BQALE0ytlGeL1vwAAAAAgAAAA/PwA/AACAAAAAAAA8L8CaERpb/CF+L8CDCQofoy5978AAAAAGAAAAPz8APwAAgAAAAAAAPC/AkzIBz2bVeW/AvXb14FzRvA/AAAAABgAAAD8/AD8AAIAAAAAAADwvwJVUiegiTADwAIi/fZ14JyRPwAAAAAYAAAA/PwA/AACAAAAAAAA8L8CTMgHPZtV5b8CDCQofoy5/78AAAAAGAAAAPz8APwAAgAAAAAAAPC/AmhEaW/whfi/AvXb14FzRvg/AAAAABgAAAD8/AD8AAIAAAAAAADwvwJVUiegiTADwAL129eBc0bwPwAAAAABEAQAAWUEAAAAAAAAAAAIBAFlCAgAAAAAAAAADAABZQQAAAAAAAAAABAMAWUEAAAAAAAAAAAUGAFlCAgAAAAAAAAAGAABZQQAAAAAAAAAABwQAWUEAAAAAAAAAAAgBAFlBAAAAAAAAAAAJBwBZQQAAAAAAAAAACgQAWUIDAAAAAAAAAAsHAFlCAgAAAAAAAAAMCQBZQQAAAAAAAAAADQoAWUEAAAAAAAAAAA4NAFlCAgAAAAAAAAAFAgBZQQAAAAAAAAAACw4AWUEAAAAAAAAAAAAAAAA</t>
        </r>
      </text>
    </comment>
    <comment ref="A1131" authorId="0" shapeId="0" xr:uid="{6F3D610E-89AC-4527-B310-2942E53ABF93}">
      <text>
        <r>
          <rPr>
            <sz val="9"/>
            <color indexed="81"/>
            <rFont val="MS P ゴシック"/>
            <family val="3"/>
            <charset val="128"/>
          </rPr>
          <t>Insight iXlW00001C0001131R0585476093S00002260P01320LAocjBAQBF1NjaVRlZ2ljLmRhdGEuTW9sZWN1bGUBbwF/ARJTY2lUZWdpYy5Nb2xlY3VsZQAAAQFkAv5qAQAAAAIAAgERGAAAAPz8APwAAgAAAAAAAPC/AlvTvOMUnQRAAnNoke18P/M/AAAAACAAAAD8/AD8AAIAAAAAAADwvwJb07zjFJ0EQAKWQ4ts5/vJPwAAAAAYAAAA/PwA/AACAAAAAAAA8L8CdEaU9gZf+z8CNl66SQwC078AAAAAGAAAAPz8APwAAgAAAAAAAPC/AnRGlPYGX/s/Ao6XbhKDwPS/AAAAABgAAAD8/AD8AAIAAAAAAADwvwJkzF1LyAfrPwKOl24Sg8D8vwAAAAAYAAAA/PwA/AACAAAAAAAA8L8C5IOezarPlb8CjpduEoPA9L8AAAAAGAAAAPz8APwAAgAAAAAAAPC/Aj0s1JrmHe+/AqhXyjLEsfm/AAAAACAAAAD8/AD8AAIAAAAAAADwvwLYgXNGlPb4vwIbL90kBoHpvwAAAAAYAAAA/PwA/AACAAAAAAAA8L8CPSzUmuYd778CgbdAguLHiD8AAAAAGAAAAPz8APwAAgAAAAAAAPC/AmmR7Xw/Nf+/AqH4MeauJcw/AAAAABgAAAD8/AD8AAIAAAAAAADwvwIzVTAqqRMCwAIj2/l+arzyPwAAAAAcAAAA/PwA/AACAAAAAAAA8L8CppvEILBy+b8Cq2BUUieg/j8AAAAAGAAAAPz8APwAAgAAAAAAAPC/ArhAguLHmOO/AgajkjoBTfs/AAAAABgAAAD8/AD8AAIAAAAAAADwvwJ+HThnRGnTvwLtDb4wmSroPwAAAAAYAAAA/PwA/AACAAAAAAAA8L8C5IOezarPlb8CNl66SQwC078AAAAAGAAAAPz8APwAAgAAAAAAAPC/AmTMXUvIB+s/ApZDi2zn+8k/AAAAAAERAAAA/PwA/AACAAAAAAAA8L8CwTkjSnsDC0AC41gXt9EArj8AAAAAARIABAFlBAAAAAAAAAAABAgBZQQAAAAAAAAAAAgMAWUIDAAAAAAAAAAMEAFlBAAAAAAAAAAAEBQBZQgMAAAAAAAAABQYAWUEAAAAAAAAAAAYHAFlBAAAAAAAAAAAHCABZQQAAAAAAAAAACAkAWUEAAAAAAAAAAAkKAFlBAAAAAAAAAAAKCwBZQQAAAAAAAAAACwwAWUEAAAAAAAAAAAwNAFlBAAAAAAAAAAANCABZQQAAAAAAAAAACA4AWUEAAAAAAAAAAA4FAFlBAAAAAAAAAAAODwBZQgMAAAAAAAAADwIAWUEAAAAAAAAAAAAAAAA</t>
        </r>
      </text>
    </comment>
    <comment ref="A1132" authorId="0" shapeId="0" xr:uid="{9D42D5E4-F17E-4E85-B836-A3A200F0D72C}">
      <text>
        <r>
          <rPr>
            <sz val="9"/>
            <color indexed="81"/>
            <rFont val="MS P ゴシック"/>
            <family val="3"/>
            <charset val="128"/>
          </rPr>
          <t>Insight iXlW00001C0001132R0585476093S00002262P01344LAocjBAQBF1NjaVRlZ2ljLmRhdGEuTW9sZWN1bGUBbwF/ARJTY2lUZWdpYy5Nb2xlY3VsZQAAAQFkAv5qAQAAAAIAAgESGAAAAPz8APwAAgAAAAAAAPC/AtBm1edqK+Y/AlR0JJf/EAHAAAAAACAAAAD8/AD8AAIAAAAAAADwvwKqE9BE2PD4PwKn6Egu/yH6vwAAAAAYAAAA/PwA/AACAAAAAAAA8L8CqhPQRNjw+D8CT9GRXP5D5L8AAAAAGAAAAPz8APwAAgAAAAAAAPC/Ai6QoPgxZgNAAsKopE5AE8G/AAAAABgAAAD8/AD8AAIAAAAAAADwvwIukKD4MWYDQALQ1VbsL7vrPwAAAAAYAAAA/PwA/AACAAAAAAAA8L8CqhPQRNjw+D8C6Gor9pfd9T8AAAAAHAAAAPz8APwAAgAAAAAAAPC/AtBm1edqK+Y/ArIubqMBvOs/AAAAABgAAAD8/AD8AAIAAAAAAADwvwLQZtXnaivmPwI5RUdy+Q/BvwAAAAAcAAAA/PwA/AACAAAAAAAA8L8C0GbV52orxr8CT9GRXP5D5L8AAAAAGAAAAPz8APwAAgAAAAAAAPC/AhwN4C2QoPC/AjlFR3L5D8G/AAAAABgAAAD8/AD8AAIAAAAAAADwvwJdbcX+snv+vwJP0ZFc/kPkvwAAAAAYAAAA/PwA/AACAAAAAAAA8L8CCD2bVZ8rBsACOUVHcvkPwb8AAAAAHAAAAPz8APwAAgAAAAAAAPC/Agg9m1WfKwbAArIubqMBvOs/AAAAABgAAAD8/AD8AAIAAAAAAADwvwLOGVHaG3z+vwJZF7fRAN71PwAAAAAYAAAA/PwA/AACAAAAAAAA8L8CHA3gLZCg8L8Csi5uowG86z8AAAAAAREAAAD8/AD8AAIAAAAAAADwvwKV9gZfmMwJQAJApN++DpzbvwAAAAABEQAAAPz8APwAAgAAAAAAAPC/Atjw9EpZBhFAAiL99nXgnNm/AAAAAAERAAAA/PwA/AACAAAAAAAA8L8CgnNGlPZGFUAC+aBns+pz1b8AAAAAARAABAFlBAAAAAAAAAAABAgBZQQAAAAAAAAAAAgMAWUIDAAAAAAAAAAMEAFlBAAAAAAAAAAAEBQBZQgIAAAAAAAAABQYAWUEAAAAAAAAAAAYHAFlCAgAAAAAAAAAHAgBZQQAAAAAAAAAABwgAWUEAAAAAAAAAAAgJAFlBAAAAAAAAAAAJCgBZQQAAAAAAAAAACgsAWUEAAAAAAAAAAAsMAFlBAAAAAAAAAAAMDQBZQQAAAAAAAAAADQ4AWUEAAAAAAAAAAA4JAFlBAAAAAAAAAAAAAAAAA==</t>
        </r>
      </text>
    </comment>
    <comment ref="A1133" authorId="0" shapeId="0" xr:uid="{49E3D9B6-2937-4CEC-9A3E-9B90DB88A4AF}">
      <text>
        <r>
          <rPr>
            <sz val="9"/>
            <color indexed="81"/>
            <rFont val="MS P ゴシック"/>
            <family val="3"/>
            <charset val="128"/>
          </rPr>
          <t>Insight iXlW00001C0001133R0585476093S00002264P01344LAocjBAQBF1NjaVRlZ2ljLmRhdGEuTW9sZWN1bGUBbwF/ARJTY2lUZWdpYy5Nb2xlY3VsZQAAAQFkAv5qAQAAAAIAAgESGAAAAPz8APwAAgAAAAAAAPC/AlR0JJf/EAlAAuhqK/aX3ek/AAAAACAAAAD8/AD8AAIAAAAAAADwvwJUdCSX/xABQALoaiv2l93pPwAAAAAYAAAA/PwA/AACAAAAAAAA8L8Cp+hILv8h+j8CtFn1udqKrb8AAAAAGAAAAPz8APwAAgAAAAAAAPC/AlR0JJf/EAFAAh8Wak3zju2/AAAAABgAAAD8/AD8AAIAAAAAAADwvwKn6Egu/yH6PwLCFyZTBaP8vwAAAAAcAAAA/PwA/AACAAAAAAAA8L8CT9GRXP5D5D8CwhcmUwWj/L8AAAAAGAAAAPz8APwAAgAAAAAAAPC/AjlFR3L5D8E/AgFvgQTFj+2/AAAAABwAAAD8/AD8AAIAAAAAAADwvwKyLm6jAbzrvwIBb4EExY/tvwAAAAAYAAAA/PwA/AACAAAAAAAA8L8CWRe30QDe9b8CtFn1udqKrb8AAAAAGAAAAPz8APwAAgAAAAAAAPC/AnS1FfvL7gLAArRZ9bnaiq2/AAAAABgAAAD8/AD8AAIAAAAAAADwvwJ0tRX7y+4GwALoaiv2l93pPwAAAAAcAAAA/PwA/AACAAAAAAAA8L8CrYvbaADvAsACthX7y+7J+j8AAAAAGAAAAPz8APwAAgAAAAAAAPC/AlkXt9EA3vW/ArYV+8vuyfo/AAAAABgAAAD8/AD8AAIAAAAAAADwvwKyLm6jAbzrvwLoaiv2l93pPwAAAAAYAAAA/PwA/AACAAAAAAAA8L8CT9GRXP5D5D8CtFn1udqKrb8AAAAAAREAAAD8/AD8AAIAAAAAAADwvwK62or9ZXcPQAJos+pztRW7vwAAAAABEQAAAPz8APwAAgAAAAAAAPC/AuviNhrA2xNAAvAWSFD8GLO/AAAAAAERAAAA/PwA/AACAAAAAAAA8L8ClWWIY10cGEACYjJVMCqpg78AAAAAARAABAFlBAAAAAAAAAAABAgBZQQAAAAAAAAAAAgMAWUIDAAAAAAAAAAMEAFlBAAAAAAAAAAAEBQBZQgIAAAAAAAAABQYAWUEAAAAAAAAAAAYHAFlBAAAAAAAAAAAHCABZQQAAAAAAAAAACAkAWUEAAAAAAAAAAAkKAFlBAAAAAAAAAAAKCwBZQQAAAAAAAAAACwwAWUEAAAAAAAAAAAwNAFlBAAAAAAAAAAANCABZQQAAAAAAAAAABg4AWUICAAAAAAAAAA4CAFlBAAAAAAAAAAAAAAAAA==</t>
        </r>
      </text>
    </comment>
    <comment ref="A1134" authorId="0" shapeId="0" xr:uid="{3C06EBD6-E24D-4AAD-81FB-91CDF8C7D64E}">
      <text>
        <r>
          <rPr>
            <sz val="9"/>
            <color indexed="81"/>
            <rFont val="MS P ゴシック"/>
            <family val="3"/>
            <charset val="128"/>
          </rPr>
          <t>Insight iXlW00001C0001134R0585476093S00002266P01288LAocjBAQBF1NjaVRlZ2ljLmRhdGEuTW9sZWN1bGUBbwF/ARJTY2lUZWdpYy5Nb2xlY3VsZQAAAQFkAv5qAQAAAAIAAgERHAAAAPz8APwAAgAAAAAAAPC/ApF++zpwzsi/Av2H9NvXgd8/AAAAABgAAAD8/AD8AAIAAAAAAADwvwL1bFZ9rrbuvwLdJAaBlUPDvwAAAAAYAAAA/PwA/AACAAAAAAAA8L8CkX77OnDOyL8CbVZ9rrZi6b8AAAAAGAAAAPz8APwAAgAAAAAAAPC/AsrDQq1p3uc/AsTTK2UZ4ty/AAAAABgAAAD8/AD8AAIAAAAAAADwvwL+1HjpJjH4PwKM22gAb4HxvwAAAAAYAAAA/PwA/AACAAAAAAAA8L8CIv32deCcA0ACjErqBDQR6L8AAAAAGAAAAPz8APwAAgAAAAAAAPC/AqqCUUmdAAVAAtS84xQdyc0/AAAAABgAAAD8/AD8AAIAAAAAAADwvwI7kst/SL/9PwJrvHSTGATsPwAAAAAkAAAA/PwA/AACAAAAAAAA8L8CpU5AE2FDAEACFvvL7snD/T8AAAAAGAAAAPz8APwAAgAAAAAAAPC/AunZrPpcbe0/At9PjZduEuE/AAAAABgAAAD8/AD8AAIAAAAAAADwvwJ6Nqs+V1v3vwLdJAaBlUPwvwAAAAAYAAAA/PwA/AACAAAAAAAA8L8CPZtVn6utA8AC3SQGgZVD8L8AAAAAHAAAAPz8APwAAgAAAAAAAPC/Aj2bVZ+rrQfAAt0kBoGVQ8O/AAAAABgAAAD8/AD8AAIAAAAAAADwvwI9m1Wfq60DwAJMN4lBYOXmPwAAAAAYAAAA/PwA/AACAAAAAAAA8L8CejarPldb978CTDeJQWDl5j8AAAAAAREAAAD8/AD8AAIAAAAAAADwvwIQ6bevA2cLQAKF61G4HoXXPwAAAAABEQAAAPz8APwAAgAAAAAAAPC/AhZqTfOO0xFAAqOSOgFNhNk/AAAAAAEQAAQBZQQAAAAAAAAAAAQIAWUEAAAAAAAAAAAIDAFlBAAAAAAAAAAADBABZQgMAAAAAAAAABAUAWUEAAAAAAAAAAAUGAFlCAgAAAAAAAAAGBwBZQQAAAAAAAAAABwgAWUEAAAAAAAAAAAcJAFlCAgAAAAAAAAAJAwBZQQAAAAAAAAAAAQoAWUEAAAAAAAAAAAoLAFlBAAAAAAAAAAALDABZQQAAAAAAAAAADA0AWUEAAAAAAAAAAA0OAFlBAAAAAAAAAAAOAQBZQQAAAAAAAAAAAAAAAA=</t>
        </r>
      </text>
    </comment>
    <comment ref="A1135" authorId="0" shapeId="0" xr:uid="{58C45310-D8FB-4017-9A6A-677136513595}">
      <text>
        <r>
          <rPr>
            <sz val="9"/>
            <color indexed="81"/>
            <rFont val="MS P ゴシック"/>
            <family val="3"/>
            <charset val="128"/>
          </rPr>
          <t>Insight iXlW00001C0001135R0585476093S00002268P01200LAocjBAQBF1NjaVRlZ2ljLmRhdGEuTW9sZWN1bGUBbwF/ARJTY2lUZWdpYy5Nb2xlY3VsZQAAAQFkAv5qAQAAAAIAAgEQGAAAAPz8APwAAgAAAAAAAPC/AmfV52ordgLAAk2EDU+vlPk/AAAAABgAAAD8/AD8AAIAAAAAAADwvwLOqs/VVuz8vwIXSFD8GHPnPwAAAAAYAAAA/PwA/AACAAAAAAAA8L8CnFWfq63Y6b8CF0hQ/Bhz5z8AAAAAGAAAAPz8APwAAgAAAAAAAPC/AjerPldbsdO/ArHh6ZWyDMG/AAAAABgAAAD8/AD8AAIAAAAAAADwvwKcVZ+rrdjpvwLwOEVHcvnvvwAAAAAYAAAA/PwA/AACAAAAAAAA8L8CzqrP1Vbs/L8C8DhFR3L5778AAAAAHAAAAPz8APwAAgAAAAAAAPC/AmfV52ordgLAArHh6ZWyDMG/AAAAABwAAAD8/AD8AAIAAAAAAADwvwJlqmBUUifmPwKx4emVsgzBvwAAAAAYAAAA/PwA/AACAAAAAAAA8L8CM1UwKqkT8z8CF0hQ/Bhz5z8AAAAAGAAAAPz8APwAAgAAAAAAAPC/ApkqGJXUiQFAAhdIUPwYc+c/AAAAABwAAAD8/AD8AAIAAAAAAADwvwKZKhiV1IkFQAKx4emVsgzBvwAAAAAYAAAA/PwA/AACAAAAAAAA8L8CmSoYldSJAUAC8DhFR3L5778AAAAAGAAAAPz8APwAAgAAAAAAAPC/AjNVMCqpE/M/AvA4RUdy+e+/AAAAAAERAAAA/PwA/AACAAAAAAAA8L8CAJF++zrwC0ACCM4ZUdob0D8AAAAAAREAAAD8/AD8AAIAAAAAAADwvwIOvjCZKhgSQAImdQKaCBvSPwAAAAABEQAAAPz8APwAAgAAAAAAAPC/ArhAguLHWBZAAk/RkVz+Q9Y/AAAAADgABAFlBAAAAAAAAAAABAgBZQQAAAAAAAAAAAgMAWUICAAAAAAAAAAMEAFlBAAAAAAAAAAAEBQBZQgIAAAAAAAAABQYAWUEAAAAAAAAAAAYBAFlCAwAAAAAAAAADBwBZQQAAAAAAAAAABwgAWUEAAAAAAAAAAAgJAFlBAAAAAAAAAAAJCgBZQQAAAAAAAAAACgsAWUEAAAAAAAAAAAsMAFlBAAAAAAAAAAAMBwBZQQAAAAAAAAAAAAAAAA=</t>
        </r>
      </text>
    </comment>
    <comment ref="A1136" authorId="0" shapeId="0" xr:uid="{D1B9E18B-603D-48B2-A189-0B8BD8E6A255}">
      <text>
        <r>
          <rPr>
            <sz val="9"/>
            <color indexed="81"/>
            <rFont val="MS P ゴシック"/>
            <family val="3"/>
            <charset val="128"/>
          </rPr>
          <t>Insight iXlW00001C0001136R0585476093S00002270P01232LAocjBAQBF1NjaVRlZ2ljLmRhdGEuTW9sZWN1bGUBbwF/ARJTY2lUZWdpYy5Nb2xlY3VsZQAAAQFkAv5qAQAAAAIAAgEQGAAAAPz8APwAAgAAAAAAAPC/Ai6QoPgxZgNAAg5Pr5RliPg/AAAAACAAAAD8/AD8AAIAAAAAAADwvwIbwFsgQfH4PwKHp1fKMkQAQAAAAAAYAAAA/PwA/AACAAAAAAAA8L8C0GbV52or5j8CDk+vlGWI+D8AAAAAGAAAAPz8APwAAgAAAAAAAPC/AtBm1edqK8a/AoenV8oyRABAAAAAABgAAAD8/AD8AAIAAAAAAADwvwIcDeAtkKDwvwIOT6+UZYj4PwAAAAAYAAAA/PwA/AACAAAAAAAA8L8CXW3F/rJ7/r8Ch6dXyjJEAEAAAAAAHAAAAPz8APwAAgAAAAAAAPC/AhwN4C2QoPC/AhueXinLEOE/AAAAABgAAAD8/AD8AAIAAAAAAADwvwLQZtXnaivGvwKx4emVsgyhPwAAAAAcAAAA/PwA/AACAAAAAAAA8L8C0GbV52or5j8CG55eKcsQ4T8AAAAAHAAAAPz8APwAAgAAAAAAAPC/AtBm1edqK8a/AuVhodY07+6/AAAAABgAAAD8/AD8AAIAAAAAAADwvwLQZtXnaivmPwLzsFBrmnf3vwAAAAAYAAAA/PwA/AACAAAAAAAA8L8C0GbV52or5j8CelioNc27A8AAAAAAHAAAAPz8APwAAgAAAAAAAPC/AtBm1edqK8a/AnpYqDXNuwfAAAAAABgAAAD8/AD8AAIAAAAAAADwvwIcDeAtkKDwvwJ6WKg1zbsDwAAAAAAYAAAA/PwA/AACAAAAAAAA8L8CHA3gLZCg8L8C87BQa5p3978AAAAAAREAAAD8/AD8AAIAAAAAAADwvwKV9gZfmMwJQALKw0Ktad7dvwAAAAABEAAEAWUEAAAAAAAAAAAECAFlBAAAAAAAAAAACAwBZQQAAAAAAAAAAAwQAWUIDAAAAAAAAAAQFAFlBAAAAAAAAAAAEBgBZQQAAAAAAAAAABgcAWUICAAAAAAAAAAcIAFlBAAAAAAAAAAAIAgBZQgMAAAAAAAAABwkAWUEAAAAAAAAAAAkKAFlBAAAAAAAAAAAKCwBZQQAAAAAAAAAACwwAWUEAAAAAAAAAAAwNAFlBAAAAAAAAAAANDgBZQQAAAAAAAAAADgkAWUEAAAAAAAAAAAAAAAA</t>
        </r>
      </text>
    </comment>
    <comment ref="A1137" authorId="0" shapeId="0" xr:uid="{CC890F4A-A06B-45ED-BFC7-3D051FF25C12}">
      <text>
        <r>
          <rPr>
            <sz val="9"/>
            <color indexed="81"/>
            <rFont val="MS P ゴシック"/>
            <family val="3"/>
            <charset val="128"/>
          </rPr>
          <t>Insight iXlW00001C0001137R0585476093S00002272P01036LAocjBAQBF1NjaVRlZ2ljLmRhdGEuTW9sZWN1bGUBbwF/ARJTY2lUZWdpYy5Nb2xlY3VsZQAAAQFkAv5qAQAAAAIAAjQcAAAA/PwA/AACAAAAAAAA8L8CCKwcWmQ74b8CseHplbIMwb8AAAAAGAAAAPz8APwAAgAAAAAAAPC/AvCnxks3id0/ArHh6ZWyDMG/AAAAABgAAAD8/AD8AAIAAAAAAADwvwL4U+Olm8TuPwIXSFD8GHPnPwAAAAAcAAAA/PwA/AACAAAAAAAA8L8C/Knx0k1i/z8CF0hQ/Bhz5z8AAAAAIAAAAPz8APwAAgAAAAAAAPC/AgIrhxbZTgTAArHh6ZWyDMG/AAAAABwAAAD8/AD8AAIAAAAAAADwvwLwp8ZLN4ndPwJNhA1Pr5T5PwAAAAAYAAAA/PwA/AACAAAAAAAA8L8CBFYOLbKd8L8CF0hQ/Bhz5z8AAAAAGAAAAPz8APwAAgAAAAAAAPC/ApOpglFJnfC/AvA4RUdy+e+/AAAAABgAAAD8/AD8AAIAAAAAAADwvwL4U+Olm8TuPwLSkVz+Q/rvvwAAAAAYAAAA/PwA/AACAAAAAAAA8L8C/tR46SaxA0ACseHplbIMwb8AAAAAGAAAAPz8APwAAgAAAAAAAPC/AspUwaikTgDAAvA4RUdy+e+/AAAAABgAAAD8/AD8AAIAAAAAAADwvwICK4cW2U4AwAIXSFD8GHPnPwAAAAAYAAAA/PwA/AACAAAAAAAA8L8C/Knx0k1i/z8C8DhFR3L5778AAAAAOAQAAWUEAAAAAAAAAAAIBAFlBAAAAAAAAAAADAgBZQgIAAAAAAAAABAoAWUEAAAAAAAAAAAUCAFlBAAAAAAAAAAAGAABZQQAAAAAAAAAABwAAWUEAAAAAAAAAAAgBAFlCAwAAAAAAAAAJDABZQgIAAAAAAAAACgcAWUEAAAAAAAAAAAsGAFlBAAAAAAAAAAAMCABZQQAAAAAAAAAACwQAWUEAAAAAAAAAAAkDAFlBAAAAAAAAAAAAAAAAA==</t>
        </r>
      </text>
    </comment>
    <comment ref="A1138" authorId="0" shapeId="0" xr:uid="{C57743F3-4CB6-499A-9F79-23C76C1797D6}">
      <text>
        <r>
          <rPr>
            <sz val="9"/>
            <color indexed="81"/>
            <rFont val="MS P ゴシック"/>
            <family val="3"/>
            <charset val="128"/>
          </rPr>
          <t>Insight iXlW00001C0001138R0585476093S00002274P01104LAocjBAQBF1NjaVRlZ2ljLmRhdGEuTW9sZWN1bGUBbwF/ARJTY2lUZWdpYy5Nb2xlY3VsZQAAAQFkAv5qAQAAAAIAAjgcAAAA/PwA/AACAAAAAAAA8L8Cm+Ydp+hI0j8CJuSDns2qvz8AAAAAGAAAAPz8APwAAgAAAAAAAPC/ArMMcayL2+a/Aibkg57Nqr8/AAAAABgAAAD8/AD8AAIAAAAAAADwvwJahjjWxW3zvwL/Q/rt68DnvwAAAAAcAAAA/PwA/AACAAAAAAAA8L8C1LzjFB1JAkACJuSDns2qvz8AAAAAHAAAAPz8APwAAgAAAAAAAPC/Ai1DHOvitgHAAv9D+u3rwOe/AAAAABgAAAD8/AD8AAIAAAAAAADwvwJO845TdCTpPwL/Q/rt68DnvwAAAAAYAAAA/PwA/AACAAAAAAAA8L8CTvOOU3Qk6T8CCD2bVZ+r7z8AAAAAGAAAAPz8APwAAgAAAAAAAPC/Aqd5xyk6kvw/Agg9m1Wfq+8/AAAAABgAAAD8/AD8AAIAAAAAAADwvwKneccpOpL8PwL/Q/rt68DnvwAAAAAcAAAA/PwA/AACAAAAAAAA8L8CswxxrIvb5r8CQYLix5i7+b8AAAAAGAAAAPz8APwAAgAAAAAAAPC/AtS84xQdSQpAAibkg57Nqr8/AAAAABgAAAD8/AD8AAIAAAAAAADwvwJahjjWxW3zvwIIPZtVn6vvPwAAAAAYAAAA/PwA/AACAAAAAAAA8L8CLUMc6+K2BcACJuSDns2qvz8AAAAAGAAAAPz8APwAAgAAAAAAAPC/Ai1DHOvitgHAAgg9m1Wfq+8/AAAAADwEAAFlBAAAAAAAAAAACAQBZQQAAAAAAAAAAAwcAWUEAAAAAAAAAAAQCAFlCAgAAAAAAAAAFAABZQQAAAAAAAAAABgAAWUEAAAAAAAAAAAcGAFlBAAAAAAAAAAAIBQBZQQAAAAAAAAAACQIAWUEAAAAAAAAAAAoDAFlBAAAAAAAAAAALAQBZQgMAAAAAAAAADA0AWUICAAAAAAAAAA0LAFlBAAAAAAAAAAAIAwBZQQAAAAAAAAAADAQAWUEAAAAAAAAAAAAAAAA</t>
        </r>
      </text>
    </comment>
    <comment ref="A1139" authorId="0" shapeId="0" xr:uid="{A034EBB6-DDF1-475A-BA91-30B3BFF7182B}">
      <text>
        <r>
          <rPr>
            <sz val="9"/>
            <color indexed="81"/>
            <rFont val="MS P ゴシック"/>
            <family val="3"/>
            <charset val="128"/>
          </rPr>
          <t>Insight iXlW00001C0001139R0585476093S00002276P01104LAocjBAQBF1NjaVRlZ2ljLmRhdGEuTW9sZWN1bGUBbwF/ARJTY2lUZWdpYy5Nb2xlY3VsZQAAAQFkAv5qAQAAAAIAAjgcAAAA/PwA/AACAAAAAAAA8L8Cm+Ydp+hI0j8CJuSDns2qv78AAAAAGAAAAPz8APwAAgAAAAAAAPC/ArMMcayL2+a/Aibkg57Nqr+/AAAAABwAAAD8/AD8AAIAAAAAAADwvwLUvOMUHUkCQAIm5IOezaq/vwAAAAAYAAAA/PwA/AACAAAAAAAA8L8CWoY41sVt878C/0P67evA5z8AAAAAGAAAAPz8APwAAgAAAAAAAPC/Ak7zjlN0JOk/Agg9m1Wfq++/AAAAABgAAAD8/AD8AAIAAAAAAADwvwJO845TdCTpPwL/Q/rt68DnPwAAAAAcAAAA/PwA/AACAAAAAAAA8L8CLUMc6+K2BcACJuSDns2qv78AAAAAGAAAAPz8APwAAgAAAAAAAPC/Aqd5xyk6kvw/Av9D+u3rwOc/AAAAABgAAAD8/AD8AAIAAAAAAADwvwKneccpOpL8PwIIPZtVn6vvvwAAAAAcAAAA/PwA/AACAAAAAAAA8L8CswxxrIvb5r8CQYLix5i7+T8AAAAAGAAAAPz8APwAAgAAAAAAAPC/AlqGONbFbfO/Agg9m1Wfq++/AAAAABgAAAD8/AD8AAIAAAAAAADwvwItQxzr4rYBwAL/Q/rt68DnPwAAAAAYAAAA/PwA/AACAAAAAAAA8L8CLUMc6+K2AcACCD2bVZ+r778AAAAAGAAAAPz8APwAAgAAAAAAAPC/AtS84xQdSQpAAibkg57Nqr+/AAAAADwEAAFlBAAAAAAAAAAACBwBZQQAAAAAAAAAAAwEAWUICAAAAAAAAAAQAAFlBAAAAAAAAAAAFAABZQQAAAAAAAAAABgwAWUEAAAAAAAAAAAcFAFlBAAAAAAAAAAAIBABZQQAAAAAAAAAACQMAWUEAAAAAAAAAAAoBAFlBAAAAAAAAAAALAwBZQQAAAAAAAAAADAoAWUICAAAAAAAAAA0CAFlBAAAAAAAAAAAIAgBZQQAAAAAAAAAABgsAWUICAAAAAAAAAAAAAAA</t>
        </r>
      </text>
    </comment>
    <comment ref="A1140" authorId="0" shapeId="0" xr:uid="{D04A41CC-0457-48AC-B1B8-32B77EEB7A7A}">
      <text>
        <r>
          <rPr>
            <sz val="9"/>
            <color indexed="81"/>
            <rFont val="MS P ゴシック"/>
            <family val="3"/>
            <charset val="128"/>
          </rPr>
          <t>Insight iXlW00001C0001140R0585476093S00002278P01448LAocjBAQBF1NjaVRlZ2ljLmRhdGEuTW9sZWN1bGUBbwF/ARJTY2lUZWdpYy5Nb2xlY3VsZQAAAQFkAv5qAQAAAAIAAgETHAAAAPz8APwAAgAAAAAAAPC/AnNoke18PwnAAhaMSuoENHG/AAAAABgAAAD8/AD8AAIAAAAAAADwvwKgibDh6ZUHwAKP5PIf0m/vvwAAAAAYAAAA/PwA/AACAAAAAAAA8L8CMnctIR/0/78CRIts5/up9L8AAAAAGAAAAPz8APwAAgAAAAAAAPC/AqcKRiV1Avu/AqkT0ETY8AHAAAAAABwAAAD8/AD8AAIAAAAAAADwvwJNFYxK6gTmvwKpE9BE2PABwAAAAAAYAAAA/PwA/AACAAAAAAAA8L8CbHh6pSxD2L8CRIts5/up9L8AAAAAHAAAAPz8APwAAgAAAAAAAPC/AqcKRiV1AvO/AvaX3ZOHhea/AAAAABgAAAD8/AD8AAIAAAAAAADwvwKnCkYldQLzvwIU0ETY8PTSPwAAAAAYAAAA/PwA/AACAAAAAAAA8L8Ck6mCUUmd1L8CCmgibHh66T8AAAAAGAAAAPz8APwAAgAAAAAAAPC/ApOpglFJndS/AgU0ETY8vfw/AAAAABgAAAD8/AD8AAIAAAAAAADwvwK6awn5oGfhPwIDmggbnl4CQAAAAAAYAAAA/PwA/AACAAAAAAAA8L8CHxZqTfOO9j8CBTQRNjy9/D8AAAAAGAAAAPz8APwAAgAAAAAAAPC/Ah8Wak3zjvY/AgpoImx4euk/AAAAABgAAAD8/AD8AAIAAAAAAADwvwK6awn5oGfhPwIU0ETY8PTSPwAAAAAYAAAA/PwA/AACAAAAAAAA8L8CMLsnDws1AkACFNBE2PD00j8AAAAAJAAAAPz8APwAAgAAAAAAAPC/AjC7Jw8LNQZAArhAguLHmPI/AAAAACQAAAD8/AD8AAIAAAAAAADwvwKKQWDl0CIJQALZX3ZPHhbKvwAAAAAkAAAA/PwA/AACAAAAAAAA8L8CYHZPHhZq/D8CeVioNc074r8AAAAAAREAAAD8/AD8AAIAAAAAAADwvwLwp8ZLN4kPQAJTliGOdXGbPwAAAAABEwAEAWUEAAAAAAAAAAAECAFlBAAAAAAAAAAACAwBZQgMAAAAAAAAAAwQAWUEAAAAAAAAAAAQFAFlCAgAAAAAAAAAFBgBZQQAAAAAAAAAABgIAWUEAAAAAAAAAAAYHAFlBAAAAAAAAAAAHCABZQQAAAAAAAAAACAkAWUEAAAAAAAAAAAkKAFlCAgAAAAAAAAAKCwBZQQAAAAAAAAAACwwAWUICAAAAAAAAAAwNAFlBAAAAAAAAAAANCABZQgMAAAAAAAAADA4AWUEAAAAAAAAAAA4PAFlBAAAAAAAAAAAOAEQAWUEAAAAAAAAAAA4AREBZQQAAAAAAAAAAAAAAAA=</t>
        </r>
      </text>
    </comment>
    <comment ref="A1141" authorId="0" shapeId="0" xr:uid="{51D3CC67-B71D-412A-BC31-C4D0C7665074}">
      <text>
        <r>
          <rPr>
            <sz val="9"/>
            <color indexed="81"/>
            <rFont val="MS P ゴシック"/>
            <family val="3"/>
            <charset val="128"/>
          </rPr>
          <t>Insight iXlW00001C0001141R0585476093S00002280P01448LAocjBAQBF1NjaVRlZ2ljLmRhdGEuTW9sZWN1bGUBbwF/ARJTY2lUZWdpYy5Nb2xlY3VsZQAAAQFkAv5qAQAAAAIAAgETHAAAAPz8APwAAgAAAAAAAPC/Aov9Zffk4QfAAvvL7snDQvI/AAAAABgAAAD8/AD8AAIAAAAAAADwvwIJih9j7loKwALr4jYawFvIPwAAAAAYAAAA/PwA/AACAAAAAAAA8L8CqoJRSZ0ABcACN6s+V1ux4b8AAAAAGAAAAPz8APwAAgAAAAAAAPC/Au0NvjCZqgbAAld9rrZif/i/AAAAABwAAAD8/AD8AAIAAAAAAADwvwIoDwu1pnn/vwKrPldbsT8AwAAAAAAYAAAA/PwA/AACAAAAAAAA8L8CoImw4emV878CJ8KGp1fK9b8AAAAAHAAAAPz8APwAAgAAAAAAAPC/Ap0Rpb3BF/q/Aoqw4emVsty/AAAAABgAAAD8/AD8AAIAAAAAAADwvwKdEaW9wRfyvwJ90LNZ9bnaPwAAAAAYAAAA/PwA/AACAAAAAAAA8L8C54wo7Q2+wL8CfdCzWfW52j8AAAAAGAAAAPz8APwAAgAAAAAAAPC/AskHPZtVn9c/Aoqw4emVsty/AAAAABgAAAD8/AD8AAIAAAAAAADwvwLyQc9m1ef1PwKKsOHplbLcvwAAAAAYAAAA/PwA/AACAAAAAAAA8L8C8kHPZtXn/T8CfdCzWfW52j8AAAAAGAAAAPz8APwAAgAAAAAAAPC/AvJBz2bV5/U/AmFUUiegifQ/AAAAABgAAAD8/AD8AAIAAAAAAADwvwKNuWsJ+aDXPwJhVFInoIn0PwAAAAAYAAAA/PwA/AACAAAAAAAA8L8C+aBns+rzBkACfdCzWfW52j8AAAAAJAAAAPz8APwAAgAAAAAAAPC/AvmgZ7Pq8wZAAh/0bFZ9rvY/AAAAACQAAAD8/AD8AAIAAAAAAADwvwL5oGez6vMOQAJ90LNZ9bnaPwAAAAAkAAAA/PwA/AACAAAAAAAA8L8C+aBns+rzBkACwhcmUwWj4r8AAAAAAREAAAD8/AD8AAIAAAAAAADwvwKwA+eMKK0SQAJRa5p3nKLTvwAAAAABEwAEAWUEAAAAAAAAAAAECAFlBAAAAAAAAAAACAwBZQgMAAAAAAAAAAwQAWUEAAAAAAAAAAAQFAFlCAgAAAAAAAAAFBgBZQQAAAAAAAAAABgIAWUEAAAAAAAAAAAYHAFlBAAAAAAAAAAAHCABZQQAAAAAAAAAACAkAWUIDAAAAAAAAAAkKAFlBAAAAAAAAAAAKCwBZQgIAAAAAAAAACwwAWUEAAAAAAAAAAAwNAFlCAgAAAAAAAAANCABZQQAAAAAAAAAACw4AWUEAAAAAAAAAAA4PAFlBAAAAAAAAAAAOAEQAWUEAAAAAAAAAAA4AREBZQQAAAAAAAAAAAAAAAA=</t>
        </r>
      </text>
    </comment>
    <comment ref="A1142" authorId="0" shapeId="0" xr:uid="{E2A04758-CDA8-4494-82AE-7D984592D7B1}">
      <text>
        <r>
          <rPr>
            <sz val="9"/>
            <color indexed="81"/>
            <rFont val="MS P ゴシック"/>
            <family val="3"/>
            <charset val="128"/>
          </rPr>
          <t>Insight iXlW00001C0001142R0585476093S00002282P00964LAocjBAQBF1NjaVRlZ2ljLmRhdGEuTW9sZWN1bGUBbwF/ARJTY2lUZWdpYy5Nb2xlY3VsZQAAAQFkAv5qAQAAAAIAAjAYAAAA/PwA/AACAAAAAAAA8L8CzTtO0ZFc8z8Cb4EExY8x5b8AAAAAHAAAAPz8APwAAgAAAAAAAPC/Agr5oGez6uM/Ap5eKcsQx8I/AAAAABwAAAD8/AD8AAIAAAAAAADwvwLu68A5I0oBQAKxUGuad5zWvwAAAAAYAAAA/PwA/AACAAAAAAAA8L8C7uvAOSNKAUACqFfKMsSx5D8AAAAAGAAAAPz8APwAAgAAAAAAAPC/As07TtGRXPM/Ar4wmSoYle4/AAAAABgAAAD8/AD8AAIAAAAAAADwvwLtDb4wmSrYvwKeXinLEMfCPwAAAAAcAAAA/PwA/AACAAAAAAAA8L8CokW28/3U7D8Cx9y1hHzQ+b8AAAAAIAAAAPz8APwAAgAAAAAAAPC/Ar7BFyZTBQPAAp5eKcsQx8I/AAAAABgAAAD8/AD8AAIAAAAAAADwvwL3Bl+YTBXsvwLcaABvgQTnvwAAAAAYAAAA/PwA/AACAAAAAAAA8L8C9wZfmEwV7L8CFoxK6gQ08D8AAAAAGAAAAPz8APwAAgAAAAAAAPC/AnyDL0ymCv6/AtxoAG+BBOe/AAAAABgAAAD8/AD8AAIAAAAAAADwvwJ8gy9Mpgr+vwIWjErqBDTwPwAAAAA0BAABZQQAAAAAAAAAAAgAAWUICAAAAAAAAAAMCAFlBAAAAAAAAAAAEAQBZQQAAAAAAAAAABQEAWUEAAAAAAAAAAAYAAFlBAAAAAAAAAAAHCwBZQQAAAAAAAAAACAUAWUEAAAAAAAAAAAkFAFlBAAAAAAAAAAAKCABZQQAAAAAAAAAACwkAWUEAAAAAAAAAAAQDAFlCAgAAAAAAAAAKBwBZQQAAAAAAAAAAAAAAAA=</t>
        </r>
      </text>
    </comment>
    <comment ref="A1143" authorId="0" shapeId="0" xr:uid="{ABE9515B-CDA0-4311-AD56-63C1AD1E0AB5}">
      <text>
        <r>
          <rPr>
            <sz val="9"/>
            <color indexed="81"/>
            <rFont val="MS P ゴシック"/>
            <family val="3"/>
            <charset val="128"/>
          </rPr>
          <t>Insight iXlW00001C0001143R0585476093S00002284P01124LAocjBAQBF1NjaVRlZ2ljLmRhdGEuTW9sZWN1bGUBbwF/ARJTY2lUZWdpYy5Nb2xlY3VsZQAAAQFkAv5qAQAAAAIAAjgYAAAA/PwA/AACAAAAAAAA8L8CWag1zTtO1T8CBqOSOgFN5D8AAAAAGAAAAPz8APwAAgAAAAAAAPC/AsZtNIC3QNq/Aqk1zTtO0aG/AAAAABgAAAD8/AD8AAIAAAAAAADwvwJq3nGKjuSyvwKHp1fKMsT4PwAAAAAcAAAA/PwA/AACAAAAAAAA8L8CnRGlvcEX8b8CDr4wmSoY9z8AAAAAGAAAAPz8APwAAgAAAAAAAPC/AiQofoy5a/S/AktZhjjWxd0/AAAAABgAAAD8/AD8AAIAAAAAAADwvwLGbTSAt0DavwKtad5xio7wvwAAAAAYAAAA/PwA/AACAAAAAAAA8L8C0pFc/kP69D8Cs53vp8ZL2z8AAAAAJAAAAPz8APwAAgAAAAAAAPC/AkETYcPTK90/Aq5p3nGKjvi/AAAAABgAAAD8/AD8AAIAAAAAAADwvwIzxLEubiMBwAKtad5xio7wvwAAAAAYAAAA/PwA/AACAAAAAAAA8L8CM8SxLm4jAcACqTXNO07Rob8AAAAAGAAAAPz8APwAAgAAAAAAAPC/Aj29UpYhjgVAAm7F/rJ78sA/AAAAABgAAAD8/AD8AAIAAAAAAADwvwKze/KwUGv0vwKuad5xio74vwAAAAAYAAAA/PwA/AACAAAAAAAA8L8CirDh6ZUyAUACwqikTkAT7z8AAAAAGAAAAPz8APwAAgAAAAAAAPC/Asb+snvysP0/AhpR2ht8Ydq/AAAAAAEQBAABZQQAAAAAAAAAAAgAAWUICAAAAAAAAAAMCAFlBAAAAAAAAAAAEAQBZQgMAAAAAAAAABQEAWUEAAAAAAAAAAAYAAFlBAAAAAAAAAAAHBQBZQQAAAAAAAAAACAsAWUEAAAAAAAAAAAkEAFlBAAAAAAAAAAAKDQBZQQAAAAAAAAAACwUAWUICAAAAAAAAAAwGAFlBAAAAAAAAAAANBgBZQQAAAAAAAAAADAoAWUEAAAAAAAAAAAQDAFlBAAAAAAAAAAAJCABZQgIAAAAAAAAAAAAAAA=</t>
        </r>
      </text>
    </comment>
    <comment ref="A1144" authorId="0" shapeId="0" xr:uid="{60C4CA22-CE4C-4046-A223-79C8BBB5E5A2}">
      <text>
        <r>
          <rPr>
            <sz val="9"/>
            <color indexed="81"/>
            <rFont val="MS P ゴシック"/>
            <family val="3"/>
            <charset val="128"/>
          </rPr>
          <t>Insight iXlW00001C0001144R0585476093S00002286P00964LAocjBAQBF1NjaVRlZ2ljLmRhdGEuTW9sZWN1bGUBbwF/ARJTY2lUZWdpYy5Nb2xlY3VsZQAAAQFkAv5qAQAAAAIAAjAcAAAA/PwA/AACAAAAAAAA8L8CejarPldb8D8Cc2iR7Xw/8z8AAAAAGAAAAPz8APwAAgAAAAAAAPC/ArWmeccpOrI/AopBYOXQIru/AAAAABgAAAD8/AD8AAIAAAAAAADwvwI0orQ3+ML5PwKe76fGSzfZPwAAAAAYAAAA/PwA/AACAAAAAAAA8L8CejarPldb8D8CkML1KFyP2r8AAAAAGAAAAPz8APwAAgAAAAAAAPC/ArWmeccpOrI/As/3U+Olm+w/AAAAABgAAAD8/AD8AAIAAAAAAADwvwKti9toAG/pvwIxCKwcWmTjvwAAAAAYAAAA/PwA/AACAAAAAAAA8L8CrYvbaABv6b8C6Pup8dJN9j8AAAAAGAAAAPz8APwAAgAAAAAAAPC/AhgmUwWjkvq/AopBYOXQIru/AAAAABgAAAD8/AD8AAIAAAAAAADwvwIYJlMFo5L6vwLP91PjpZvsPwAAAAAkAAAA/PwA/AACAAAAAAAA8L8CLUMc6+I2BMACMQisHFpk478AAAAAGAAAAPz8APwAAgAAAAAAAPC/AgajkjoBTfU/ArMMcayL2/W/AAAAABgAAAD8/AD8AAIAAAAAAADwvwJh5dAi23kCQALJdr6fGi/5vwAAAAA0BBABZQgMAAAAAAAAAAgAAWUEAAAAAAAAAAAMCAFlCAwAAAAAAAAAEAABZQQAAAAAAAAAABQEAWUEAAAAAAAAAAAYEAFlBAAAAAAAAAAAHCABZQQAAAAAAAAAACAYAWUICAAAAAAAAAAkHAFlBAAAAAAAAAAAKAwBZQQAAAAAAAAAACwoAWUEAAAAAAAAAAAMBAFlBAAAAAAAAAAAFBwBZQgIAAAAAAAAAAAAAAA=</t>
        </r>
      </text>
    </comment>
    <comment ref="A1145" authorId="0" shapeId="0" xr:uid="{FA7CFDC6-1932-43D4-95AC-F78C42FA1E3F}">
      <text>
        <r>
          <rPr>
            <sz val="9"/>
            <color indexed="81"/>
            <rFont val="MS P ゴシック"/>
            <family val="3"/>
            <charset val="128"/>
          </rPr>
          <t>Insight iXlW00001C0001145R0585476093S00002288P00964LAocjBAQBF1NjaVRlZ2ljLmRhdGEuTW9sZWN1bGUBbwF/ARJTY2lUZWdpYy5Nb2xlY3VsZQAAAQFkAv5qAQAAAAIAAjAcAAAA/PwA/AACAAAAAAAA8L8CyxDHuriN8j8CQfFjzF1L8b8AAAAAGAAAAPz8APwAAgAAAAAAAPC/AuSlm8QgsMo/AmwJ+aBns+i/AAAAABgAAAD8/AD8AAIAAAAAAADwvwLkpZvEILDKPwJR2ht8YTLNPwAAAAAYAAAA/PwA/AACAAAAAAAA8L8ChXzQs1n1+z8C2BLyQc9m0b8AAAAAGAAAAPz8APwAAgAAAAAAAPC/AssQx7q4jfI/AqvP1VbsL+E/AAAAABgAAAD8/AD8AAIAAAAAAADwvwIL16NwPQrlvwK2hHzQs1n0vwAAAAAYAAAA/PwA/AACAAAAAAAA8L8CC9ejcD0K5b8ClfYGX5hM5z8AAAAAGAAAAPz8APwAAgAAAAAAAPC/AsdLN4lBYPi/AmwJ+aBns+i/AAAAABgAAAD8/AD8AAIAAAAAAADwvwLHSzeJQWD4vwJR2ht8YTLNPwAAAAAkAAAA/PwA/AACAAAAAAAA8L8CBFYOLbIdA8ACtoR80LNZ9L8AAAAAGAAAAPz8APwAAgAAAAAAAPC/Ald9rrZif/c/AnPXEvJBz/c/AAAAABgAAAD8/AD8AAIAAAAAAADwvwIv3SQGgZXpPwK2hHzQs9kBQAAAAAA0BAABZQQAAAAAAAAAAAgEAWUIDAAAAAAAAAAMAAFlBAAAAAAAAAAAEAwBZQgMAAAAAAAAABQEAWUEAAAAAAAAAAAYCAFlBAAAAAAAAAAAHBQBZQgIAAAAAAAAACAcAWUEAAAAAAAAAAAkHAFlBAAAAAAAAAAAKBABZQQAAAAAAAAAACwoAWUEAAAAAAAAAAAQCAFlBAAAAAAAAAAAGCABZQgIAAAAAAAAAAAAAAA=</t>
        </r>
      </text>
    </comment>
    <comment ref="A1146" authorId="0" shapeId="0" xr:uid="{F3020159-D648-46BD-8D61-4E3597DB2653}">
      <text>
        <r>
          <rPr>
            <sz val="9"/>
            <color indexed="81"/>
            <rFont val="MS P ゴシック"/>
            <family val="3"/>
            <charset val="128"/>
          </rPr>
          <t>Insight iXlW00001C0001146R0585476093S00002290P01268LAocjBAQBF1NjaVRlZ2ljLmRhdGEuTW9sZWN1bGUBbwF/ARJTY2lUZWdpYy5Nb2xlY3VsZQAAAQFkAv5qAQAAAAIAAgEQGAAAAPz8APwAAgAAAAAAAPC/Atnw9EpZhsi/AiigibDh6eM/AAAAABgAAAD8/AD8AAIAAAAAAADwvwIOT6+UZYjLPwIYJlMFo5L4PwAAAAAYAAAA/PwA/AACAAAAAAAA8L8C2c73U+Ol4T8CiWNd3EYDqL8AAAAAHAAAAPz8APwAAgAAAAAAAPC/Apjdk4eFWvM/Ap88LNSa5vY/AAAAABgAAAD8/AD8AAIAAAAAAADwvwKuR+F6FK72PwKPU3Qkl//cPwAAAAAYAAAA/PwA/AACAAAAAAAA8L8C+FPjpZtEAkACiWNd3EYDqL8AAAAAGAAAAPz8APwAAgAAAAAAAPC/AtnO91PjpeE/Ahzr4jYawPC/AAAAABgAAAD8/AD8AAIAAAAAAADwvwLWxW00gLfyvwL3l92Th4XaPwAAAAAgAAAA/PwA/AACAAAAAAAA8L8CbjSAt0ACCcAC+n5qvHSTWL8AAAAAGAAAAPz8APwAAgAAAAAAAPC/AvhT46WbRAJAAhzr4jYawPC/AAAAABgAAAD8/AD8AAIAAAAAAADwvwKuR+F6FK72PwId6+I2GsD4vwAAAAAkAAAA/PwA/AACAAAAAAAA8L8CUdobfGEyCUACHeviNhrA+L8AAAAAGAAAAPz8APwAAgAAAAAAAPC/Ag8tsp3vpwPAAk9AE2HD0+e/AAAAABgAAAD8/AD8AAIAAAAAAADwvwIofoy5a4kGwALeAgmKH2PuPwAAAAAYAAAA/PwA/AACAAAAAAAA8L8CYjJVMCqp978CI2x4eqUs4b8AAAAAGAAAAPz8APwAAgAAAAAAAPC/ApXUCWgibP2/AoXrUbgehfI/AAAAAAESBAABZQgIAAAAAAAAAAgAAWUEAAAAAAAAAAAMBAFlBAAAAAAAAAAAEAgBZQgMAAAAAAAAABQQAWUEAAAAAAAAAAAYCAFlBAAAAAAAAAAAHAABZQQAAAAAAAAAACA0AWUEAAAAAAAAAAAkKAFlBAAAAAAAAAAAKBgBZQgIAAAAAAAAACwkAWUEAAAAAAAAAAAwOAFlBAAAAAAAAAAANDwBZQQAAAAAAAAAADgcAWUEAAAAAAAAAAA8HAFlBAAAAAAAAAAAEAwBZQQAAAAAAAAAADAgAWUEAAAAAAAAAAAUJAFlCAgAAAAAAAAAAAAAAA==</t>
        </r>
      </text>
    </comment>
    <comment ref="A1147" authorId="0" shapeId="0" xr:uid="{899F58C3-E6F0-459D-8C3D-1D60F527FC6C}">
      <text>
        <r>
          <rPr>
            <sz val="9"/>
            <color indexed="81"/>
            <rFont val="MS P ゴシック"/>
            <family val="3"/>
            <charset val="128"/>
          </rPr>
          <t>Insight iXlW00001C0001147R0585476093S00002292P01272LAocjBAQBF1NjaVRlZ2ljLmRhdGEuTW9sZWN1bGUBbwF/ARJTY2lUZWdpYy5Nb2xlY3VsZQAAAQFkAv5qAQAAAAIAAgERJAAAAPz8APwAAgAAAAAAAPC/AkGC4seYu/k/Aqd5xyk6kvy/AAAAABgAAAD8/AD8AAIAAAAAAADwvwJBguLHmLv5PwJO845TdCTpvwAAAAAYAAAA/PwA/AACAAAAAAAA8L8CQfFjzF3LA0ACm+Ydp+hI0r8AAAAAHAAAAPz8APwAAgAAAAAAAPC/AnrHKTqSywNAArMMcayL2+Y/AAAAABgAAAD8/AD8AAIAAAAAAADwvwJBguLHmLv5PwJahjjWxW3zPwAAAAAYAAAA/PwA/AACAAAAAAAA8L8C/0P67evA5z8CswxxrIvb5j8AAAAAGAAAAPz8APwAAgAAAAAAAPC/Av9D+u3rwOc/ApvmHafoSNK/AAAAABwAAAD8/AD8AAIAAAAAAADwvwIm5IOezaq/vwJO845TdCTpvwAAAAAYAAAA/PwA/AACAAAAAAAA8L8CCD2bVZ+r778Cm+Ydp+hI0r8AAAAAGAAAAPz8APwAAgAAAAAAAPC/AjerPldbsf2/Ak7zjlN0JOm/AAAAABgAAAD8/AD8AAIAAAAAAADwvwK8BRIUP8YFwAKb5h2n6EjSvwAAAAAcAAAA/PwA/AACAAAAAAAA8L8CvAUSFD/GBcACswxxrIvb5j8AAAAAGAAAAPz8APwAAgAAAAAAAPC/AjerPldbsf2/AlqGONbFbfM/AAAAABgAAAD8/AD8AAIAAAAAAADwvwLqlbIMcazvvwKzDHGsi9vmPwAAAAABEQAAAPz8APwAAgAAAAAAAPC/AuAtkKD4MQpAAj/o2az6XNW/AAAAAAERAAAA/PwA/AACAAAAAAAA8L8Cfoy5awk5EUACIUHxY8xd078AAAAAAREAAAD8/AD8AAIAAAAAAADwvwIoDwu1pnkVQALvycNCrWnOvwAAAAA8AAQBZQQAAAAAAAAAAAQIAWUIDAAAAAAAAAAIDAFlBAAAAAAAAAAADBABZQgIAAAAAAAAABAUAWUEAAAAAAAAAAAUGAFlCAgAAAAAAAAAGAQBZQQAAAAAAAAAABgcAWUEAAAAAAAAAAAcIAFlBAAAAAAAAAAAICQBZQQAAAAAAAAAACQoAWUEAAAAAAAAAAAoLAFlBAAAAAAAAAAALDABZQQAAAAAAAAAADA0AWUEAAAAAAAAAAA0IAFlBAAAAAAAAAAAAAAAAA==</t>
        </r>
      </text>
    </comment>
    <comment ref="A1148" authorId="0" shapeId="0" xr:uid="{D0700AD4-9540-485A-A343-626B36992CA9}">
      <text>
        <r>
          <rPr>
            <sz val="9"/>
            <color indexed="81"/>
            <rFont val="MS P ゴシック"/>
            <family val="3"/>
            <charset val="128"/>
          </rPr>
          <t>Insight iXlW00001C0001148R0585476093S00002294P01272LAocjBAQBF1NjaVRlZ2ljLmRhdGEuTW9sZWN1bGUBbwF/ARJTY2lUZWdpYy5Nb2xlY3VsZQAAAQFkAv5qAQAAAAIAAgERGAAAAPz8APwAAgAAAAAAAPC/AkGC4seYu/k/Aqd5xyk6kvy/AAAAABgAAAD8/AD8AAIAAAAAAADwvwJBguLHmLv5PwJO845TdCTpvwAAAAAYAAAA/PwA/AACAAAAAAAA8L8CQfFjzF3LA0ACm+Ydp+hI0r8AAAAAHAAAAPz8APwAAgAAAAAAAPC/AnrHKTqSywNAArMMcayL2+Y/AAAAABgAAAD8/AD8AAIAAAAAAADwvwJBguLHmLv5PwJahjjWxW3zPwAAAAAYAAAA/PwA/AACAAAAAAAA8L8C/0P67evA5z8CswxxrIvb5j8AAAAAGAAAAPz8APwAAgAAAAAAAPC/Av9D+u3rwOc/ApvmHafoSNK/AAAAABwAAAD8/AD8AAIAAAAAAADwvwIm5IOezaq/vwJO845TdCTpvwAAAAAYAAAA/PwA/AACAAAAAAAA8L8CCD2bVZ+r778Cm+Ydp+hI0r8AAAAAGAAAAPz8APwAAgAAAAAAAPC/AjerPldbsf2/Ak7zjlN0JOm/AAAAABgAAAD8/AD8AAIAAAAAAADwvwK8BRIUP8YFwAKb5h2n6EjSvwAAAAAcAAAA/PwA/AACAAAAAAAA8L8CvAUSFD/GBcACswxxrIvb5j8AAAAAGAAAAPz8APwAAgAAAAAAAPC/AjerPldbsf2/AlqGONbFbfM/AAAAABgAAAD8/AD8AAIAAAAAAADwvwLqlbIMcazvvwKzDHGsi9vmPwAAAAABEQAAAPz8APwAAgAAAAAAAPC/AuAtkKD4MQpAAj/o2az6XNW/AAAAAAERAAAA/PwA/AACAAAAAAAA8L8Cfoy5awk5EUACIUHxY8xd078AAAAAAREAAAD8/AD8AAIAAAAAAADwvwIoDwu1pnkVQALvycNCrWnOvwAAAAA8AAQBZQQAAAAAAAAAAAQIAWUIDAAAAAAAAAAIDAFlBAAAAAAAAAAADBABZQgIAAAAAAAAABAUAWUEAAAAAAAAAAAUGAFlCAgAAAAAAAAAGAQBZQQAAAAAAAAAABgcAWUEAAAAAAAAAAAcIAFlBAAAAAAAAAAAICQBZQQAAAAAAAAAACQoAWUEAAAAAAAAAAAoLAFlBAAAAAAAAAAALDABZQQAAAAAAAAAADA0AWUEAAAAAAAAAAA0IAFlBAAAAAAAAAAAAAAAAA==</t>
        </r>
      </text>
    </comment>
    <comment ref="A1149" authorId="0" shapeId="0" xr:uid="{9317B014-6E79-48F9-958E-56DFEA4E093D}">
      <text>
        <r>
          <rPr>
            <sz val="9"/>
            <color indexed="81"/>
            <rFont val="MS P ゴシック"/>
            <family val="3"/>
            <charset val="128"/>
          </rPr>
          <t>Insight iXlW00001C0001149R0585476093S00002296P01272LAocjBAQBF1NjaVRlZ2ljLmRhdGEuTW9sZWN1bGUBbwF/ARJTY2lUZWdpYy5Nb2xlY3VsZQAAAQFkAv5qAQAAAAIAAgERGAAAAPz8APwAAgAAAAAAAPC/AnpYqDXNuwlAAunZrPpcbeu/AAAAABgAAAD8/AD8AAIAAAAAAADwvwIg0m9fB84CQALRs1n1udrWvwAAAAAYAAAA/PwA/AACAAAAAAAA8L8C/0P67evA9z8C6dms+lxt678AAAAAGAAAAPz8APwAAgAAAAAAAPC/AnrHKTqSy+M/AtGzWfW52ta/AAAAABwAAAD8/AD8AAIAAAAAAADwvwIm5IOezarPvwLp2az6XG3rvwAAAAAYAAAA/PwA/AACAAAAAAAA8L8COIlBYOXQ8b8C0bNZ9bna1r8AAAAAGAAAAPz8APwAAgAAAAAAAPC/AnnpJjEIrP+/AunZrPpcbeu/AAAAABgAAAD8/AD8AAIAAAAAAADwvwLdJAaBlcMGwALRs1n1udrWvwAAAAAcAAAA/PwA/AACAAAAAAAA8L8C3SQGgZXDBsACGCZTBaOS5D8AAAAAGAAAAPz8APwAAgAAAAAAAPC/AnnpJjEIrP+/ApvmHafoSPI/AAAAABgAAAD8/AD8AAIAAAAAAADwvwI4iUFg5dDxvwI2zTtO0ZHkPwAAAAAYAAAA/PwA/AACAAAAAAAA8L8CescpOpLL4z8CNs07TtGR5D8AAAAAGAAAAPz8APwAAgAAAAAAAPC/Av9D+u3rwPc/ApvmHafoSPI/AAAAABwAAAD8/AD8AAIAAAAAAADwvwIg0m9fB84CQAIYJlMFo5LkPwAAAAABEQAAAPz8APwAAgAAAAAAAPC/AnBfB84ZERBAAjEqqRPQRLg/AAAAAAERAAAA/PwA/AACAAAAAAAA8L8C/tR46SYxFEACVOOlm8QgwD8AAAAAAREAAAD8/AD8AAIAAAAAAADwvwKoV8oyxHEYQAKmm8QgsHLIPwAAAAA8AAQBZQQAAAAAAAAAAAQIAWUIDAAAAAAAAAAIDAFlBAAAAAAAAAAADBABZQQAAAAAAAAAABAUAWUEAAAAAAAAAAAUGAFlBAAAAAAAAAAAGBwBZQQAAAAAAAAAABwgAWUEAAAAAAAAAAAgJAFlBAAAAAAAAAAAJCgBZQQAAAAAAAAAACgUAWUEAAAAAAAAAAAMLAFlCAgAAAAAAAAALDABZQQAAAAAAAAAADA0AWUICAAAAAAAAAA0BAFlBAAAAAAAAAAAAAAAAA==</t>
        </r>
      </text>
    </comment>
    <comment ref="A1150" authorId="0" shapeId="0" xr:uid="{B3946BAE-3AF4-4940-8521-092279DE8A1F}">
      <text>
        <r>
          <rPr>
            <sz val="9"/>
            <color indexed="81"/>
            <rFont val="MS P ゴシック"/>
            <family val="3"/>
            <charset val="128"/>
          </rPr>
          <t>Insight iXlW00001C0001150R0585476093S00002298P01200LAocjBAQBF1NjaVRlZ2ljLmRhdGEuTW9sZWN1bGUBbwF/ARJTY2lUZWdpYy5Nb2xlY3VsZQAAAQFkAv5qAQAAAAIAAgEQHAAAAPz8APwAAgAAAAAAAPC/AoG3QILix8i/AolBYOXQIvQ/AAAAABgAAAD8/AD8AAIAAAAAAADwvwJsmnecoiPhvwJJv30dOGfUPwAAAAAYAAAA/PwA/AACAAAAAAAA8L8CTvOOU3Qk4b8CXCBB8WPM5b8AAAAAGAAAAPz8APwAAgAAAAAAAPC/AunZrPpcbfa/Ai6QoPgx5vK/AAAAABwAAAD8/AD8AAIAAAAAAADwvwIVHcnlPyQCwAJcIEHxY8zlvwAAAAAYAAAA/PwA/AACAAAAAAAA8L8CFR3J5T8kAsAChQ1Pr5Rl1D8AAAAAGAAAAPz8APwAAgAAAAAAAPC/AunZrPpcbfa/AsOGp1fKMuo/AAAAABgAAAD8/AD8AAIAAAAAAADwvwKsPldbsb/cPwIYJlMFo5LCPwAAAAAYAAAA/PwA/AACAAAAAAAA8L8C4QuTqYJR6T8C6dms+lxt6b8AAAAAGAAAAPz8APwAAgAAAAAAAPC/AtEi2/l+avw/AiWX/5B+++6/AAAAABgAAAD8/AD8AAIAAAAAAADwvwJ+rrZif1kDQALKw0Ktad7JvwAAAAAcAAAA/PwA/AACAAAAAAAA8L8CW9O84xSdAEACmpmZmZmZ5z8AAAAAGAAAAPz8APwAAgAAAAAAAPC/AtUJaCJsePE/ArivA+eMKO0/AAAAAAERAAAA/PwA/AACAAAAAAAA8L8C5BQdyeW/CUACVcGopE5Ag78AAAAAAREAAAD8/AD8AAIAAAAAAADwvwIAAAAAAAARQAI0ETY8vVKWPwAAAAABEQAAAPz8APwAAgAAAAAAAPC/AqqCUUmdQBVAAvH0SlmGOLY/AAAAADgABAFlBAAAAAAAAAAABAgBZQQAAAAAAAAAAAgMAWUEAAAAAAAAAAAMEAFlBAAAAAAAAAAAEBQBZQQAAAAAAAAAABQYAWUEAAAAAAAAAAAYBAFlBAAAAAAAAAAABBwBZQQAAAAAAAAAABwgAWUIDAAAAAAAAAAgJAFlBAAAAAAAAAAAJCgBZQgIAAAAAAAAACgsAWUEAAAAAAAAAAAsMAFlCAgAAAAAAAAAMBwBZQQAAAAAAAAAAAAAAAA=</t>
        </r>
      </text>
    </comment>
    <comment ref="A1151" authorId="0" shapeId="0" xr:uid="{1646F224-4571-4F5C-8FB5-837E0F8C2E9A}">
      <text>
        <r>
          <rPr>
            <sz val="9"/>
            <color indexed="81"/>
            <rFont val="MS P ゴシック"/>
            <family val="3"/>
            <charset val="128"/>
          </rPr>
          <t>Insight iXlW00001C0001151R0585476093S00002300P01200LAocjBAQBF1NjaVRlZ2ljLmRhdGEuTW9sZWN1bGUBbwF/ARJTY2lUZWdpYy5Nb2xlY3VsZQAAAQFkAv5qAQAAAAIAAgEQJAAAAPz8APwAAgAAAAAAAPC/AvCnxks3id2/Ak2EDU+vlPk/AAAAABgAAAD8/AD8AAIAAAAAAADwvwL4U+Olm8TuvwIXSFD8GHPnPwAAAAAYAAAA/PwA/AACAAAAAAAA8L8C/Knx0k1i/78CF0hQ/Bhz5z8AAAAAHAAAAPz8APwAAgAAAAAAAPC/Av7UeOkmsQPAArHh6ZWyDMG/AAAAABgAAAD8/AD8AAIAAAAAAADwvwL8qfHSTWL/vwLwOEVHcvnvvwAAAAAYAAAA/PwA/AACAAAAAAAA8L8C+FPjpZvE7r8C8DhFR3L5778AAAAAGAAAAPz8APwAAgAAAAAAAPC/AvCnxks3id2/ArHh6ZWyDMG/AAAAABwAAAD8/AD8AAIAAAAAAADwvwIIrBxaZDvhPwKx4emVsgzBvwAAAAAYAAAA/PwA/AACAAAAAAAA8L8CBFYOLbKd8D8CF0hQ/Bhz5z8AAAAAGAAAAPz8APwAAgAAAAAAAPC/AgIrhxbZTgBAAhdIUPwYc+c/AAAAABwAAAD8/AD8AAIAAAAAAADwvwICK4cW2U4EQAKx4emVsgzBvwAAAAAYAAAA/PwA/AACAAAAAAAA8L8CAiuHFtlOAEAC8DhFR3L5778AAAAAGAAAAPz8APwAAgAAAAAAAPC/AgRWDi2ynfA/AvA4RUdy+e+/AAAAAAERAAAA/PwA/AACAAAAAAAA8L8CaZHtfD+1CkACCM4ZUdob0D8AAAAAAREAAAD8/AD8AAIAAAAAAADwvwJDPujZrHoRQAImdQKaCBvSPwAAAAABEQAAAPz8APwAAgAAAAAAAPC/AuzAOSNKuxVAAk/RkVz+Q9Y/AAAAADgABAFlBAAAAAAAAAAABAgBZQgMAAAAAAAAAAgMAWUEAAAAAAAAAAAMEAFlCAgAAAAAAAAAEBQBZQQAAAAAAAAAABQYAWUICAAAAAAAAAAYBAFlBAAAAAAAAAAAGBwBZQQAAAAAAAAAABwgAWUEAAAAAAAAAAAgJAFlBAAAAAAAAAAAJCgBZQQAAAAAAAAAACgsAWUEAAAAAAAAAAAsMAFlBAAAAAAAAAAAMBwBZQQAAAAAAAAAAAAAAAA=</t>
        </r>
      </text>
    </comment>
    <comment ref="A1152" authorId="0" shapeId="0" xr:uid="{D7479538-FAA0-4821-9D5E-EE64F4207560}">
      <text>
        <r>
          <rPr>
            <sz val="9"/>
            <color indexed="81"/>
            <rFont val="MS P ゴシック"/>
            <family val="3"/>
            <charset val="128"/>
          </rPr>
          <t>Insight iXlW00001C0001152R0585476093S00002302P01200LAocjBAQBF1NjaVRlZ2ljLmRhdGEuTW9sZWN1bGUBbwF/ARJTY2lUZWdpYy5Nb2xlY3VsZQAAAQFkAv5qAQAAAAIAAgEQGAAAAPz8APwAAgAAAAAAAPC/AvCnxks3id2/Ak2EDU+vlPk/AAAAABgAAAD8/AD8AAIAAAAAAADwvwL4U+Olm8TuvwIXSFD8GHPnPwAAAAAYAAAA/PwA/AACAAAAAAAA8L8C/Knx0k1i/78CF0hQ/Bhz5z8AAAAAHAAAAPz8APwAAgAAAAAAAPC/Av7UeOkmsQPAArHh6ZWyDMG/AAAAABgAAAD8/AD8AAIAAAAAAADwvwL8qfHSTWL/vwLwOEVHcvnvvwAAAAAYAAAA/PwA/AACAAAAAAAA8L8C+FPjpZvE7r8C8DhFR3L5778AAAAAGAAAAPz8APwAAgAAAAAAAPC/AvCnxks3id2/ArHh6ZWyDMG/AAAAABwAAAD8/AD8AAIAAAAAAADwvwIIrBxaZDvhPwKx4emVsgzBvwAAAAAYAAAA/PwA/AACAAAAAAAA8L8CBFYOLbKd8D8CF0hQ/Bhz5z8AAAAAGAAAAPz8APwAAgAAAAAAAPC/AgIrhxbZTgBAAhdIUPwYc+c/AAAAABwAAAD8/AD8AAIAAAAAAADwvwICK4cW2U4EQAKx4emVsgzBvwAAAAAYAAAA/PwA/AACAAAAAAAA8L8CAiuHFtlOAEAC8DhFR3L5778AAAAAGAAAAPz8APwAAgAAAAAAAPC/AgRWDi2ynfA/AvA4RUdy+e+/AAAAAAERAAAA/PwA/AACAAAAAAAA8L8CaZHtfD+1CkACCM4ZUdob0D8AAAAAAREAAAD8/AD8AAIAAAAAAADwvwJDPujZrHoRQAImdQKaCBvSPwAAAAABEQAAAPz8APwAAgAAAAAAAPC/AuzAOSNKuxVAAk/RkVz+Q9Y/AAAAADgABAFlBAAAAAAAAAAABAgBZQgMAAAAAAAAAAgMAWUEAAAAAAAAAAAMEAFlCAgAAAAAAAAAEBQBZQQAAAAAAAAAABQYAWUICAAAAAAAAAAYBAFlBAAAAAAAAAAAGBwBZQQAAAAAAAAAABwgAWUEAAAAAAAAAAAgJAFlBAAAAAAAAAAAJCgBZQQAAAAAAAAAACgsAWUEAAAAAAAAAAAsMAFlBAAAAAAAAAAAMBwBZQQAAAAAAAAAAAAAAAA=</t>
        </r>
      </text>
    </comment>
    <comment ref="A1153" authorId="0" shapeId="0" xr:uid="{44C38ED5-BEA6-46E6-9226-28AE332C9AA1}">
      <text>
        <r>
          <rPr>
            <sz val="9"/>
            <color indexed="81"/>
            <rFont val="MS P ゴシック"/>
            <family val="3"/>
            <charset val="128"/>
          </rPr>
          <t>Insight iXlW00001C0001153R0585476093S00002304P01760LAocjBAQBF1NjaVRlZ2ljLmRhdGEuTW9sZWN1bGUBbwF/ARJTY2lUZWdpYy5Nb2xlY3VsZQAAAQFkAv5qAQAAAAIAAgEXGAAAAPz8APwAAgAAAAAAAPC/AhwN4C2QIAPAAgU0ETY8vZK/AAAAABwAAAD8/AD8AAIAAAAAAADwvwI3GsBbIEH2vwIFNBE2PL2SvwAAAAAgAAAA/PwA/AACAAAAAAAA8L8CHA3gLZAgB8ACBqOSOgFN7L8AAAAAIAAAAPz8APwAAgAAAAAAAPC/AhwN4C2QIAfAAuM2GsBbIOs/AAAAABgAAAD8/AD8AAIAAAAAAADwvwKSy39Iv33jPwIFNBE2PL2SvwAAAAAYAAAA/PwA/AACAAAAAAAA8L8CbjSAt0CC7L8CJEp7gy9M7L8AAAAAGAAAAPz8APwAAgAAAAAAAPC/Am40gLdAguy/AuM2GsBbIOs/AAAAABgAAAD8/AD8AAIAAAAAAADwvwIcDeAtkCAPwAIGo5I6AU3svwAAAAAYAAAA/PwA/AACAAAAAAAA8L8CTRWMSuqEAkACldQJaCJs1L8AAAAAGAAAAPz8APwAAgAAAAAAAPC/AuJYF7fRAPY/AtZW7C+7J+W/AAAAABgAAAD8/AD8AAIAAAAAAADwvwKSXP5D+u27PwLjNhrAWyDrPwAAAAAYAAAA/PwA/AACAAAAAAAA8L8Cklz+Q/rtuz8CJEp7gy9M7L8AAAAAGAAAAPz8APwAAgAAAAAAAPC/ApzEILBy6ANAAndPHhZqTeU/AAAAABgAAAD8/AD8AAIAAAAAAADwvwJ4LSEf9GwLQAIB3gIJih/wPwAAAAABEQAAAPz8APwAAgAAAAAAAPC/Av+ye/Kw0AxAAuJ6FK5H4f8/AAAAABwAAAD8/AD8AAIAAAAAAADwvwLTTWIQWDnzPwKsPldbsb/5PwAAAAAYAAAA/PwA/AACAAAAAAAA8L8C4lgXt9EA9j8ClkOLbOf74z8AAAAAGAAAAPz8APwAAgAAAAAAAPC/Ar4wmSoYFRBAAvVKWYY41uO/AAAAABgAAAD8/AD8AAIAAAAAAADwvwKh+DHmrqUIQAKBt0CC4sfuvwAAAAAYAAAA/PwA/AACAAAAAAAA8L8CHA3gLZAgD8ACg1FJnYAm/r8AAAAAGAAAAPz8APwAAgAAAAAAAPC/Ao4G8BZIkBPAAgajkjoBTey/AAAAABgAAAD8/AD8AAIAAAAAAADwvwIcDeAtkCAPwALW52or9pe9PwAAAAAYAAAA/PwA/AACAAAAAAAA8L8CZohjXdzGEEACmN2Th4Va1z8AAAAAARgEAAFlBAAAAAAAAAAACAABZQQAAAAAAAAAAAwAAWUIAAAAAAAAAAAQKAFlBAAAAAAAAAAAFAQBZQQAAAAAAAAAABgEAWUEAAAAAAAAAAAcCAFlBAAAAAAAAAAAICQBZQQAAAAAAAAAACQQAWUEAAAAAAAAAAAoGAFlBAAAAAAAAAAALBQBZQQAAAAAAAAAADAgAWUEAAAAAAAAAAA0MAFlCAwAAAAAAAAAODQBZQQAAAAAAAAAADwBEAFlBAAAAAAAAAAAARAQAWUEAAAAAAAAAAABEQESAWUEAAAAAAAAAAABEiABZQgMAAAAAAAAAAETHAFlBAAAAAAAAAAAARQcAWUEAAAAAAAAAAABFRwBZQQAAAAAAAAAAAEWAREBZQgIAAAAAAAAACwQAWUEAAAAAAAAAAA0ARYBZQQAAAAAAAAAAAAAAAA=</t>
        </r>
      </text>
    </comment>
    <comment ref="A1154" authorId="0" shapeId="0" xr:uid="{2171DB99-B5F6-4016-9E37-81038027ABC7}">
      <text>
        <r>
          <rPr>
            <sz val="9"/>
            <color indexed="81"/>
            <rFont val="MS P ゴシック"/>
            <family val="3"/>
            <charset val="128"/>
          </rPr>
          <t>Insight iXlW00001C0001154R0585476093S00002306P00892LAocjBAQBF1NjaVRlZ2ljLmRhdGEuTW9sZWN1bGUBbwF/ARJTY2lUZWdpYy5Nb2xlY3VsZQAAAQFkAv5qAQAAAAIAAiwYAAAA/PwA/AACAAAAAAAA8L8CseHplbIM5b8CFoxK6gQ0wb8AAAAAGAAAAPz8APwAAgAAAAAAAPC/AgyTqYJRSfG/ArsnDwu1pvC/AAAAABgAAAD8/AD8AAIAAAAAAADwvwKKH2PuWkLivwKJ0t7gC5PrPwAAAAAYAAAA/PwA/AACAAAAAAAA8L8C/mX35GGh978CRBzr4jYa3D8AAAAAGAAAAPz8APwAAgAAAAAAAPC/Akhy+Q/pt9M/AkETYcPTK9m/AAAAACAAAAD8/AD8AAIAAAAAAADwvwIPnDOitDfgvwJSSZ2AJsL9vwAAAAAgAAAA/PwA/AACAAAAAAAA8L8CIv32deCcAMACz4jS3uAL8r8AAAAAGAAAAPz8APwAAgAAAAAAAPC/ApEPejarPvA/AvcGX5hMFdQ/AAAAABgAAAD8/AD8AAIAAAAAAADwvwLJBz2bVR8AQAK+wRcmUwX1PwAAAAAYAAAA/PwA/AACAAAAAAAA8L8CkQ96Nqs+8D8CvsEXJlMF9T8AAAAAGAAAAPz8APwAAgAAAAAAAPC/AskHPZtVHwBAAvcGX5hMFdQ/AAAAADAEAAFlBAAAAAAAAAAACAABZQQAAAAAAAAAAAwAAWUEAAAAAAAAAAAQAAFlBAAAAAAAAAAAFAQBZQgAAAAAAAAAABgEAWUEAAAAAAAAAAAcEAFlBAAAAAAAAAAAICgBZQQAAAAAAAAAACQcAWUEAAAAAAAAAAAoHAFlBAAAAAAAAAAADAgBZQQAAAAAAAAAACQgAWUEAAAAAAAAAAAAAAAA</t>
        </r>
      </text>
    </comment>
    <comment ref="A1155" authorId="0" shapeId="0" xr:uid="{2F628F8A-CDB5-4BDE-B41D-CA8458BF4488}">
      <text>
        <r>
          <rPr>
            <sz val="9"/>
            <color indexed="81"/>
            <rFont val="MS P ゴシック"/>
            <family val="3"/>
            <charset val="128"/>
          </rPr>
          <t>Insight iXlW00001C0001155R0585476093S00002308P01036LAocjBAQBF1NjaVRlZ2ljLmRhdGEuTW9sZWN1bGUBbwF/ARJTY2lUZWdpYy5Nb2xlY3VsZQAAAQFkAv5qAQAAAAIAAjQYAAAA/PwA/AACAAAAAAAA8L8CGuJYF7fR6j8CqoJRSZ2Axr8AAAAAGAAAAPz8APwAAgAAAAAAAPC/AiGwcmiR7by/ArHh6ZWyDME/AAAAABgAAAD8/AD8AAIAAAAAAADwvwLH3LWEfND2PwJseHqlLEPkPwAAAAAcAAAA/PwA/AACAAAAAAAA8L8CGuJYF7fR6j8CwqikTkAT9z8AAAAAGAAAAPz8APwAAgAAAAAAAPC/AiGwcmiR7by/AjY8vVKWIfI/AAAAABgAAAD8/AD8AAIAAAAAAADwvwKIFtnO91PvvwIoDwu1pnnXvwAAAAAYAAAA/PwA/AACAAAAAAAA8L8CCYofY+5a8j8CZMxdS8gH8r8AAAAAJAAAAPz8APwAAgAAAAAAAPC/AogW2c73U++/AsrDQq1p3vW/AAAAABgAAAD8/AD8AAIAAAAAAADwvwKG61G4HoX9vwI2PL1SliHyPwAAAAAYAAAA/PwA/AACAAAAAAAA8L8CiBbZzvdT778CNjy9UpYh+j8AAAAAGAAAAPz8APwAAgAAAAAAAPC/AobrUbgehf2/ArHh6ZWyDME/AAAAABgAAAD8/AD8AAIAAAAAAADwvwKqglFJnQABQAJ6Nqs+V1v1vwAAAAAYAAAA/PwA/AACAAAAAAAA8L8CZTvfT42X3j8C7FG4HoXr/b8AAAAAOAQAAWUEAAAAAAAAAAAIAAFlCAgAAAAAAAAADAgBZQQAAAAAAAAAABAEAWUIDAAAAAAAAAAUBAFlBAAAAAAAAAAAGAABZQQAAAAAAAAAABwUAWUEAAAAAAAAAAAgKAFlBAAAAAAAAAAAJBABZQQAAAAAAAAAACgUAWUICAAAAAAAAAAsGAFlBAAAAAAAAAAAMBgBZQQAAAAAAAAAABAMAWUEAAAAAAAAAAAkIAFlCAgAAAAAAAAAAAAAAA==</t>
        </r>
      </text>
    </comment>
    <comment ref="A1156" authorId="0" shapeId="0" xr:uid="{B5BE5FD8-F0B3-4D5F-8521-EE0747FCD183}">
      <text>
        <r>
          <rPr>
            <sz val="9"/>
            <color indexed="81"/>
            <rFont val="MS P ゴシック"/>
            <family val="3"/>
            <charset val="128"/>
          </rPr>
          <t>Insight iXlW00001C0001156R0585476093S00002310P01036LAocjBAQBF1NjaVRlZ2ljLmRhdGEuTW9sZWN1bGUBbwF/ARJTY2lUZWdpYy5Nb2xlY3VsZQAAAQFkAv5qAQAAAAIAAjQYAAAA/PwA/AACAAAAAAAA8L8CaLPqc7UV7z8CdnEbDeAt0L8AAAAAGAAAAPz8APwAAgAAAAAAAPC/AkVpb/CFyZQ/ArwFEhQ/xqw/AAAAABgAAAD8/AD8AAIAAAAAAADwvwJuxf6ye/L4PwJcIEHxY8zhPwAAAAAcAAAA/PwA/AACAAAAAAAA8L8CaLPqc7UV7z8CufyH9NvX9T8AAAAAGAAAAPz8APwAAgAAAAAAAPC/AkVpb/CFyZQ/Ai6QoPgx5vA/AAAAABgAAAD8/AD8AAIAAAAAAADwvwI5RUdy+Q/rvwJJv30dOGfcvwAAAAAYAAAA/PwA/AACAAAAAAAA8L8CP8bctYR89D8C+8vuycNC878AAAAAGAAAAPz8APwAAgAAAAAAAPC/AjlFR3L5D+u/Ai6QoPgx5vg/AAAAABgAAAD8/AD8AAIAAAAAAADwvwLeAgmKH2P7vwK8BRIUP8asPwAAAAAYAAAA/PwA/AACAAAAAAAA8L8C3gIJih9j+78CLpCg+DHm8D8AAAAAJAAAAPz8APwAAgAAAAAAAPC/AskHPZtVnwTAAoUNT6+UZdy/AAAAABgAAAD8/AD8AAIAAAAAAADwvwLFILByaBECQAISNjy9Upb2vwAAAAAYAAAA/PwA/AACAAAAAAAA8L8CAW+BBMWP4z8C9P3UeOkm/78AAAAAOAQAAWUEAAAAAAAAAAAIAAFlCAgAAAAAAAAADAgBZQQAAAAAAAAAABAEAWUIDAAAAAAAAAAUBAFlBAAAAAAAAAAAGAABZQQAAAAAAAAAABwQAWUEAAAAAAAAAAAgFAFlCAgAAAAAAAAAJCABZQQAAAAAAAAAACggAWUEAAAAAAAAAAAsGAFlBAAAAAAAAAAAMBgBZQQAAAAAAAAAABAMAWUEAAAAAAAAAAAcJAFlCAgAAAAAAAAAAAAAAA==</t>
        </r>
      </text>
    </comment>
    <comment ref="A1157" authorId="0" shapeId="0" xr:uid="{7EA69F27-80F8-47F1-B260-EA67B5510FDB}">
      <text>
        <r>
          <rPr>
            <sz val="9"/>
            <color indexed="81"/>
            <rFont val="MS P ゴシック"/>
            <family val="3"/>
            <charset val="128"/>
          </rPr>
          <t>Insight iXlW00001C0001157R0585476093S00002312P01340LAocjBAQBF1NjaVRlZ2ljLmRhdGEuTW9sZWN1bGUBbwF/ARJTY2lUZWdpYy5Nb2xlY3VsZQAAAQFkAv5qAQAAAAIAAgERGAAAAPz8APwAAgAAAAAAAPC/AnicoiO5/M+/AhiV1AloIvM/AAAAABwAAAD8/AD8AAIAAAAAAADwvwIkKH6MuWvyPwLSAN4CCQoAQAAAAAAYAAAA/PwA/AACAAAAAAAA8L8COpLLf0i/9T8C6Nms+lxt8D8AAAAAGAAAAPz8APwAAgAAAAAAAPC/AuPHmLuWkN8/AtGzWfW52uA/AAAAABgAAAD8/AD8AAIAAAAAAADwvwJuowG8BRLEPwKOdXEbDeAAQAAAAAAYAAAA/PwA/AACAAAAAAAA8L8Cd08eFmrNAUAC0bNZ9bna4D8AAAAAGAAAAPz8APwAAgAAAAAAAPC/AuPHmLuWkN8/Al+YTBWMSt6/AAAAABgAAAD8/AD8AAIAAAAAAADwvwJKe4MvTKbzvwIi/fZ14JzvPwAAAAAgAAAA/PwA/AACAAAAAAAA8L8CduCcEaU9AcACuvyH9NvX/b8AAAAAGAAAAPz8APwAAgAAAAAAAPC/Aj55WKg1zQFAAl+YTBWMSt6/AAAAABgAAAD8/AD8AAIAAAAAAADwvwI6kst/SL/1PwIwTKYKRiXvvwAAAAAkAAAA/PwA/AACAAAAAAAA8L8Cl/+Qfvu6CEACMEymCkYl778AAAAAGAAAAPz8APwAAgAAAAAAAPC/Atbnaiv2l/i/AmrecYqO5KI/AAAAABgAAAD8/AD8AAIAAAAAAADwvwKiRbbz/dTyvwKjkjoBTYT6vwAAAAAYAAAA/PwA/AACAAAAAAAA8L8C1udqK/aXBsACMnctIR/08b8AAAAAGAAAAPz8APwAAgAAAAAAAPC/Ai2yne+nxuu/AintDb4wmea/AAAAABgAAAD8/AD8AAIAAAAAAADwvwKQMXctIR8EwAIX2c73U+PFvwAAAAABEwQQAWUEAAAAAAAAAAAIDAFlCAwAAAAAAAAADAABZQQAAAAAAAAAABAAAWUICAAAAAAAAAAUCAFlBAAAAAAAAAAAGAwBZQQAAAAAAAAAABwAAWUEAAAAAAAAAAAgOAFlBAAAAAAAAAAAJCgBZQQAAAAAAAAAACgYAWUICAAAAAAAAAAsJAFlBAAAAAAAAAAAMBwBZQQAAAAAAAAAADQ8AWUEAAAAAAAAAAA4ARABZQQAAAAAAAAAADwwAWUEAAAAAAAAAAABEDABZQQAAAAAAAAAAAgEAWUEAAAAAAAAAAA0IAFlBAAAAAAAAAAAFCQBZQgIAAAAAAAAAAAAAAA=</t>
        </r>
      </text>
    </comment>
    <comment ref="A1158" authorId="0" shapeId="0" xr:uid="{27DD1396-FB7F-4D7D-9820-147C3757BA91}">
      <text>
        <r>
          <rPr>
            <sz val="9"/>
            <color indexed="81"/>
            <rFont val="MS P ゴシック"/>
            <family val="3"/>
            <charset val="128"/>
          </rPr>
          <t>Insight iXlW00001C0001158R0585476093S00002314P01036LAocjBAQBF1NjaVRlZ2ljLmRhdGEuTW9sZWN1bGUBbwF/ARJTY2lUZWdpYy5Nb2xlY3VsZQAAAQFkAv5qAQAAAAIAAjQYAAAA/PwA/AACAAAAAAAA8L8CaLPqc7UV7z8CL26jAbwF2j8AAAAAGAAAAPz8APwAAgAAAAAAAPC/Am7F/rJ78vg/Av9D+u3rwNm/AAAAABgAAAD8/AD8AAIAAAAAAADwvwJFaW/whcmUPwIH8BZIUPy4PwAAAAAcAAAA/PwA/AACAAAAAAAA8L8CaLPqc7UV7z8Ci/1l9+Rh878AAAAAGAAAAPz8APwAAgAAAAAAAPC/AkVpb/CFyZQ/AgAi/fZ14Oy/AAAAABgAAAD8/AD8AAIAAAAAAADwvwI5RUdy+Q/rvwIAkX77OnD2vwAAAAAYAAAA/PwA/AACAAAAAAAA8L8COUVHcvkP678CAd4CCYof4z8AAAAAGAAAAPz8APwAAgAAAAAAAPC/Aj/G3LWEfPQ/Apt3nKIjufU/AAAAABgAAAD8/AD8AAIAAAAAAADwvwLeAgmKH2P7vwIAIv32deDsvwAAAAAYAAAA/PwA/AACAAAAAAAA8L8C3gIJih9j+78CB/AWSFD8uD8AAAAAJAAAAPz8APwAAgAAAAAAAPC/AskHPZtVnwTAAgCRfvs6cPa/AAAAABgAAAD8/AD8AAIAAAAAAADwvwIBb4EExY/jPwKRfvs6cM4AQAAAAAAYAAAA/PwA/AACAAAAAAAA8L8CxSCwcmgRAkACseHplbIM+T8AAAAAOAQAAWUICAAAAAAAAAAIAAFlBAAAAAAAAAAADAQBZQQAAAAAAAAAABAIAWUIDAAAAAAAAAAUEAFlBAAAAAAAAAAAGAgBZQQAAAAAAAAAABwAAWUEAAAAAAAAAAAgJAFlBAAAAAAAAAAAJBgBZQgIAAAAAAAAACggAWUEAAAAAAAAAAAsHAFlBAAAAAAAAAAAMBwBZQQAAAAAAAAAABAMAWUEAAAAAAAAAAAUIAFlCAgAAAAAAAAAAAAAAA==</t>
        </r>
      </text>
    </comment>
    <comment ref="A1159" authorId="0" shapeId="0" xr:uid="{0FE5C1A9-BF7E-41A0-B3C9-65E9247D4875}">
      <text>
        <r>
          <rPr>
            <sz val="9"/>
            <color indexed="81"/>
            <rFont val="MS P ゴシック"/>
            <family val="3"/>
            <charset val="128"/>
          </rPr>
          <t>Insight iXlW00001C0001159R0585476093S00002316P01072LAocjBAQBF1NjaVRlZ2ljLmRhdGEuTW9sZWN1bGUBbwF/ARJTY2lUZWdpYy5Nb2xlY3VsZQAAAQFkAv5qAQAAAAIAAjgcAAAA/PwA/AACAAAAAAAA8L8CX5hMFYxK1j8CUdobfGEy5T8AAAAAGAAAAPz8APwAAgAAAAAAAPC/AkGC4seYu9q/Am6jAbwFEpQ/AAAAABgAAAD8/AD8AAIAAAAAAADwvwJfmEwVjErWPwI4Z0Rpb/DjvwAAAAAYAAAA/PwA/AACAAAAAAAA8L8Cz/dT46Wb9D8CWvW52or90b8AAAAAGAAAAPz8APwAAgAAAAAAAPC/AgOaCBueXvs/AsSxLm6jAeQ/AAAAABgAAAD8/AD8AAIAAAAAAADwvwIeOGdEae8EQAJ0tRX7y+7JPwAAAAAYAAAA/PwA/AACAAAAAAAA8L8CBOeMKO2NAUAC9pfdk4eF5r8AAAAAGAAAAPz8APwAAgAAAAAAAPC/AiFB8WPMXe2/Amiz6nO1Feu/AAAAABgAAAD8/AD8AAIAAAAAAADwvwKRoPgx5q7+vwJos+pztRXrvwAAAAAcAAAA/PwA/AACAAAAAAAA8L8CSFD8GHNXA8ACbqMBvAUSlD8AAAAAGAAAAPz8APwAAgAAAAAAAPC/ApGg+DHmrv6/Ap/Nqs/VVuw/AAAAABgAAAD8/AD8AAIAAAAAAADwvwIhQfFjzF3tvwKfzarP1VbsPwAAAAABEQAAAPz8APwAAgAAAAAAAPC/AoSezarPVQtAAvyp8dJNYnA/AAAAAAERAAAA/PwA/AACAAAAAAAA8L8C0ETY8PTKEUACL26jAbwFoj8AAAAANAAEAWUEAAAAAAAAAAAECAFlBAAAAAAAAAAACAwBZQQAAAAAAAAAAAwQAWUEAAAAAAAAAAAQFAFlBAAAAAAAAAAAFBgBZQQAAAAAAAAAABgMAWUEAAAAAAAAAAAEHAFlBAAAAAAAAAAAHCABZQQAAAAAAAAAACAkAWUEAAAAAAAAAAAkKAFlBAAAAAAAAAAAKCwBZQQAAAAAAAAAACwEAWUEAAAAAAAAAAAAAAAA</t>
        </r>
      </text>
    </comment>
    <comment ref="A1160" authorId="0" shapeId="0" xr:uid="{7486F026-C89C-4153-A092-19D2C6921706}">
      <text>
        <r>
          <rPr>
            <sz val="9"/>
            <color indexed="81"/>
            <rFont val="MS P ゴシック"/>
            <family val="3"/>
            <charset val="128"/>
          </rPr>
          <t>Insight iXlW00001C0001160R0585476093S00002318P01036LAocjBAQBF1NjaVRlZ2ljLmRhdGEuTW9sZWN1bGUBbwF/ARJTY2lUZWdpYy5Nb2xlY3VsZQAAAQFkAv5qAQAAAAIAAjQYAAAA/PwA/AACAAAAAAAA8L8C8KfGSzeJ3b8CseHplbIMwT8AAAAAHAAAAPz8APwAAgAAAAAAAPC/AgisHFpkO+E/ArHh6ZWyDME/AAAAABgAAAD8/AD8AAIAAAAAAADwvwL4U+Olm8TuvwIXSFD8GHPnvwAAAAAcAAAA/PwA/AACAAAAAAAA8L8C/Knx0k1i/78C0pFc/kP67z8AAAAAHAAAAPz8APwAAgAAAAAAAPC/AvCnxks3id2/Ak2EDU+vlPm/AAAAABgAAAD8/AD8AAIAAAAAAADwvwL4U+Olm8TuvwLSkVz+Q/rvPwAAAAAYAAAA/PwA/AACAAAAAAAA8L8C/Knx0k1i/78CF0hQ/Bhz578AAAAAGAAAAPz8APwAAgAAAAAAAPC/AgRWDi2ynfA/AhdIUPwYc+e/AAAAABgAAAD8/AD8AAIAAAAAAADwvwKTqYJRSZ3wPwLwOEVHcvnvPwAAAAAYAAAA/PwA/AACAAAAAAAA8L8C/tR46SaxA8ACOUVHcvkPwT8AAAAAGAAAAPz8APwAAgAAAAAAAPC/AspUwaikTgBAAvA4RUdy+e8/AAAAABgAAAD8/AD8AAIAAAAAAADwvwICK4cW2U4AQAIXSFD8GHPnvwAAAAAYAAAA/PwA/AACAAAAAAAA8L8CAiuHFtlOBEACseHplbIMwT8AAAAAOAQAAWUEAAAAAAAAAAAIAAFlCAgAAAAAAAAADBQBZQgIAAAAAAAAABAIAWUEAAAAAAAAAAAUAAFlBAAAAAAAAAAAGAgBZQQAAAAAAAAAABwEAWUEAAAAAAAAAAAgBAFlBAAAAAAAAAAAJAwBZQQAAAAAAAAAACggAWUEAAAAAAAAAAAsHAFlBAAAAAAAAAAAMCgBZQQAAAAAAAAAABgkAWUICAAAAAAAAAAsMAFlBAAAAAAAAAAAAAAAAA==</t>
        </r>
      </text>
    </comment>
    <comment ref="A1161" authorId="0" shapeId="0" xr:uid="{875782B3-BDB0-4375-8CF6-0A546B627AA2}">
      <text>
        <r>
          <rPr>
            <sz val="9"/>
            <color indexed="81"/>
            <rFont val="MS P ゴシック"/>
            <family val="3"/>
            <charset val="128"/>
          </rPr>
          <t>Insight iXlW00001C0001161R0585476093S00002320P01036LAocjBAQBF1NjaVRlZ2ljLmRhdGEuTW9sZWN1bGUBbwF/ARJTY2lUZWdpYy5Nb2xlY3VsZQAAAQFkAv5qAQAAAAIAAjQYAAAA/PwA/AACAAAAAAAA8L8C8KfGSzeJ3T8CseHplbIMwb8AAAAAHAAAAPz8APwAAgAAAAAAAPC/AgisHFpkO+G/ArHh6ZWyDMG/AAAAABgAAAD8/AD8AAIAAAAAAADwvwL4U+Olm8TuPwIXSFD8GHPnPwAAAAAcAAAA/PwA/AACAAAAAAAA8L8C/Knx0k1i/z8C0pFc/kP6778AAAAAIAAAAPz8APwAAgAAAAAAAPC/AgIrhxbZTgTAArHh6ZWyDMG/AAAAABwAAAD8/AD8AAIAAAAAAADwvwLwp8ZLN4ndPwJNhA1Pr5T5PwAAAAAYAAAA/PwA/AACAAAAAAAA8L8C+FPjpZvE7j8C0pFc/kP6778AAAAAGAAAAPz8APwAAgAAAAAAAPC/Avyp8dJNYv8/AhdIUPwYc+c/AAAAABgAAAD8/AD8AAIAAAAAAADwvwIEVg4tsp3wvwIXSFD8GHPnPwAAAAAYAAAA/PwA/AACAAAAAAAA8L8Ck6mCUUmd8L8C8DhFR3L5778AAAAAGAAAAPz8APwAAgAAAAAAAPC/Av7UeOkmsQNAAjlFR3L5D8G/AAAAABgAAAD8/AD8AAIAAAAAAADwvwLKVMGopE4AwALwOEVHcvnvvwAAAAAYAAAA/PwA/AACAAAAAAAA8L8CAiuHFtlOAMACF0hQ/Bhz5z8AAAAAOAQAAWUEAAAAAAAAAAAIAAFlCAgAAAAAAAAADBgBZQgIAAAAAAAAABAsAWUEAAAAAAAAAAAUCAFlBAAAAAAAAAAAGAABZQQAAAAAAAAAABwIAWUEAAAAAAAAAAAgBAFlBAAAAAAAAAAAJAQBZQQAAAAAAAAAACgMAWUEAAAAAAAAAAAsJAFlBAAAAAAAAAAAMCABZQQAAAAAAAAAABwoAWUICAAAAAAAAAAwEAFlBAAAAAAAAAAAAAAAAA==</t>
        </r>
      </text>
    </comment>
    <comment ref="A1162" authorId="0" shapeId="0" xr:uid="{491A89E3-72A0-469E-8F34-203C15964ED0}">
      <text>
        <r>
          <rPr>
            <sz val="9"/>
            <color indexed="81"/>
            <rFont val="MS P ゴシック"/>
            <family val="3"/>
            <charset val="128"/>
          </rPr>
          <t>Insight iXlW00001C0001162R0585476093S00002322P01104LAocjBAQBF1NjaVRlZ2ljLmRhdGEuTW9sZWN1bGUBbwF/ARJTY2lUZWdpYy5Nb2xlY3VsZQAAAQFkAv5qAQAAAAIAAjgcAAAA/PwA/AACAAAAAAAA8L8Cm+Ydp+hI0j8CJuSDns2qvz8AAAAAGAAAAPz8APwAAgAAAAAAAPC/ArMMcayL2+a/Aibkg57Nqr8/AAAAABwAAAD8/AD8AAIAAAAAAADwvwLUvOMUHUkCQAIm5IOezaq/PwAAAAAYAAAA/PwA/AACAAAAAAAA8L8CWoY41sVt878C/0P67evA578AAAAAGAAAAPz8APwAAgAAAAAAAPC/Ak7zjlN0JOk/Av9D+u3rwOe/AAAAABgAAAD8/AD8AAIAAAAAAADwvwJO845TdCTpPwIIPZtVn6vvPwAAAAAcAAAA/PwA/AACAAAAAAAA8L8CLUMc6+K2AcAC6pWyDHGs7z8AAAAAGAAAAPz8APwAAgAAAAAAAPC/Aqd5xyk6kvw/Agg9m1Wfq+8/AAAAABgAAAD8/AD8AAIAAAAAAADwvwKneccpOpL8PwL/Q/rt68DnvwAAAAAcAAAA/PwA/AACAAAAAAAA8L8CswxxrIvb5r8CQYLix5i7+b8AAAAAGAAAAPz8APwAAgAAAAAAAPC/AlqGONbFbfO/Agg9m1Wfq+8/AAAAABgAAAD8/AD8AAIAAAAAAADwvwItQxzr4rYBwAL/Q/rt68DnvwAAAAAYAAAA/PwA/AACAAAAAAAA8L8CLUMc6+K2BcACJuSDns2qvz8AAAAAGAAAAPz8APwAAgAAAAAAAPC/AtS84xQdSQpAAibkg57Nqr8/AAAAADwEAAFlBAAAAAAAAAAACBwBZQQAAAAAAAAAAAwEAWUICAAAAAAAAAAQAAFlBAAAAAAAAAAAFAABZQQAAAAAAAAAABgoAWUICAAAAAAAAAAcFAFlBAAAAAAAAAAAIBABZQQAAAAAAAAAACQMAWUEAAAAAAAAAAAoBAFlBAAAAAAAAAAALAwBZQQAAAAAAAAAADAYAWUEAAAAAAAAAAA0CAFlBAAAAAAAAAAAIAgBZQQAAAAAAAAAACwwAWUICAAAAAAAAAAAAAAA</t>
        </r>
      </text>
    </comment>
    <comment ref="A1163" authorId="0" shapeId="0" xr:uid="{7CB7381B-8B79-4575-A10C-993C48FEEE38}">
      <text>
        <r>
          <rPr>
            <sz val="9"/>
            <color indexed="81"/>
            <rFont val="MS P ゴシック"/>
            <family val="3"/>
            <charset val="128"/>
          </rPr>
          <t>Insight iXlW00001C0001163R0585476093S00002324P01248LAocjBAQBF1NjaVRlZ2ljLmRhdGEuTW9sZWN1bGUBbwF/ARJTY2lUZWdpYy5Nb2xlY3VsZQAAAQFkAv5qAQAAAAIAAgEQGAAAAPz8APwAAgAAAAAAAPC/AnIbDeAtkNi/AnZxGw3gLaC/AAAAABgAAAD8/AD8AAIAAAAAAADwvwKYbhKDwMr1vwJUdCSX/5DGPwAAAAAcAAAA/PwA/AACAAAAAAAA8L8CO5LLf0i/vT8CbAn5oGez6j8AAAAAHAAAAPz8APwAAgAAAAAAAPC/AjuSy39Iv70/Apt3nKIjuey/AAAAABgAAAD8/AD8AAIAAAAAAADwvwKzDHGsi9v5PwJ2cRsN4C2gvwAAAAAcAAAA/PwA/AACAAAAAAAA8L8CGQRWDi2y4b8Cr7Zif9k9+T8AAAAAGAAAAPz8APwAAgAAAAAAAPC/AhB6Nqs+1wDAAtIA3gIJit+/AAAAABgAAAD8/AD8AAIAAAAAAADwvwIkufyH9NvxPwJsCfmgZ7PqPwAAAAAYAAAA/PwA/AACAAAAAAAA8L8CggTFjzF3978CQYLix5i78j8AAAAAGAAAAPz8APwAAgAAAAAAAPC/ArMMcayL2/E/Apt3nKIjuey/AAAAABgAAAD8/AD8AAIAAAAAAADwvwJahjjWxe0EQAJ2cRsN4C2gvwAAAAAgAAAA/PwA/AACAAAAAAAA8L8CWoY41sXtCEACbAn5oGez6j8AAAAAJAAAAPz8APwAAgAAAAAAAPC/AmHl0CLb+fa/ArwFEhQ/xvO/AAAAACQAAAD8/AD8AAIAAAAAAADwvwIMk6mCUckGwAL0jlN0JJfyvwAAAAAkAAAA/PwA/AACAAAAAAAA8L8CqFfKMsQxBsACTRWMSuoE0D8AAAAAIAAAAPz8APwAAgAAAAAAAPC/AlqGONbF7QhAApt3nKIjuey/AAAAAAERBAABZQgMAAAAAAAAAAgAAWUEAAAAAAAAAAAMAAFlBAAAAAAAAAAAECQBZQQAAAAAAAAAABQIAWUEAAAAAAAAAAAYBAFlBAAAAAAAAAAAHAgBZQQAAAAAAAAAACAEAWUEAAAAAAAAAAAkDAFlCAgAAAAAAAAAKBABZQQAAAAAAAAAACwoAWUIAAAAAAAAAAAwGAFlBAAAAAAAAAAANBgBZQQAAAAAAAAAADgYAWUEAAAAAAAAAAA8KAFlBAAAAAAAAAAAHBABZQgIAAAAAAAAACAUAWUICAAAAAAAAAAAAAAA</t>
        </r>
      </text>
    </comment>
    <comment ref="A1164" authorId="0" shapeId="0" xr:uid="{4D891EA1-8FEA-4920-8B64-DAABEE3F7260}">
      <text>
        <r>
          <rPr>
            <sz val="9"/>
            <color indexed="81"/>
            <rFont val="MS P ゴシック"/>
            <family val="3"/>
            <charset val="128"/>
          </rPr>
          <t>Insight iXlW00001C0001164R0585476093S00002326P00932LAocjBAQBF1NjaVRlZ2ljLmRhdGEuTW9sZWN1bGUBbwF/ARJTY2lUZWdpYy5Nb2xlY3VsZQAAAQFkAv5qAQAAAAIAAjAYAAAA/PwA/AACAAAAAAAA8L8CHA3gLZCgB8ACoKut2F92v78AAAAAIAAAAPz8APwAAgAAAAAAAPC/Ah/0bFZ9rgHAAgpoImx4euE/AAAAABgAAAD8/AD8AAIAAAAAAADwvwKh+DHmriX0vwLOO07RkVzOPwAAAAAYAAAA/PwA/AACAAAAAAAA8L8CUI2XbhKD4L8CcayL22gA7T8AAAAAHAAAAPz8APwAAgAAAAAAAPC/AtejcD0K19s/AlvTvOMUHeM/AAAAABgAAAD8/AD8AAIAAAAAAADwvwIQ6bevA+fzPwJn1edqK/byPwAAAAAcAAAA/PwA/AACAAAAAAAA8L8CBoGVQ4tsAEACW9O84xQd4z8AAAAAGAAAAPz8APwAAgAAAAAAAPC/AoGVQ4ts5/s/AsIXJlMFo9a/AAAAABgAAAD8/AD8AAIAAAAAAADwvwICK4cW2c7nPwLCFyZTBaPWvwAAAAAYAAAA/PwA/AACAAAAAAAA8L8CtOpztRX7wz8CfPKwUGua8r8AAAAAHAAAAPz8APwAAgAAAAAAAPC/AqcKRiV1AuI/Anl6pSxDnADAAAAAAAERAAAA/PwA/AACAAAAAAAA8L8Cbef7qfHSBkACFD/G3LWE3L8AAAAALAAEAWUEAAAAAAAAAAAECAFlBAAAAAAAAAAACAwBZQQAAAAAAAAAAAwQAWUEAAAAAAAAAAAQFAFlBAAAAAAAAAAAFBgBZQgIAAAAAAAAABgcAWUEAAAAAAAAAAAcIAFlCAgAAAAAAAAAIBABZQQAAAAAAAAAACAkAWUEAAAAAAAAAAAkKAFlBAAAAAAAAAAAAAAAAA==</t>
        </r>
      </text>
    </comment>
    <comment ref="A1165" authorId="0" shapeId="0" xr:uid="{A5B39207-6588-4702-B499-97F8BD7CC102}">
      <text>
        <r>
          <rPr>
            <sz val="9"/>
            <color indexed="81"/>
            <rFont val="MS P ゴシック"/>
            <family val="3"/>
            <charset val="128"/>
          </rPr>
          <t>Insight iXlW00001C0001165R0585476093S00002328P01176LAocjBAQBF1NjaVRlZ2ljLmRhdGEuTW9sZWN1bGUBbwF/ARJTY2lUZWdpYy5Nb2xlY3VsZQAAAQFkAv5qAQAAAAIAAjwcAAAA/PwA/AACAAAAAAAA8L8C78nDQq1p3j8C16NwPQrXy78AAAAAHAAAAPz8APwAAgAAAAAAAPC/Au/Jw0Ktad4/ApzEILByaPY/AAAAABgAAAD8/AD8AAIAAAAAAADwvwI1XrpJDALxPwIhsHJoke3iPwAAAAAYAAAA/PwA/AACAAAAAAAA8L8CTaYKRiV13r8CBoGVQ4tstz8AAAAAGAAAAPz8APwAAgAAAAAAAPC/Ak2mCkYldd6/AhFYObTIdvE/AAAAABgAAAD8/AD8AAIAAAAAAADwvwIOvjCZKhjpPwKKsOHplbLyvwAAAAAYAAAA/PwA/AACAAAAAAAA8L8C1QloImx49b8Cv58aL90k2r8AAAAAGAAAAPz8APwAAgAAAAAAAPC/AlHaG3xhMvw/AqAaL90kBva/AAAAABgAAAD8/AD8AAIAAAAAAADwvwLVCWgibHj1vwIRWDm0yHb5PwAAAAAgAAAA/PwA/AACAAAAAAAA8L8CwcqhRbZzA0ACMSqpE9BE5L8AAAAAGAAAAPz8APwAAgAAAAAAAPC/Agu1pnnHqQHAAgaBlUOLbLc/AAAAABgAAAD8/AD8AAIAAAAAAADwvwIbL90kBoEAQAIhsHJoke3iPwAAAAAgAAAA/PwA/AACAAAAAAAA8L8Cp3nHKTqSAEACV1uxv+yeAsAAAAAAGAAAAPz8APwAAgAAAAAAAPC/Agu1pnnHqQHAAhFYObTIdvE/AAAAACQAAAD8/AD8AAIAAAAAAADwvwJlO99PjZcIwAK/nxov3STavwAAAAABEAQIAWUICAAAAAAAAAAIAAFlBAAAAAAAAAAADAABZQQAAAAAAAAAABAMAWUEAAAAAAAAAAAUAAFlBAAAAAAAAAAAGAwBZQgMAAAAAAAAABwUAWUEAAAAAAAAAAAgEAFlCAgAAAAAAAAAJBwBZQgAAAAAAAAAACgYAWUEAAAAAAAAAAAsCAFlBAAAAAAAAAAAMBwBZQQAAAAAAAAAADQoAWUICAAAAAAAAAA4KAFlBAAAAAAAAAAABBABZQQAAAAAAAAAACA0AWUEAAAAAAAAAAAAAAAA</t>
        </r>
      </text>
    </comment>
    <comment ref="A1166" authorId="0" shapeId="0" xr:uid="{A1357066-3898-438E-AFED-32530ECC0D61}">
      <text>
        <r>
          <rPr>
            <sz val="9"/>
            <color indexed="81"/>
            <rFont val="MS P ゴシック"/>
            <family val="3"/>
            <charset val="128"/>
          </rPr>
          <t>Insight iXlW00001C0001166R0585476093S00002330P01412LAocjBAQBF1NjaVRlZ2ljLmRhdGEuTW9sZWN1bGUBbwF/ARJTY2lUZWdpYy5Nb2xlY3VsZQAAAQFkAv5qAQAAAAIAAgESHAAAAPz8APwAAgAAAAAAAPC/Ag8LtaZ5x9U/Aq+2Yn/ZPcm/AAAAABgAAAD8/AD8AAIAAAAAAADwvwL7XG3F/rLtPwJrK/aX3ZPjPwAAAAAcAAAA/PwA/AACAAAAAAAA8L8CDwu1pnnH1T8CQYLix5i79j8AAAAAGAAAAPz8APwAAgAAAAAAAPC/ApayDHGsi+O/Alhbsb/snrw/AAAAABgAAAD8/AD8AAIAAAAAAADwvwKWsgxxrIvjvwK2FfvL7snxPwAAAAAYAAAA/PwA/AACAAAAAAAA8L8Cnl4pyxDH5D8CdEaU9gZf8r8AAAAAGAAAAPz8APwAAgAAAAAAAPC/Ao25awn5oPe/AiupE9BE2Ni/AAAAABgAAAD8/AD8AAIAAAAAAADwvwL129eBc0aUvwJteHqlLEP+vwAAAAAYAAAA/PwA/AACAAAAAAAA8L8Cfq62Yn/Z/j8Cayv2l92T4z8AAAAAGAAAAPz8APwAAgAAAAAAAPC/Ao25awn5oPe/ArYV+8vuyfk/AAAAACAAAAD8/AD8AAIAAAAAAADwvwJuNIC3QILSPwIFNBE2PL0GwAAAAAAYAAAA/PwA/AACAAAAAAAA8L8C54wo7Q2+AsACWFuxv+yevD8AAAAAIAAAAPz8APwAAgAAAAAAAPC/AlYOLbKd7++/AlYOLbKd7/q/AAAAABgAAAD8/AD8AAIAAAAAAADwvwLnjCjtDb4CwAK2FfvL7snxPwAAAAAkAAAA/PwA/AACAAAAAAAA8L8CQRNhw9OrCcACK6kT0ETY2L8AAAAAGAAAAPz8APwAAgAAAAAAAPC/As1dS8gHvQpAAmsr9pfdk+M/AAAAABgAAAD8/AD8AAIAAAAAAADwvwKGWtO84xQFQAJDHOviNhr1PwAAAAAYAAAA/PwA/AACAAAAAAAA8L8ChlrTvOMUBUAChQ1Pr5RluL8AAAAAARQEAAFlBAAAAAAAAAAACAQBZQgIAAAAAAAAAAwAAWUEAAAAAAAAAAAQDAFlCAwAAAAAAAAAFAABZQQAAAAAAAAAABgMAWUEAAAAAAAAAAAcFAFlBAAAAAAAAAAAIAQBZQQAAAAAAAAAACQQAWUEAAAAAAAAAAAoHAFlCAAAAAAAAAAALBgBZQgIAAAAAAAAADAcAWUEAAAAAAAAAAA0LAFlBAAAAAAAAAAAOCwBZQQAAAAAAAAAADwBEQFlBAAAAAAAAAAAARAgAWUEAAAAAAAAAAABESABZQQAAAAAAAAAAAgQAWUEAAAAAAAAAAABEDwBZQQAAAAAAAAAACQ0AWUICAAAAAAAAAAAAAAA</t>
        </r>
      </text>
    </comment>
    <comment ref="A1167" authorId="0" shapeId="0" xr:uid="{999A6210-9BCB-4CE1-8915-38FA97EC935F}">
      <text>
        <r>
          <rPr>
            <sz val="9"/>
            <color indexed="81"/>
            <rFont val="MS P ゴシック"/>
            <family val="3"/>
            <charset val="128"/>
          </rPr>
          <t>Insight iXlW00001C0001167R0585476093S00002332P01412LAocjBAQBF1NjaVRlZ2ljLmRhdGEuTW9sZWN1bGUBbwF/ARJTY2lUZWdpYy5Nb2xlY3VsZQAAAQFkAv5qAQAAAAIAAgESHAAAAPz8APwAAgAAAAAAAPC/AgmsHFpkO88/Aio6kst/SNc/AAAAABwAAAD8/AD8AAIAAAAAAADwvwIJrBxaZDvPPwKMSuoENBH0vwAAAAAYAAAA/PwA/AACAAAAAAAA8L8CdgKaCBue6j8CBHgLJCh+3L8AAAAAGAAAAPz8APwAAgAAAAAAAPC/AhwN4C2QoOa/AgK8BRIUP+6/AAAAABgAAAD8/AD8AAIAAAAAAADwvwIcDeAtkKDmvwLmP6Tfvg6sPwAAAAAYAAAA/PwA/AACAAAAAAAA8L8C+1xtxf6y4T8CmSoYldQJ9T8AAAAAGAAAAPz8APwAAgAAAAAAAPC/AirLEMe6uL2/AhFYObTIdgBAAAAAABgAAAD8/AD8AAIAAAAAAADwvwLQZtXnaiv5vwIB3gIJih/3vwAAAAAYAAAA/PwA/AACAAAAAAAA8L8COwFNhA1P/T8CBHgLJCh+3L8AAAAAIAAAAPz8APwAAgAAAAAAAPC/Av2H9NvXgfG/AgtGJXUCmv0/AAAAACQAAAD8/AD8AAIAAAAAAADwvwLQZtXnaiv5vwIBb4EExY8DwAAAAAAgAAAA/PwA/AACAAAAAAAA8L8CTmIQWDm0yD8CGCZTBaMSCEAAAAAAGAAAAPz8APwAAgAAAAAAAPC/AtBm1edqK/m/Av9D+u3rwOE/AAAAABgAAAD8/AD8AAIAAAAAAADwvwKJY13cRoMDwALmP6Tfvg6sPwAAAAAYAAAA/PwA/AACAAAAAAAA8L8CZF3cRgP4CUACBHgLJCh+3L8AAAAAGAAAAPz8APwAAgAAAAAAAPC/AoljXdxGgwPAAgK8BRIUP+6/AAAAABgAAAD8/AD8AAIAAAAAAADwvwLkg57Nqk8EQAL4U+Olm8TQPwAAAAAYAAAA/PwA/AACAAAAAAAA8L8C5IOezapPBEACj+TyH9Jv8r8AAAAAARQECAFlCAgAAAAAAAAACAABZQQAAAAAAAAAAAwQAWUIDAAAAAAAAAAQAAFlBAAAAAAAAAAAFAABZQQAAAAAAAAAABgUAWUEAAAAAAAAAAAcDAFlBAAAAAAAAAAAIAgBZQQAAAAAAAAAACQYAWUIAAAAAAAAAAAoHAFlBAAAAAAAAAAALBgBZQQAAAAAAAAAADAQAWUEAAAAAAAAAAA0MAFlCAgAAAAAAAAAOAERAWUEAAAAAAAAAAA8NAFlBAAAAAAAAAAAARAgAWUEAAAAAAAAAAABESABZQQAAAAAAAAAAAQMAWUEAAAAAAAAAAABEDgBZQQAAAAAAAAAABw8AWUICAAAAAAAAAAAAAAA</t>
        </r>
      </text>
    </comment>
    <comment ref="A1168" authorId="0" shapeId="0" xr:uid="{56AF2F2A-2D42-4A02-8653-6B761010A630}">
      <text>
        <r>
          <rPr>
            <sz val="9"/>
            <color indexed="81"/>
            <rFont val="MS P ゴシック"/>
            <family val="3"/>
            <charset val="128"/>
          </rPr>
          <t>Insight iXlW00001C0001168R0585476093S00002334P01036LAocjBAQBF1NjaVRlZ2ljLmRhdGEuTW9sZWN1bGUBbwF/ARJTY2lUZWdpYy5Nb2xlY3VsZQAAAQFkAv5qAQAAAAIAAjQYAAAA/PwA/AACAAAAAAAA8L8CMnctIR/0/L8CrfpcbcX+5D8AAAAAHAAAAPz8APwAAgAAAAAAAPC/AltCPujZrOy/AkZHcvkP6c8/AAAAABwAAAD8/AD8AAIAAAAAAADwvwIxmSoYldQDwAITg8DKoUW2vwAAAAAYAAAA/PwA/AACAAAAAAAA8L8CYjJVMCqp/78CyCk6kst/7r8AAAAAGAAAAPz8APwAAgAAAAAAAPC/AqcKRiV1AvC/Arn8h/Tb1+e/AAAAABgAAAD8/AD8AAIAAAAAAADwvwL8OnDOiNKevwLSkVz+Q/rnPwAAAAAcAAAA/PwA/AACAAAAAAAA8L8CrD5XW7G/6j8CTRWMSuoE6L8AAAAAHAAAAPz8APwAAgAAAAAAAPC/AqRwPQrXIwDAAhKlvcEXJvo/AAAAABgAAAD8/AD8AAIAAAAAAADwvwKsPldbsb/qPwJGR3L5D+nPPwAAAAAYAAAA/PwA/AACAAAAAAAA8L8CmP+Qfvs6+z8CpwpGJXUC9L8AAAAAGAAAAPz8APwAAgAAAAAAAPC/Apj/kH77Ovs/AtKRXP5D+uc/AAAAABgAAAD8/AD8AAIAAAAAAADwvwLtL7snD4sEQAJNFYxK6gTovwAAAAAYAAAA/PwA/AACAAAAAAAA8L8C7S+7Jw+LBEACzqrP1Vbszz8AAAAAOAQAAWUEAAAAAAAAAAAIAAFlCAgAAAAAAAAADAgBZQQAAAAAAAAAABAEAWUEAAAAAAAAAAAUBAFlBAAAAAAAAAAAGCABZQQAAAAAAAAAABwAAWUEAAAAAAAAAAAgFAFlBAAAAAAAAAAAJBgBZQgIAAAAAAAAACggAWUICAAAAAAAAAAsMAFlCAgAAAAAAAAAMCgBZQQAAAAAAAAAABAMAWUICAAAAAAAAAAkLAFlBAAAAAAAAAAAAAAAAA==</t>
        </r>
      </text>
    </comment>
    <comment ref="A1169" authorId="0" shapeId="0" xr:uid="{A65B29D7-1D10-40CD-9DC5-572FA4C65FDF}">
      <text>
        <r>
          <rPr>
            <sz val="9"/>
            <color indexed="81"/>
            <rFont val="MS P ゴシック"/>
            <family val="3"/>
            <charset val="128"/>
          </rPr>
          <t>Insight iXlW00001C0001169R0585476093S00002336P00736LAocjBAQBF1NjaVRlZ2ljLmRhdGEuTW9sZWN1bGUBbwF/ARJTY2lUZWdpYy5Nb2xlY3VsZQAAAQFkAv5qAQAAAAIAAiQYAAAA/PwA/AACAAAAAAAA8L8CK4cW2c73678C87BQa5p3rD8AAAAAGAAAAPz8APwAAgAAAAAAAPC/AlTjpZvEIMA/AvOwUGuad6w/AAAAACAAAAD8/AD8AAIAAAAAAADwvwKWQ4ts5/v1vwJWDi2yne/pvwAAAAAgAAAA/PwA/AACAAAAAAAA8L8ClkOLbOf79b8Ck8t/SL997T8AAAAAGAAAAPz8APwAAgAAAAAAAPC/AlTjpZvEIMA/AoiFWtO84/A/AAAAABgAAAD8/AD8AAIAAAAAAADwvwJrvHSTGATyPwLzsFBrmnesPwAAAAAYAAAA/PwA/AACAAAAAAAA8L8CVOOlm8QgwD8C8fRKWYY47r8AAAAAGAAAAPz8APwAAgAAAAAAAPC/Amu8dJMYBPI/AoiFWtO84/A/AAAAABgAAAD8/AD8AAIAAAAAAADwvwJYObTIdr7vPwJ5eqUsQxz3vwAAAAAkBAABZQQAAAAAAAAAAAgAAWUIAAAAAAAAAAAMAAFlBAAAAAAAAAAAEAQBZQQAAAAAAAAAABQEAWUEAAAAAAAAAAAYBAFlBAAAAAAAAAAAHBQBZQQAAAAAAAAAACAYAWUEAAAAAAAAAAAQHAFlBAAAAAAAAAAAAAAAAA==</t>
        </r>
      </text>
    </comment>
    <comment ref="A1170" authorId="0" shapeId="0" xr:uid="{FF34E0E0-8C22-4424-9B27-BF2421AB156F}">
      <text>
        <r>
          <rPr>
            <sz val="9"/>
            <color indexed="81"/>
            <rFont val="MS P ゴシック"/>
            <family val="3"/>
            <charset val="128"/>
          </rPr>
          <t>Insight iXlW00001C0001170R0585476093S00002338P00804LAocjBAQBF1NjaVRlZ2ljLmRhdGEuTW9sZWN1bGUBbwF/ARJTY2lUZWdpYy5Nb2xlY3VsZQAAAQFkAv5qAQAAAAIAAigYAAAA/PwA/AACAAAAAAAA8L8CMzMzMzMz078CTvOOU3Qk778AAAAAGAAAAPz8APwAAgAAAAAAAPC/AjMzMzMzM9O/AlOWIY51cZs/AAAAACAAAAD8/AD8AAIAAAAAAADwvwLqJjEIrBziPwKneccpOpL3vwAAAAAgAAAA/PwA/AACAAAAAAAA8L8CDy2yne+n8r8Cp3nHKTqS978AAAAAGAAAAPz8APwAAgAAAAAAAPC/As3MzMzMzPS/AlOWIY51cZs/AAAAABgAAAD8/AD8AAIAAAAAAADwvwIzMzMzMzPTvwJahjjWxW3wPwAAAAAYAAAA/PwA/AACAAAAAAAA8L8CZ2ZmZmZm5j8CU5YhjnVxmz8AAAAAGAAAAPz8APwAAgAAAAAAAPC/As3MzMzMzPS/AlqGONbFbfA/AAAAABgAAAD8/AD8AAIAAAAAAADwvwIzMzMzMzPzPwI2zTtO0ZHsPwAAAAAYAAAA/PwA/AACAAAAAAAA8L8CmpmZmZmZAUACNs07TtGR7D8AAAAAKAQAAWUEAAAAAAAAAAAIAAFlCAAAAAAAAAAADAABZQQAAAAAAAAAABAEAWUEAAAAAAAAAAAUBAFlBAAAAAAAAAAAGAQBZQQAAAAAAAAAABwUAWUEAAAAAAAAAAAgGAFlBAAAAAAAAAAAJCABZQQAAAAAAAAAABAcAWUEAAAAAAAAAAAAAAAA</t>
        </r>
      </text>
    </comment>
    <comment ref="A1171" authorId="0" shapeId="0" xr:uid="{331C7533-0E5C-4F58-B51E-7F471720AE27}">
      <text>
        <r>
          <rPr>
            <sz val="9"/>
            <color indexed="81"/>
            <rFont val="MS P ゴシック"/>
            <family val="3"/>
            <charset val="128"/>
          </rPr>
          <t>Insight iXlW00001C0001171R0585476093S00002340P01252LAocjBAQBF1NjaVRlZ2ljLmRhdGEuTW9sZWN1bGUBbwF/ARJTY2lUZWdpYy5Nb2xlY3VsZQAAAQFkAv5qAQAAAAIAAgEQJAAAAPz8APwAAgAAAAAAAPC/AhFYObTI9gVAAiDSb18HztE/AAAAABgAAAD8/AD8AAIAAAAAAADwvwLgT42XbhL+PwLAWyBB8WPMvwAAAAAYAAAA/PwA/AACAAAAAAAA8L8C4E+Nl24S/j8CeAskKH6M878AAAAAGAAAAPz8APwAAgAAAAAAAPC/Ap7vp8ZLN/A/AngLJCh+jPu/AAAAABgAAAD8/AD8AAIAAAAAAADwvwLiehSuR+HCPwJ4CyQofozzvwAAAAAYAAAA/PwA/AACAAAAAAAA8L8C4noUrkfhwj8CwFsgQfFjzL8AAAAAGAAAAPz8APwAAgAAAAAAAPC/Ap7vp8ZLN/A/AiDSb18HztE/AAAAABgAAAD8/AD8AAIAAAAAAADwvwItsp3vp8bpPwLSb18Hzhn0PwAAAAAgAAAA/PwA/AACAAAAAAAA8L8C/tR46SYxyL8CS1mGONbF9T8AAAAAGAAAAPz8APwAAgAAAAAAAPC/AjlFR3L5D+O/AhwN4C2QoNw/AAAAABgAAAD8/AD8AAIAAAAAAADwvwJuxf6ye/LsvwKQMXctIR/gvwAAAAAYAAAA/PwA/AACAAAAAAAA8L8CcoqO5PIf/r8Cnl4pyxDH5r8AAAAAHAAAAPz8APwAAgAAAAAAAPC/AplMFYxKagTAAhHHuriNBqA/AAAAABgAAAD8/AD8AAIAAAAAAADwvwKMbOf7qfEBwAKP5PIf0m/vPwAAAAAYAAAA/PwA/AACAAAAAAAA8L8CXLG/7J489L8CXtxGA3gL8z8AAAAAAREAAAD8/AD8AAIAAAAAAADwvwJ3vp8aL10MQAK1yHa+nxrHvwAAAAABEQAEAWUEAAAAAAAAAAAECAFlBAAAAAAAAAAACAwBZQgIAAAAAAAAAAwQAWUEAAAAAAAAAAAQFAFlCAgAAAAAAAAAFBgBZQQAAAAAAAAAABgEAWUIDAAAAAAAAAAYHAFlBAAAAAAAAAAAHCABZQQAAAAAAAAAACAkAWUEAAAAAAAAAAAkFAFlBAAAAAAAAAAAJCgBZQQAAAAAAAAAACgsAWUEAAAAAAAAAAAsMAFlBAAAAAAAAAAAMDQBZQQAAAAAAAAAADQ4AWUEAAAAAAAAAAA4JAFlBAAAAAAAAAAAAAAAAA==</t>
        </r>
      </text>
    </comment>
    <comment ref="A1172" authorId="0" shapeId="0" xr:uid="{13E408A2-604F-4308-9C7D-2D915F8B07E7}">
      <text>
        <r>
          <rPr>
            <sz val="9"/>
            <color indexed="81"/>
            <rFont val="MS P ゴシック"/>
            <family val="3"/>
            <charset val="128"/>
          </rPr>
          <t>Insight iXlW00001C0001172R0585476093S00002342P01268LAocjBAQBF1NjaVRlZ2ljLmRhdGEuTW9sZWN1bGUBbwF/ARJTY2lUZWdpYy5Nb2xlY3VsZQAAAQFkAv5qAQAAAAIAAgEQGAAAAPz8APwAAgAAAAAAAPC/Aqyt2F92T+Q/AtBE2PD0StE/AAAAABgAAAD8/AD8AAIAAAAAAADwvwLkFB3J5T/UvwJ/+zpwzojiPwAAAAAYAAAA/PwA/AACAAAAAAAA8L8CkML1KFyP8z8CwH0dOGdE8T8AAAAAHAAAAPz8APwAAgAAAAAAAPC/Aqyt2F92T+Q/AkvqBDQRNv4/AAAAABgAAAD8/AD8AAIAAAAAAADwvwLkFB3J5T/UvwLAfR04Z0T5PwAAAAAYAAAA/PwA/AACAAAAAAAA8L8Ce6UsQxzr8r8C9dvXgXNGtD8AAAAAHAAAAPz8APwAAgAAAAAAAPC/AulILv8h/fg/AkSLbOf7qQTAAAAAABgAAAD8/AD8AAIAAAAAAADwvwKl374OnDPuPwK2FfvL7snlvwAAAAAYAAAA/PwA/AACAAAAAAAA8L8Ce6UsQxzr8r8C4L4OnDOiAEAAAAAAGAAAAPz8APwAAgAAAAAAAPC/At4CCYofYwDAAn/7OnDOiOI/AAAAABgAAAD8/AD8AAIAAAAAAADwvwLeAgmKH2MAwALAfR04Z0T5PwAAAAAkAAAA/PwA/AACAAAAAAAA8L8C/7J78rBQB8AC9dvXgXNGtD8AAAAAGAAAAPz8APwAAgAAAAAAAPC/AtQrZRni2AFAAgCRfvs6cP2/AAAAABgAAAD8/AD8AAIAAAAAAADwvwI9m1Wfq63iPwI51sVtNAADwAAAAAAYAAAA/PwA/AACAAAAAAAA8L8CHeviNhrA/j8C4umVsgxx7L8AAAAAGAAAAPz8APwAAgAAAAAAAPC/AonS3uALk9E/AmMQWDm0yPa/AAAAAAESBAABZQQAAAAAAAAAAAgAAWUICAAAAAAAAAAMCAFlBAAAAAAAAAAAEAQBZQgMAAAAAAAAABQEAWUEAAAAAAAAAAAYNAFlBAAAAAAAAAAAHAABZQQAAAAAAAAAACAQAWUEAAAAAAAAAAAkFAFlCAgAAAAAAAAAKCQBZQQAAAAAAAAAACwkAWUEAAAAAAAAAAAwOAFlBAAAAAAAAAAANDwBZQQAAAAAAAAAADgcAWUEAAAAAAAAAAA8HAFlBAAAAAAAAAAAEAwBZQQAAAAAAAAAADAYAWUEAAAAAAAAAAAgKAFlCAgAAAAAAAAAAAAAAA==</t>
        </r>
      </text>
    </comment>
    <comment ref="A1173" authorId="0" shapeId="0" xr:uid="{370D9324-A07D-4F3E-AFA8-9802C0AD3D45}">
      <text>
        <r>
          <rPr>
            <sz val="9"/>
            <color indexed="81"/>
            <rFont val="MS P ゴシック"/>
            <family val="3"/>
            <charset val="128"/>
          </rPr>
          <t>Insight iXlW00001C0001173R0585476093S00002344P00804LAocjBAQBF1NjaVRlZ2ljLmRhdGEuTW9sZWN1bGUBbwF/ARJTY2lUZWdpYy5Nb2xlY3VsZQAAAQFkAv5qAQAAAAIAAigYAAAA/PwA/AACAAAAAAAA8L8CeAskKH6M8T8C0GbV52ortj8AAAAAJAAAAPz8APwAAgAAAAAAAPC/AiDSb18Hzv0/AhB6Nqs+V+c/AAAAACQAAAD8/AD8AAIAAAAAAADwvwIg0m9fB879PwJcIEHxY8zhvwAAAAAYAAAA/PwA/AACAAAAAAAA8L8C8BZIUPwY4z8CqhPQRNjw6L8AAAAAGAAAAPz8APwAAgAAAAAAAPC/AvAWSFD8GOM/Al1txf6ye+4/AAAAABwAAAD8/AD8AAIAAAAAAADwvwJE+u3rwDkDwAKqE9BE2PDovwAAAAAYAAAA/PwA/AACAAAAAAAA8L8CINJvXwfO2b8CqhPQRNjw6L8AAAAAGAAAAPz8APwAAgAAAAAAAPC/AiDSb18Hztm/Al1txf6ye+4/AAAAABgAAAD8/AD8AAIAAAAAAADwvwIQ6bevA+fsvwLQZtXnaiu2PwAAAAAYAAAA/PwA/AACAAAAAAAA8L8CiPTb14Fz/r8C0GbV52ortj8AAAAAKAQAAWUEAAAAAAAAAAAIAAFlBAAAAAAAAAAADAABZQQAAAAAAAAAABAAAWUEAAAAAAAAAAAUJAFlBAAAAAAAAAAAGAwBZQQAAAAAAAAAABwQAWUEAAAAAAAAAAAgHAFlBAAAAAAAAAAAJCABZQQAAAAAAAAAACAYAWUEAAAAAAAAAAAAAAAA</t>
        </r>
      </text>
    </comment>
    <comment ref="A1174" authorId="0" shapeId="0" xr:uid="{0A9285FF-8AEE-4315-B7AB-06D05E02EF83}">
      <text>
        <r>
          <rPr>
            <sz val="9"/>
            <color indexed="81"/>
            <rFont val="MS P ゴシック"/>
            <family val="3"/>
            <charset val="128"/>
          </rPr>
          <t>Insight iXlW00001C0001174R0585476093S00002346P01104LAocjBAQBF1NjaVRlZ2ljLmRhdGEuTW9sZWN1bGUBbwF/ARJTY2lUZWdpYy5Nb2xlY3VsZQAAAQFkAv5qAQAAAAIAAjgYAAAA/PwA/AACAAAAAAAA8L8Ch6dXyjLE8L8CylTBqKROwL8AAAAAGAAAAPz8APwAAgAAAAAAAPC/AiBj7lpCPuI/AspUwaikTsC/AAAAABgAAAD8/AD8AAIAAAAAAADwvwKOdXEbDWAAwALzH9JvXwfGvwAAAAAYAAAA/PwA/AACAAAAAAAA8L8CJnUCmggb+T8C8x/Sb18Hxr8AAAAAGAAAAPz8APwAAgAAAAAAAPC/AtzXgXNGlM6/Ar5SliGOdd0/AAAAABgAAAD8/AD8AAIAAAAAAADwvwL3deCcEaXnvwKoxks3iUHxvwAAAAAYAAAA/PwA/AACAAAAAAAA8L8CEhQ/xty10D8CqMZLN4lB8b8AAAAAGAAAAPz8APwAAgAAAAAAAPC/AtnO91Pjpee/Amsr9pfdk/M/AAAAABgAAAD8/AD8AAIAAAAAAADwvwJOYhBYObTQPwJrK/aX3ZPzPwAAAAAgAAAA/PwA/AACAAAAAAAA8L8COUVHcvkPBMACMnctIR/08L8AAAAAIAAAAPz8APwAAgAAAAAAAPC/AgU0ETY8PQBAAsHKoUW28/C/AAAAACAAAAD8/AD8AAIAAAAAAADwvwLnHafoSK4EwAKCBMWPMXflPwAAAAAgAAAA/PwA/AACAAAAAAAA8L8CswxxrIvbAEACggTFjzF35T8AAAAAGAAAAPz8APwAAgAAAAAAAPC/An6utmJ/2QhAApkqGJXUCeQ/AAAAADwEEAFlBAAAAAAAAAAAAAgBZQQAAAAAAAAAAAQMAWUEAAAAAAAAAAAQAAFlBAAAAAAAAAAAFAABZQQAAAAAAAAAABgUAWUEAAAAAAAAAAAcAAFlBAAAAAAAAAAAIBwBZQQAAAAAAAAAACQIAWUIAAAAAAAAAAAoDAFlCAAAAAAAAAAALAgBZQQAAAAAAAAAADAMAWUEAAAAAAAAAAA0MAFlBAAAAAAAAAAAIAQBZQQAAAAAAAAAAAQYAWUEAAAAAAAAAAAAAAAA</t>
        </r>
      </text>
    </comment>
    <comment ref="A1175" authorId="0" shapeId="0" xr:uid="{638B8CCA-63EC-4080-A30E-0CA598D12F76}">
      <text>
        <r>
          <rPr>
            <sz val="9"/>
            <color indexed="81"/>
            <rFont val="MS P ゴシック"/>
            <family val="3"/>
            <charset val="128"/>
          </rPr>
          <t>Insight iXlW00001C0001175R0585476093S00002348P01524LAocjBAQBF1NjaVRlZ2ljLmRhdGEuTW9sZWN1bGUBbwF/ARJTY2lUZWdpYy5Nb2xlY3VsZQAAAQFkAv5qAQAAAAIAAgEUJAAAAPz8APwAAgAAAAAAAPC/AjPEsS5uIwVAAj4K16NwPe4/AAAAABgAAAD8/AD8AAIAAAAAAADwvwIzxLEubiMBQALChqdXyjK0PwAAAAAkAAAA/PwA/AACAAAAAAAA8L8CVHQkl/8QCEACjGzn+6nx2r8AAAAAJAAAAPz8APwAAgAAAAAAAPC/AmaIY13cRvo/AqvP1VbsL+m/AAAAABgAAAD8/AD8AAIAAAAAAADwvwKze/KwUGv0PwLZ8PRKWYbiPwAAAAAYAAAA/PwA/AACAAAAAAAA8L8Cs3vysFBr9D8CbHh6pSxD+T8AAAAAGAAAAPz8APwAAgAAAAAAAPC/AsZtNIC3QNo/AjY8vVKWoQBAAAAAABgAAAD8/AD8AAIAAAAAAADwvwJBE2HD0yvdvwJseHqlLEP5PwAAAAAYAAAA/PwA/AACAAAAAAAA8L8CQRNhw9Mr3b8Cu0kMAiuH4j8AAAAAGAAAAPz8APwAAgAAAAAAAPC/AsZtNIC3QNo/AtNNYhBYObQ/AAAAABgAAAD8/AD8AAIAAAAAAADwvwLGbTSAt0DaPwJGtvP91HjtvwAAAAAgAAAA/PwA/AACAAAAAAAA8L8CJCh+jLlr9D8CI9v5fmq89r8AAAAAHAAAAPz8APwAAgAAAAAAAPC/AkETYcPTK92/AiPb+X5qvPa/AAAAABgAAAD8/AD8AAIAAAAAAADwvwISpb3BFyb1vwJGtvP91HjtvwAAAAAYAAAA/PwA/AACAAAAAAAA8L8CqoJRSZ2AAcACI9v5fmq89r8AAAAAGAAAAPz8APwAAgAAAAAAAPC/AgMJih9jbgjAAka28/3UeO2/AAAAABwAAAD8/AD8AAIAAAAAAADwvwIDCYofY24IwALTTWIQWDm0PwAAAAAYAAAA/PwA/AACAAAAAAAA8L8C4lgXt9GAAcAC2fD0SlmG4j8AAAAAGAAAAPz8APwAAgAAAAAAAPC/AhKlvcEXJvW/AsKGp1fKMrQ/AAAAAAERAAAA/PwA/AACAAAAAAAA8L8CutqK/WV3DkACseHplbIM1T8AAAAAARQABAFlBAAAAAAAAAAABAgBZQQAAAAAAAAAAAQMAWUEAAAAAAAAAAAEEAFlBAAAAAAAAAAAEBQBZQgMAAAAAAAAABQYAWUEAAAAAAAAAAAYHAFlCAgAAAAAAAAAHCABZQQAAAAAAAAAACAkAWUICAAAAAAAAAAkEAFlBAAAAAAAAAAAJCgBZQQAAAAAAAAAACgsAWUIAAAAAAAAAAAoMAFlBAAAAAAAAAAAMDQBZQQAAAAAAAAAADQ4AWUEAAAAAAAAAAA4PAFlBAAAAAAAAAAAPAEQAWUEAAAAAAAAAAABEAERAWUEAAAAAAAAAAABEQESAWUEAAAAAAAAAAABEjQBZQQAAAAAAAAAAAAAAAA=</t>
        </r>
      </text>
    </comment>
    <comment ref="A1176" authorId="0" shapeId="0" xr:uid="{B5F0EB27-1FFF-4925-A343-1511564198F2}">
      <text>
        <r>
          <rPr>
            <sz val="9"/>
            <color indexed="81"/>
            <rFont val="MS P ゴシック"/>
            <family val="3"/>
            <charset val="128"/>
          </rPr>
          <t>Insight iXlW00001C0001176R0585476093S00002350P01524LAocjBAQBF1NjaVRlZ2ljLmRhdGEuTW9sZWN1bGUBbwF/ARJTY2lUZWdpYy5Nb2xlY3VsZQAAAQFkAv5qAQAAAAIAAgEUJAAAAPz8APwAAgAAAAAAAPC/AkXY8PRKWQtAApayDHGsi+G/AAAAABgAAAD8/AD8AAIAAAAAAADwvwIkKH6MuWsEQAJLWYY41sXwvwAAAAAkAAAA/PwA/AACAAAAAAAA8L8CJCh+jLlrCEACjblrCfmg/r8AAAAAJAAAAPz8APwAAgAAAAAAAPC/AgfwFkhQ/Po/AktZhjjWxfi/AAAAABgAAAD8/AD8AAIAAAAAAADwvwIkKH6MuWsAQAJMyAc9m1XHvwAAAAAYAAAA/PwA/AACAAAAAAAA8L8CJCh+jLlrBEACcc6I0t7g5T8AAAAAGAAAAPz8APwAAgAAAAAAAPC/AiQofoy5awBAAnrHKTqSy/g/AAAAABgAAAD8/AD8AAIAAAAAAADwvwJIUPwYc9fwPwJ6xyk6ksv4PwAAAAAYAAAA/PwA/AACAAAAAAAA8L8CkKD4Meau4T8Ccc6I0t7g5T8AAAAAGAAAAPz8APwAAgAAAAAAAPC/AkhQ/Bhz1/A/AkzIBz2bVce/AAAAABgAAAD8/AD8AAIAAAAAAADwvwLgvg6cM6LcvwJxzojS3uDlPwAAAAAgAAAA/PwA/AACAAAAAAAA8L8CcF8HzhlR7r8CescpOpLL+D8AAAAAHAAAAPz8APwAAgAAAAAAAPC/AnBfB84ZUe6/AkzIBz2bVce/AAAAABgAAAD8/AD8AAIAAAAAAADwvwK4rwPnjCj/vwJMyAc9m1XHvwAAAAAYAAAA/PwA/AACAAAAAAAA8L8C3NeBc0aUA8ACS1mGONbF8L8AAAAAGAAAAPz8APwAAgAAAAAAAPC/AtzXgXNGlAvAAktZhjjWxfC/AAAAABwAAAD8/AD8AAIAAAAAAADwvwLc14FzRpQPwAJMyAc9m1XHvwAAAAAYAAAA/PwA/AACAAAAAAAA8L8C3NeBc0aUC8ACcc6I0t7g5T8AAAAAGAAAAPz8APwAAgAAAAAAAPC/AtzXgXNGlAPAAnHOiNLe4OU/AAAAAAERAAAA/PwA/AACAAAAAAAA8L8CVp+rrdjfEEACTMgHPZtVx78AAAAAARQABAFlBAAAAAAAAAAABAgBZQQAAAAAAAAAAAQMAWUEAAAAAAAAAAAEEAFlBAAAAAAAAAAAEBQBZQQAAAAAAAAAABQYAWUICAAAAAAAAAAYHAFlBAAAAAAAAAAAHCABZQgIAAAAAAAAACAkAWUEAAAAAAAAAAAkEAFlCAwAAAAAAAAAICgBZQQAAAAAAAAAACgsAWUIAAAAAAAAAAAoMAFlBAAAAAAAAAAAMDQBZQQAAAAAAAAAADQ4AWUEAAAAAAAAAAA4PAFlBAAAAAAAAAAAPAEQAWUEAAAAAAAAAAABEAERAWUEAAAAAAAAAAABEQESAWUEAAAAAAAAAAABEjQBZQQAAAAAAAAAAAAAAAA=</t>
        </r>
      </text>
    </comment>
    <comment ref="A1177" authorId="0" shapeId="0" xr:uid="{6B497288-887E-4199-BAE3-F0EE7D2C2D99}">
      <text>
        <r>
          <rPr>
            <sz val="9"/>
            <color indexed="81"/>
            <rFont val="MS P ゴシック"/>
            <family val="3"/>
            <charset val="128"/>
          </rPr>
          <t>Insight iXlW00001C0001177R0585476093S00002352P01524LAocjBAQBF1NjaVRlZ2ljLmRhdGEuTW9sZWN1bGUBbwF/ARJTY2lUZWdpYy5Nb2xlY3VsZQAAAQFkAv5qAQAAAAIAAgEUJAAAAPz8APwAAgAAAAAAAPC/AkqdgCbChgpAAsdLN4lBYPQ/AAAAABgAAAD8/AD8AAIAAAAAAADwvwJKnYAmwoYKQAIbL90kBoHRPwAAAAAkAAAA/PwA/AACAAAAAAAA8L8CpU5AE2FDEUACGy/dJAaB0T8AAAAAJAAAAPz8APwAAgAAAAAAAPC/AkqdgCbChgpAAnNoke18P+e/AAAAABgAAAD8/AD8AAIAAAAAAADwvwJKnYAmwoYCQAIbL90kBoHRPwAAAAAYAAAA/PwA/AACAAAAAAAA8L8CkzoBTYQN/T8C9ihcj8L14r8AAAAAGAAAAPz8APwAAgAAAAAAAPC/AiZ1ApoIG+o/AvYoXI/C9eK/AAAAABgAAAD8/AD8AAIAAAAAAADwvwJL6gQ0ETbUPwIbL90kBoHRPwAAAAAYAAAA/PwA/AACAAAAAAAA8L8CJnUCmggb6j8CCKwcWmQ78j8AAAAAGAAAAPz8APwAAgAAAAAAAPC/ApM6AU2EDf0/AgisHFpkO/I/AAAAABgAAAD8/AD8AAIAAAAAAADwvwLbiv1l9+TlvwIbL90kBoHRPwAAAAAgAAAA/PwA/AACAAAAAAAA8L8CbsX+snvy8r8CCKwcWmQ78j8AAAAAHAAAAPz8APwAAgAAAAAAAPC/Am7F/rJ78vK/AtiBc0aU9uK/AAAAABgAAAD8/AD8AAIAAAAAAADwvwK3Yn/ZPXkBwALYgXNGlPbivwAAAAAYAAAA/PwA/AACAAAAAAAA8L8Ct2J/2T15BcACLiEf9GxW978AAAAAGAAAAPz8APwAAgAAAAAAAPC/Ardif9k9eQ3AAi4hH/RsVve/AAAAABwAAAD8/AD8AAIAAAAAAADwvwJcsb/snrwQwALYgXNGlPbivwAAAAAYAAAA/PwA/AACAAAAAAAA8L8Ct2J/2T15DcACV32utmJ/0T8AAAAAGAAAAPz8APwAAgAAAAAAAPC/Ardif9k9eQXAAld9rrZif9E/AAAAAAERAAAA/PwA/AACAAAAAAAA8L8C2IFzRpR2FEACvw6cM6K0t78AAAAAARQABAFlBAAAAAAAAAAABAgBZQQAAAAAAAAAAAQMAWUEAAAAAAAAAAAEEAFlBAAAAAAAAAAAEBQBZQgMAAAAAAAAABQYAWUEAAAAAAAAAAAYHAFlCAgAAAAAAAAAHCABZQQAAAAAAAAAACAkAWUICAAAAAAAAAAkEAFlBAAAAAAAAAAAHCgBZQQAAAAAAAAAACgsAWUIAAAAAAAAAAAoMAFlBAAAAAAAAAAAMDQBZQQAAAAAAAAAADQ4AWUEAAAAAAAAAAA4PAFlBAAAAAAAAAAAPAEQAWUEAAAAAAAAAAABEAERAWUEAAAAAAAAAAABEQESAWUEAAAAAAAAAAABEjQBZQQAAAAAAAAAAAAAAAA=</t>
        </r>
      </text>
    </comment>
    <comment ref="A1178" authorId="0" shapeId="0" xr:uid="{2A2C1A44-9259-47AF-83A3-6F283AEB8AC4}">
      <text>
        <r>
          <rPr>
            <sz val="9"/>
            <color indexed="81"/>
            <rFont val="MS P ゴシック"/>
            <family val="3"/>
            <charset val="128"/>
          </rPr>
          <t>Insight iXlW00001C0001178R0585476093S00002354P01504LAocjBAQBF1NjaVRlZ2ljLmRhdGEuTW9sZWN1bGUBbwF/ARJTY2lUZWdpYy5Nb2xlY3VsZQAAAQFkAv5qAQAAAAIAAgEUHAAAAPz8APwAAgAAAAAAAPC/As/3U+OlWxBAAgAAAAAAAOi/AAAAABgAAAD8/AD8AAIAAAAAAADwvwJ9PzVeuskJQAIAAAAAAADQvwAAAAAYAAAA/PwA/AACAAAAAAAA8L8CfT81XrrJCUACAAAAAAAA6D8AAAAAGAAAAPz8APwAAgAAAAAAAPC/AlyPwvUo3AJAAgAAAAAAAPQ/AAAAABwAAAD8/AD8AAIAAAAAAADwvwJ3vp8aL933PwIAAAAAAADoPwAAAAAYAAAA/PwA/AACAAAAAAAA8L8CiWNd3EYD5D8CAAAAAAAA9D8AAAAAGAAAAPz8APwAAgAAAAAAAPC/AutztRX7y86/AgAAAAAAAOg/AAAAABgAAAD8/AD8AAIAAAAAAADwvwK/DpwzorTxvwIAAAAAAAD0PwAAAAAYAAAA/PwA/AACAAAAAAAA8L8CAW+BBMWP/78CAAAAAAAA6D8AAAAAGAAAAPz8APwAAgAAAAAAAPC/AgFvgQTFj/+/AgAAAAAAANC/AAAAABgAAAD8/AD8AAIAAAAAAADwvwK/DpwzorTxvwIAAAAAAADovwAAAAAYAAAA/PwA/AACAAAAAAAA8L8C63O1FfvLzr8CAAAAAAAA0L8AAAAAGAAAAPz8APwAAgAAAAAAAPC/AqFns+pztQbAAgAAAAAAAOi/AAAAACQAAAD8/AD8AAIAAAAAAADwvwKhZ7Pqc7UCwAJCYOXQItv5vwAAAAAkAAAA/PwA/AACAAAAAAAA8L8CwhcmUwWjDcACAAAAAAAA9L8AAAAAJAAAAPz8APwAAgAAAAAAAPC/AqFns+pztQrAAhkEVg4tsr0/AAAAABgAAAD8/AD8AAIAAAAAAADwvwJ3vp8aL933PwIAAAAAAADQvwAAAAAYAAAA/PwA/AACAAAAAAAA8L8CXI/C9SjcAkACAAAAAAAA6L8AAAAAAREAAAD8/AD8AAIAAAAAAADwvwICK4cW2Y4TQAIkKH6MuWvJvwAAAAABEQAAAPz8APwAAgAAAAAAAPC/ApCg+DHmrhdAAunZrPpcbcW/AAAAAAETAAQBZQQAAAAAAAAAAAQIAWUEAAAAAAAAAAAIDAFlBAAAAAAAAAAADBABZQQAAAAAAAAAABAUAWUEAAAAAAAAAAAUGAFlBAAAAAAAAAAAGBwBZQgMAAAAAAAAABwgAWUEAAAAAAAAAAAgJAFlCAgAAAAAAAAAJCgBZQQAAAAAAAAAACgsAWUICAAAAAAAAAAsGAFlBAAAAAAAAAAAJDABZQQAAAAAAAAAADA0AWUEAAAAAAAAAAAwOAFlBAAAAAAAAAAAMDwBZQQAAAAAAAAAABABEAFlBAAAAAAAAAAAARABEQFlBAAAAAAAAAAAAREEAWUEAAAAAAAAAAAAAAAA</t>
        </r>
      </text>
    </comment>
    <comment ref="A1179" authorId="0" shapeId="0" xr:uid="{548A44FA-AF88-46E7-B7AD-8B7BA089F4A8}">
      <text>
        <r>
          <rPr>
            <sz val="9"/>
            <color indexed="81"/>
            <rFont val="MS P ゴシック"/>
            <family val="3"/>
            <charset val="128"/>
          </rPr>
          <t>Insight iXlW00001C0001179R0585476093S00002356P01216LAocjBAQBF1NjaVRlZ2ljLmRhdGEuTW9sZWN1bGUBbwF/ARJTY2lUZWdpYy5Nb2xlY3VsZQAAAQFkAv5qAQAAAAIAAgEQHAAAAPz8APwAAgAAAAAAAPC/At6Th4Va09i/AkLPZtXnavI/AAAAABgAAAD8/AD8AAIAAAAAAADwvwJ6Nqs+V1vnvwJX7C+7Jw/LPwAAAAAYAAAA/PwA/AACAAAAAAAA8L8CejarPldb578C6wQ0ETY86b8AAAAAGAAAAPz8APwAAgAAAAAAAPC/An/7OnDOiPm/AnUCmggbnvS/AAAAABwAAAD8/AD8AAIAAAAAAADwvwLgLZCg+LEDwALrBDQRNjzpvwAAAAAYAAAA/PwA/AACAAAAAAAA8L8C4C2QoPixA8ACV+wvuycPyz8AAAAAGAAAAPz8APwAAgAAAAAAAPC/An/7OnDOiPm/Ahb7y+7Jw+Y/AAAAABgAAAD8/AD8AAIAAAAAAADwvwKOBvAWSFDQPwJ3Tx4Wak2jPwAAAAAYAAAA/PwA/AACAAAAAAAA8L8C0m9fB84Z4z8Cd76fGi/d7L8AAAAAGAAAAPz8APwAAgAAAAAAAPC/AspUwaikTvk/Ato9eVioNfG/AAAAABgAAAD8/AD8AAIAAAAAAADwvwKyne+nxssBQALH3LWEfNDTvwAAAAAYAAAA/PwA/AACAAAAAAAA8L8CH4XrUbge/j8CC7Wmeccp5D8AAAAAAREAAAD8/AD8AAIAAAAAAADwvwLdtYR80DMEQAIuIR/0bFb2PwAAAAAYAAAA/PwA/AACAAAAAAAA8L8CfdCzWfW57D8CKssQx7q46T8AAAAAAREAAAD8/AD8AAIAAAAAAADwvwJEHOviNpoKQAL9h/Tb14GjPwAAAAABEQAAAPz8APwAAgAAAAAAAPC/ArAD54wobRFAAoenV8oyxLE/AAAAADwABAFlBAAAAAAAAAAABAgBZQQAAAAAAAAAAAgMAWUEAAAAAAAAAAAMEAFlBAAAAAAAAAAAEBQBZQQAAAAAAAAAABQYAWUEAAAAAAAAAAAYBAFlBAAAAAAAAAAABBwBZQQAAAAAAAAAABwgAWUIDAAAAAAAAAAgJAFlBAAAAAAAAAAAJCgBZQgIAAAAAAAAACgsAWUEAAAAAAAAAAAsMAFlBAAAAAAAAAAALDQBZQgIAAAAAAAAADQcAWUEAAAAAAAAAAAAAAAA</t>
        </r>
      </text>
    </comment>
    <comment ref="A1180" authorId="0" shapeId="0" xr:uid="{A09060DB-219E-43EF-947F-6E7E22D06BD1}">
      <text>
        <r>
          <rPr>
            <sz val="9"/>
            <color indexed="81"/>
            <rFont val="MS P ゴシック"/>
            <family val="3"/>
            <charset val="128"/>
          </rPr>
          <t>Insight iXlW00001C0001180R0585476093S00002358P01200LAocjBAQBF1NjaVRlZ2ljLmRhdGEuTW9sZWN1bGUBbwF/ARJTY2lUZWdpYy5Nb2xlY3VsZQAAAQFkAv5qAQAAAAIAAgEQJAAAAPz8APwAAgAAAAAAAPC/AvCnxks3id2/Ak2EDU+vlPk/AAAAABgAAAD8/AD8AAIAAAAAAADwvwL4U+Olm8TuvwIXSFD8GHPnPwAAAAAYAAAA/PwA/AACAAAAAAAA8L8C/Knx0k1i/78CF0hQ/Bhz5z8AAAAAGAAAAPz8APwAAgAAAAAAAPC/Av7UeOkmsQPAArHh6ZWyDMG/AAAAABgAAAD8/AD8AAIAAAAAAADwvwL8qfHSTWL/vwLwOEVHcvnvvwAAAAAcAAAA/PwA/AACAAAAAAAA8L8C+FPjpZvE7r8C0pFc/kP6778AAAAAGAAAAPz8APwAAgAAAAAAAPC/AvCnxks3id2/ArHh6ZWyDMG/AAAAABwAAAD8/AD8AAIAAAAAAADwvwIIrBxaZDvhPwKx4emVsgzBvwAAAAAYAAAA/PwA/AACAAAAAAAA8L8Ck6mCUUmd8D8CF0hQ/Bhz5z8AAAAAGAAAAPz8APwAAgAAAAAAAPC/AspUwaikTgBAAhdIUPwYc+c/AAAAABwAAAD8/AD8AAIAAAAAAADwvwICK4cW2U4EQAKx4emVsgzBvwAAAAAYAAAA/PwA/AACAAAAAAAA8L8CAiuHFtlOAEAC8DhFR3L5778AAAAAGAAAAPz8APwAAgAAAAAAAPC/AgRWDi2ynfA/AvA4RUdy+e+/AAAAAAERAAAA/PwA/AACAAAAAAAA8L8CaZHtfD+1CkACCM4ZUdob0D8AAAAAAREAAAD8/AD8AAIAAAAAAADwvwJDPujZrHoRQAImdQKaCBvSPwAAAAABEQAAAPz8APwAAgAAAAAAAPC/AuzAOSNKuxVAAk/RkVz+Q9Y/AAAAADgABAFlBAAAAAAAAAAABAgBZQgMAAAAAAAAAAgMAWUEAAAAAAAAAAAMEAFlCAgAAAAAAAAAEBQBZQQAAAAAAAAAABQYAWUICAAAAAAAAAAYBAFlBAAAAAAAAAAAGBwBZQQAAAAAAAAAABwgAWUEAAAAAAAAAAAgJAFlBAAAAAAAAAAAJCgBZQQAAAAAAAAAACgsAWUEAAAAAAAAAAAsMAFlBAAAAAAAAAAAMBwBZQQAAAAAAAAAAAAAAAA=</t>
        </r>
      </text>
    </comment>
    <comment ref="A1181" authorId="0" shapeId="0" xr:uid="{CF911E29-36C4-4C56-8D04-58EB0ED00AF2}">
      <text>
        <r>
          <rPr>
            <sz val="9"/>
            <color indexed="81"/>
            <rFont val="MS P ゴシック"/>
            <family val="3"/>
            <charset val="128"/>
          </rPr>
          <t>Insight iXlW00001C0001181R0585476093S00002360P01160LAocjBAQBF1NjaVRlZ2ljLmRhdGEuTW9sZWN1bGUBbwF/ARJTY2lUZWdpYy5Nb2xlY3VsZQAAAQFkAv5qAQAAAAIAAjwYAAAA/PwA/AACAAAAAAAA8L8Cp3nHKTqSCMAC/0P67evA978AAAAAIAAAAPz8APwAAgAAAAAAAPC/Aqd5xyk6kgDAAv9D+u3rwPe/AAAAABgAAAD8/AD8AAIAAAAAAADwvwJO845TdCT5vwJ6xyk6ksvjvwAAAAAYAAAA/PwA/AACAAAAAAAA8L8Cm+Ydp+hI4r8CescpOpLL478AAAAAGAAAAPz8APwAAgAAAAAAAPC/Atc07zhFR7K/Aibkg57Nqs8/AAAAABwAAAD8/AD8AAIAAAAAAADwvwKb5h2n6EjivwLG3LWEfNDxPwAAAAAYAAAA/PwA/AACAAAAAAAA8L8CTvOOU3Qk+b8Cxty1hHzQ8T8AAAAAHAAAAPz8APwAAgAAAAAAAPC/Aqd5xyk6kgDAAibkg57Nqs8/AAAAABwAAAD8/AD8AAIAAAAAAADwvwJmGeJYF7ftPwIm5IOezarPPwAAAAAYAAAA/PwA/AACAAAAAAAA8L8CswxxrIvb9j8Cxty1hHzQ8T8AAAAAGAAAAPz8APwAAgAAAAAAAPC/AlqGONbFbQNAAsbctYR80PE/AAAAABwAAAD8/AD8AAIAAAAAAADwvwJahjjWxW0HQAIm5IOezarPPwAAAAAYAAAA/PwA/AACAAAAAAAA8L8CWoY41sVtA0ACescpOpLL478AAAAAGAAAAPz8APwAAgAAAAAAAPC/ArMMcayL2/Y/AnrHKTqSy+O/AAAAAAERAAAA/PwA/AACAAAAAAAA8L8CwOyePCzUDUAC4ZwRpb3Bx78AAAAAPAAEAWUEAAAAAAAAAAAECAFlBAAAAAAAAAAACAwBZQQAAAAAAAAAAAwQAWUICAAAAAAAAAAQFAFlBAAAAAAAAAAAFBgBZQgIAAAAAAAAABgcAWUEAAAAAAAAAAAcCAFlCAwAAAAAAAAAECABZQQAAAAAAAAAACAkAWUEAAAAAAAAAAAkKAFlBAAAAAAAAAAAKCwBZQQAAAAAAAAAACwwAWUEAAAAAAAAAAAwNAFlBAAAAAAAAAAANCABZQQAAAAAAAAAAAAAAAA=</t>
        </r>
      </text>
    </comment>
    <comment ref="A1182" authorId="0" shapeId="0" xr:uid="{2CC61608-6A96-4D66-82E3-D9043CF47416}">
      <text>
        <r>
          <rPr>
            <sz val="9"/>
            <color indexed="81"/>
            <rFont val="MS P ゴシック"/>
            <family val="3"/>
            <charset val="128"/>
          </rPr>
          <t>Insight iXlW00001C0001182R0585476093S00002362P01612LAocjBAQBF1NjaVRlZ2ljLmRhdGEuTW9sZWN1bGUBbwF/ARJTY2lUZWdpYy5Nb2xlY3VsZQAAAQFkAv5qAQAAAAIAAgEVGAAAAPz8APwAAgAAAAAAAPC/AgaBlUOLbPY/AmHD0ytlGeC/AAAAABgAAAD8/AD8AAIAAAAAAADwvwI+eVioNc3rvwIDmggbnl7rPwAAAAAcAAAA/PwA/AACAAAAAAAA8L8CuY0G8BZI6D8C3pOHhVrT0D8AAAAAGAAAAPz8APwAAgAAAAAAAPC/AjojSnuDL/i/ApVliGNd3LY/AAAAACAAAAD8/AD8AAIAAAAAAADwvwL0jlN0JBcDQAJKDAIrhxbVvwAAAAAYAAAA/PwA/AACAAAAAAAA8L8CqhPQRNjwzL8ClWWIY13ctj8AAAAAHAAAAPz8APwAAgAAAAAAAPC/Ag3gLZCg+APAAt6Th4Va09A/AAAAABwAAAD8/AD8AAIAAAAAAADwvwI+eVioNc3rvwKBJsKGp9cGQAAAAAAgAAAA/PwA/AACAAAAAAAA8L8CwcqhRbbz8D8CaLPqc7UV978AAAAAGAAAAPz8APwAAgAAAAAAAPC/AkGC4seYOwhAArtJDAIrh/G/AAAAABgAAAD8/AD8AAIAAAAAAADwvwLhnBGlvcH7vwICTYQNT6/1PwAAAAAYAAAA/PwA/AACAAAAAAAA8L8Cx7q4jQbwZr8CAk2EDU+v9T8AAAAAGAAAAPz8APwAAgAAAAAAAPC/AuGcEaW9wfu/AoEmwoan1wJAAAAAABgAAAD8/AD8AAIAAAAAAADwvwLHuriNBvBmvwKBJsKGp9cCQAAAAAAYAAAA/PwA/AACAAAAAAAA8L8CW9O84xQdCcACYcPTK2UZ4L8AAAAAGAAAAPz8APwAAgAAAAAAAPC/AvRsVn2utvK/AryWkA96Nuu/AAAAABgAAAD8/AD8AAIAAAAAAADwvwLOO07RkVwOQAJ/jLlrCfncvwAAAAAYAAAA/PwA/AACAAAAAAAA8L8Cj3VxGw1gDUACYxBYObTI/b8AAAAAGAAAAPz8APwAAgAAAAAAAPC/Au2ePCzUGgJAAlYwKqkT0Pu/AAAAABgAAAD8/AD8AAIAAAAAAADwvwI4+MJkqmAGwAJos+pztRX3vwAAAAAYAAAA/PwA/AACAAAAAAAA8L8Cj1N0JJf//L8Cd76fGi/d+b8AAAAAARYEFAFlBAAAAAAAAAAACAABZQQAAAAAAAAAAAwEAWUEAAAAAAAAAAAQAAFlBAAAAAAAAAAAFAgBZQQAAAAAAAAAABgMAWUEAAAAAAAAAAAcNAFlBAAAAAAAAAAAIAABZQgAAAAAAAAAACQQAWUEAAAAAAAAAAAoBAFlBAAAAAAAAAAALAQBZQQAAAAAAAAAADAoAWUEAAAAAAAAAAA0LAFlBAAAAAAAAAAAOBgBZQgIAAAAAAAAADwMAWUIDAAAAAAAAAABECQBZQQAAAAAAAAAAAERJAFlBAAAAAAAAAAAARIkAWUEAAAAAAAAAAABEwEUAWUICAAAAAAAAAABFDwBZQQAAAAAAAAAADAcAWUEAAAAAAAAAAA4ARMBZQQAAAAAAAAAAAAAAAA=</t>
        </r>
      </text>
    </comment>
    <comment ref="A1183" authorId="0" shapeId="0" xr:uid="{FE6D0222-3B36-4699-9382-7DC2A6DD4A6C}">
      <text>
        <r>
          <rPr>
            <sz val="9"/>
            <color indexed="81"/>
            <rFont val="MS P ゴシック"/>
            <family val="3"/>
            <charset val="128"/>
          </rPr>
          <t>Insight iXlW00001C0001183R0585476093S00002364P00964LAocjBAQBF1NjaVRlZ2ljLmRhdGEuTW9sZWN1bGUBbwF/ARJTY2lUZWdpYy5Nb2xlY3VsZQAAAQFkAv5qAQAAAAIAAjAYAAAA/PwA/AACAAAAAAAA8L8Cs3vysFBr5j8C0GbV52orxr8AAAAAHAAAAPz8APwAAgAAAAAAAPC/Av32deCcEdk/AoiFWtO84+g/AAAAABwAAAD8/AD8AAIAAAAAAADwvwJrK/aX3RMAQAKIhVrTvOPoPwAAAAAYAAAA/PwA/AACAAAAAAAA8L8CACL99nXgvD8CyzLEsS5u778AAAAAGAAAAPz8APwAAgAAAAAAAPC/Ato9eVioNfM/An6utmJ/2fU/AAAAABgAAAD8/AD8AAIAAAAAAADwvwJL6gQ0ETb7PwLQZtXnaivGvwAAAAAYAAAA/PwA/AACAAAAAAAA8L8Cnzws1Jrm4b8CT6+UZYhj8T8AAAAAGAAAAPz8APwAAgAAAAAAAPC/AtejcD0K1/S/AkGC4seYu9o/AAAAABgAAAD8/AD8AAIAAAAAAADwvwKRD3o2qz4CwALRs1n1udrKPwAAAAAYAAAA/PwA/AACAAAAAAAA8L8CYxBYObTI+b8C/fZ14JwR4b8AAAAAIAAAAPz8APwAAgAAAAAAAPC/Ajq0yHa+n+A/AtsbfGEyVf6/AAAAACAAAAD8/AD8AAIAAAAAAADwvwItQxzr4jbsvwL3Bl+YTBXsvwAAAAA0BAABZQQAAAAAAAAAAAgUAWUEAAAAAAAAAAAMAAFlBAAAAAAAAAAAEAQBZQQAAAAAAAAAABQAAWUICAAAAAAAAAAYBAFlBAAAAAAAAAAAHBgBZQQAAAAAAAAAACAcAWUEAAAAAAAAAAAkHAFlBAAAAAAAAAAAKAwBZQgAAAAAAAAAACwMAWUEAAAAAAAAAAAQCAFlCAgAAAAAAAAAJCABZQQAAAAAAAAAAAAAAAA=</t>
        </r>
      </text>
    </comment>
    <comment ref="A1184" authorId="0" shapeId="0" xr:uid="{92A89904-7BA5-46AA-BBCF-1F83B929F8FD}">
      <text>
        <r>
          <rPr>
            <sz val="9"/>
            <color indexed="81"/>
            <rFont val="MS P ゴシック"/>
            <family val="3"/>
            <charset val="128"/>
          </rPr>
          <t>Insight iXlW00001C0001184R0585476093S00002366P00876LAocjBAQBF1NjaVRlZ2ljLmRhdGEuTW9sZWN1bGUBbwF/ARJTY2lUZWdpYy5Nb2xlY3VsZQAAAQFkAv5qAQAAAAIAAiwYAAAA/PwA/AACAAAAAAAA8L8CC9ejcD0Kz78CYVRSJ6CJ4L8AAAAAHAAAAPz8APwAAgAAAAAAAPC/AlTjpZvEIOI/AoNRSZ2AJrI/AAAAABgAAAD8/AD8AAIAAAAAAADwvwLwFkhQ/BjzvwKhibDh6ZXKvwAAAAAcAAAA/PwA/AACAAAAAAAA8L8CqvHSTWIQ8T8CP8bctYR8978AAAAAGAAAAPz8APwAAgAAAAAAAPC/AjZeukkMAvY/AmFUUiegieC/AAAAABgAAAD8/AD8AAIAAAAAAADwvwKgGi/dJAaxPwI/xty1hHz3vwAAAAAgAAAA/PwA/AACAAAAAAAA8L8CeJyiI7n8/r8C5j+k374O7L8AAAAAGAAAAPz8APwAAgAAAAAAAPC/AlTjpZvEIOI/AhiV1AloIvE/AAAAACAAAAD8/AD8AAIAAAAAAADwvwKV1AloImz2vwIt1JrmHafoPwAAAAAYAAAA/PwA/AACAAAAAAAA8L8CI2x4eqUs078CGZXUCWgi+T8AAAAAGAAAAPz8APwAAgAAAAAAAPC/AuxRuB6F6/Y/AhmV1AloIvk/AAAAACwEAAFlBAAAAAAAAAAACAABZQQAAAAAAAAAAAwUAWUEAAAAAAAAAAAQBAFlBAAAAAAAAAAAFAABZQgIAAAAAAAAABgIAWUIAAAAAAAAAAAcBAFlBAAAAAAAAAAAIAgBZQQAAAAAAAAAACQcAWUEAAAAAAAAAAAoHAFlBAAAAAAAAAAAEAwBZQgIAAAAAAAAAAAAAAA=</t>
        </r>
      </text>
    </comment>
    <comment ref="A1185" authorId="0" shapeId="0" xr:uid="{2EDA62EB-C841-4819-8F5C-8EE058FD0ECB}">
      <text>
        <r>
          <rPr>
            <sz val="9"/>
            <color indexed="81"/>
            <rFont val="MS P ゴシック"/>
            <family val="3"/>
            <charset val="128"/>
          </rPr>
          <t>Insight iXlW00001C0001185R0585476093S00002368P01448LAocjBAQBF1NjaVRlZ2ljLmRhdGEuTW9sZWN1bGUBbwF/ARJTY2lUZWdpYy5Nb2xlY3VsZQAAAQFkAv5qAQAAAAIAAgETHAAAAPz8APwAAgAAAAAAAPC/AspUwaikTvk/Aoqw4emVsvu/AAAAABgAAAD8/AD8AAIAAAAAAADwvwJhw9MrZZkCQALLoUW28/3wvwAAAAAYAAAA/PwA/AACAAAAAAAA8L8CVg4tsp3vAEAC+aBns+pztb8AAAAAGAAAAPz8APwAAgAAAAAAAPC/Au7rwDkjSgZAAvAWSFD8GOU/AAAAABwAAAD8/AD8AAIAAAAAAADwvwLu68A5I0oCQAK6awn5oGf4PwAAAAAYAAAA/PwA/AACAAAAAAAA8L8CIbByaJHt9D8CpAG8BRIU9T8AAAAAHAAAAPz8APwAAgAAAAAAAPC/AqjGSzeJQfM/ArU3+MJkqtQ/AAAAABgAAAD8/AD8AAIAAAAAAADwvwKamZmZmZnVPwKXkA96NqvGvwAAAAAYAAAA/PwA/AACAAAAAAAA8L8Ct/P91Hjp4L8CtTf4wmSq1D8AAAAAGAAAAPz8APwAAgAAAAAAAPC/Arfz/dR46eC/Au0NvjCZKvU/AAAAABgAAAD8/AD8AAIAAAAAAADwvwIdWmQ730/2vwLuDb4wmSr9PwAAAAAYAAAA/PwA/AACAAAAAAAA8L8CL90kBoEVAsAC7Q2+MJkq9T8AAAAAGAAAAPz8APwAAgAAAAAAAPC/Ai/dJAaBFQLAArU3+MJkqtQ/AAAAABgAAAD8/AD8AAIAAAAAAADwvwIdWmQ730/2vwKXkA96NqvGvwAAAAAYAAAA/PwA/AACAAAAAAAA8L8CHVpkO99P9r8CE/JBz2bV8r8AAAAAJAAAAPz8APwAAgAAAAAAAPC/AnNoke18P9m/AhPyQc9m1fK/AAAAACQAAAD8/AD8AAIAAAAAAADwvwIdWmQ730/2vwIK+aBns2oBwAAAAAAkAAAA/PwA/AACAAAAAAAA8L8CDy2yne8nA8ACE/JBz2bV8r8AAAAAAREAAAD8/AD8AAIAAAAAAADwvwJVUiegibAMQAKXkA96NqvGvwAAAAABEwAEAWUEAAAAAAAAAAAECAFlBAAAAAAAAAAACAwBZQgMAAAAAAAAAAwQAWUEAAAAAAAAAAAQFAFlCAgAAAAAAAAAFBgBZQQAAAAAAAAAABgIAWUEAAAAAAAAAAAYHAFlBAAAAAAAAAAAHCABZQQAAAAAAAAAACAkAWUIDAAAAAAAAAAkKAFlBAAAAAAAAAAAKCwBZQgIAAAAAAAAACwwAWUEAAAAAAAAAAAwNAFlCAgAAAAAAAAANCABZQQAAAAAAAAAADQ4AWUEAAAAAAAAAAA4PAFlBAAAAAAAAAAAOAEQAWUEAAAAAAAAAAA4AREBZQQAAAAAAAAAAAAAAAA=</t>
        </r>
      </text>
    </comment>
    <comment ref="A1186" authorId="0" shapeId="0" xr:uid="{265602FF-8567-4CCF-831C-45AF929BA0CE}">
      <text>
        <r>
          <rPr>
            <sz val="9"/>
            <color indexed="81"/>
            <rFont val="MS P ゴシック"/>
            <family val="3"/>
            <charset val="128"/>
          </rPr>
          <t>Insight iXlW00001C0001186R0585476093S00002370P00948LAocjBAQBF1NjaVRlZ2ljLmRhdGEuTW9sZWN1bGUBbwF/ARJTY2lUZWdpYy5Nb2xlY3VsZQAAAQFkAv5qAQAAAAIAAjAYAAAA/PwA/AACAAAAAAAA8L8CfIMvTKYK6j8Cy6FFtvP90L8AAAAAHAAAAPz8APwAAgAAAAAAAPC/AkcDeAskKOA/AlYOLbKd7+U/AAAAABwAAAD8/AD8AAIAAAAAAADwvwJdbcX+svsAQAJWDi2yne/lPwAAAAAYAAAA/PwA/AACAAAAAAAA8L8CIbByaJHtzD8C/tR46SYx8b8AAAAAGAAAAPz8APwAAgAAAAAAAPC/Ai9uowG8Bf0/Ao9TdCSX/9C/AAAAABgAAAD8/AD8AAIAAAAAAADwvwK+wRcmUwX1PwLl8h/Sb1/0PwAAAAAgAAAA/PwA/AACAAAAAAAA8L8CArwFEhQ/5D8CdNcS8kHP/78AAAAAIAAAAPz8APwAAgAAAAAAAPC/AmU730+Nl+i/AgvXo3A9Cu+/AAAAABgAAAD8/AD8AAIAAAAAAADwvwKuad5xio7cvwJt5/up8dLvPwAAAAAgAAAA/PwA/AACAAAAAAAA8L8CAd4CCYofAcACBqOSOgFN5D8AAAAAGAAAAPz8APwAAgAAAAAAAPC/AvMf0m9fB/O/At6Th4Va09Q/AAAAABgAAAD8/AD8AAIAAAAAAADwvwLFILByaBEHwAKpNc07TtGhvwAAAAAwBAABZQQAAAAAAAAAAAgQAWUEAAAAAAAAAAAMAAFlBAAAAAAAAAAAEAABZQgIAAAAAAAAABQEAWUEAAAAAAAAAAAYDAFlCAAAAAAAAAAAHAwBZQQAAAAAAAAAACAEAWUEAAAAAAAAAAAkKAFlBAAAAAAAAAAAKCABZQQAAAAAAAAAACwkAWUEAAAAAAAAAAAUCAFlCAgAAAAAAAAAAAAAAA==</t>
        </r>
      </text>
    </comment>
    <comment ref="A1187" authorId="0" shapeId="0" xr:uid="{55C788FB-F5A6-4E9C-8276-B4C1E4B06598}">
      <text>
        <r>
          <rPr>
            <sz val="9"/>
            <color indexed="81"/>
            <rFont val="MS P ゴシック"/>
            <family val="3"/>
            <charset val="128"/>
          </rPr>
          <t>Insight iXlW00001C0001187R0585476093S00002372P01176LAocjBAQBF1NjaVRlZ2ljLmRhdGEuTW9sZWN1bGUBbwF/ARJTY2lUZWdpYy5Nb2xlY3VsZQAAAQFkAv5qAQAAAAIAAjwcAAAA/PwA/AACAAAAAAAA8L8CvsEXJlMF1z8C/7J78rBQw78AAAAAHAAAAPz8APwAAgAAAAAAAPC/Ar7BFyZTBdc/Ardif9k9efc/AAAAABgAAAD8/AD8AAIAAAAAAADwvwJSuB6F61HuPwJX7C+7Jw/lPwAAAAAYAAAA/PwA/AACAAAAAAAA8L8CP1dbsb/s4r8CXLG/7J48xD8AAAAAGAAAAPz8APwAAgAAAAAAAPC/Aj9XW7G/7OK/Aiz2l92Th/I/AAAAABgAAAD8/AD8AAIAAAAAAADwvwL2udqK/WXlPwL+ZffkYaHxvwAAAAAYAAAA/PwA/AACAAAAAAAA8L8CtoR80LNZ+j8CFNBE2PD09L8AAAAAGAAAAPz8APwAAgAAAAAAAPC/AuELk6mCUfe/AlMnoImw4dW/AAAAACAAAAD8/AD8AAIAAAAAAADwvwK7SQwCK4cCQAIYldQJaCLivwAAAAAkAAAA/PwA/AACAAAAAAAA8L8C4QuTqYJR978C1QloImx49b8AAAAAGAAAAPz8APwAAgAAAAAAAPC/Ailcj8L1KP8/AlfsL7snD+U/AAAAACAAAAD8/AD8AAIAAAAAAADwvwJC8WPMXUv/PwIRNjy9UhYCwAAAAAAYAAAA/PwA/AACAAAAAAAA8L8C4QuTqYJR978CLPaX3ZOH+j8AAAAAGAAAAPz8APwAAgAAAAAAAPC/AhE2PL1SlgLAAiz2l92Th/I/AAAAABgAAAD8/AD8AAIAAAAAAADwvwIRNjy9UpYCwAJcsb/snjzEPwAAAAABEAQIAWUICAAAAAAAAAAIAAFlBAAAAAAAAAAADAABZQQAAAAAAAAAABAMAWUIDAAAAAAAAAAUAAFlBAAAAAAAAAAAGBQBZQQAAAAAAAAAABwMAWUEAAAAAAAAAAAgGAFlCAAAAAAAAAAAJBwBZQQAAAAAAAAAACgIAWUEAAAAAAAAAAAsGAFlBAAAAAAAAAAAMBABZQQAAAAAAAAAADQ4AWUEAAAAAAAAAAA4HAFlCAgAAAAAAAAABBABZQQAAAAAAAAAADA0AWUICAAAAAAAAAAAAAAA</t>
        </r>
      </text>
    </comment>
    <comment ref="A1188" authorId="0" shapeId="0" xr:uid="{B1B4C24B-9D21-4295-98C7-A9F7EC2B9398}">
      <text>
        <r>
          <rPr>
            <sz val="9"/>
            <color indexed="81"/>
            <rFont val="MS P ゴシック"/>
            <family val="3"/>
            <charset val="128"/>
          </rPr>
          <t>Insight iXlW00001C0001188R0585476093S00002374P01412LAocjBAQBF1NjaVRlZ2ljLmRhdGEuTW9sZWN1bGUBbwF/ARJTY2lUZWdpYy5Nb2xlY3VsZQAAAQFkAv5qAQAAAAIAAgESHAAAAPz8APwAAgAAAAAAAPC/Am7F/rJ78sC/AuGcEaW9wc+/AAAAABgAAAD8/AD8AAIAAAAAAADwvwIwTKYKRiXdPwLfcYqO5PLhPwAAAAAcAAAA/PwA/AACAAAAAAAA8L8CbsX+snvywL8Ce6UsQxzr9T8AAAAAGAAAAPz8APwAAgAAAAAAAPC/Ar10kxgEVvG/Aucdp+hILq8/AAAAABgAAAD8/AD8AAIAAAAAAADwvwK9dJMYBFbxvwLvOEVHcvnwPwAAAAAYAAAA/PwA/AACAAAAAAAA8L8CdQKaCBuexj8COiNKe4Mv878AAAAAGAAAAPz8APwAAgAAAAAAAPC/Apm7lpAPevI/AlCNl24Sg/a/AAAAABgAAAD8/AD8AAIAAAAAAADwvwL+1HjpJjH/vwJEHOviNhrcvwAAAAAYAAAA/PwA/AACAAAAAAAA8L8CDJOpglFJ9z8C33GKjuTy4T8AAAAAIAAAAPz8APwAAgAAAAAAAPC/AoZa07zjFABAAqabxCCwcuy/AAAAACQAAAD8/AD8AAIAAAAAAADwvwL+1HjpJjH/vwIRx7q4jQb3vwAAAAAgAAAA/PwA/AACAAAAAAAA8L8CJCh+jLlr9z8CsJRliGPdAsAAAAAAGAAAAPz8APwAAgAAAAAAAPC/Av7UeOkmMf+/AvA4RUdy+fg/AAAAABgAAAD8/AD8AAIAAAAAAADwvwKgGi/dJIYGwALvOEVHcvnwPwAAAAAYAAAA/PwA/AACAAAAAAAA8L8CFNBE2PD0BkAC33GKjuTy4T8AAAAAGAAAAPz8APwAAgAAAAAAAPC/AqAaL90khgbAAucdp+hILq8/AAAAABgAAAD8/AD8AAIAAAAAAADwvwLNzMzMzEwBQAJ9PzVeukn0PwAAAAAYAAAA/PwA/AACAAAAAAAA8L8CzczMzMxMAUAC9GxWfa62wr8AAAAAARQEAAFlBAAAAAAAAAAACAQBZQgIAAAAAAAAAAwAAWUEAAAAAAAAAAAQDAFlCAwAAAAAAAAAFAABZQQAAAAAAAAAABgUAWUEAAAAAAAAAAAcDAFlBAAAAAAAAAAAIAQBZQQAAAAAAAAAACQYAWUIAAAAAAAAAAAoHAFlBAAAAAAAAAAALBgBZQQAAAAAAAAAADAQAWUEAAAAAAAAAAA0PAFlBAAAAAAAAAAAOAERAWUEAAAAAAAAAAA8HAFlCAgAAAAAAAAAARAgAWUEAAAAAAAAAAABESABZQQAAAAAAAAAAAgQAWUEAAAAAAAAAAABEDgBZQQAAAAAAAAAADA0AWUICAAAAAAAAAAAAAAA</t>
        </r>
      </text>
    </comment>
    <comment ref="A1189" authorId="0" shapeId="0" xr:uid="{CA98521D-3FCA-409D-88C4-DFD22A7973D7}">
      <text>
        <r>
          <rPr>
            <sz val="9"/>
            <color indexed="81"/>
            <rFont val="MS P ゴシック"/>
            <family val="3"/>
            <charset val="128"/>
          </rPr>
          <t>Insight iXlW00001C0001189R0585476093S00002376P01560LAocjBAQBF1NjaVRlZ2ljLmRhdGEuTW9sZWN1bGUBbwF/ARJTY2lUZWdpYy5Nb2xlY3VsZQAAAQFkAv5qAQAAAAIAAgEUHAAAAPz8APwAAgAAAAAAAPC/Aoc41sVtNNy/AvJBz2bV59K/AAAAABgAAAD8/AD8AAIAAAAAAADwvwLA7J48LNTCPwIeOGdEaW/gPwAAAAAcAAAA/PwA/AACAAAAAAAA8L8ChzjWxW003L8Cmggbnl4p9T8AAAAAGAAAAPz8APwAAgAAAAAAAPC/AjEqqRPQRPa/AmAHzhlR2os/AAAAABgAAAD8/AD8AAIAAAAAAADwvwIxKqkT0ET2vwIPnDOitDfwPwAAAAAYAAAA/PwA/AACAAAAAAAA8L8CswxxrIvbwL8CGsBbIEHx878AAAAAGAAAAPz8APwAAgAAAAAAAPC/AkoMAiuHFus/AjEqqRPQRPe/AAAAABgAAAD8/AD8AAIAAAAAAADwvwI5RUdy+Q8CwALFjzF3LSHfvwAAAAAYAAAA/PwA/AACAAAAAAAA8L8CmN2Th4Va8j8CHjhnRGlv4D8AAAAAIAAAAPz8APwAAgAAAAAAAPC/AtzXgXNGlPw/AutztRX7y/G/AAAAACAAAAD8/AD8AAIAAAAAAADwvwLM7snDQi0JQAIeOGdEaW/gPwAAAAAkAAAA/PwA/AACAAAAAAAA8L8COUVHcvkPAsAC8mPMXUvI978AAAAAIAAAAPz8APwAAgAAAAAAAPC/ArByaJHtfPI/AiBj7lpCPgPAAAAAABgAAAD8/AD8AAIAAAAAAADwvwI5RUdy+Q8CwAIPnDOitDf4PwAAAAAYAAAA/PwA/AACAAAAAAAA8L8CWvW52or9CMACD5wzorQ38D8AAAAAGAAAAPz8APwAAgAAAAAAAPC/Alr1udqK/QjAAmAHzhlR2os/AAAAABgAAAD8/AD8AAIAAAAAAADwvwLM7snDQi0FQAJR/Bhz1xL2PwAAAAAYAAAA/PwA/AACAAAAAAAA8L8CzO7Jw0ItBUACyxDHuriN1r8AAAAAGAAAAPz8APwAAgAAAAAAAPC/Apjdk4eFWvo/AlH8GHPXEvY/AAAAABgAAAD8/AD8AAIAAAAAAADwvwKY3ZOHhVr6PwLLEMe6uI3WvwAAAAABFgQAAWUEAAAAAAAAAAAIBAFlCAgAAAAAAAAADAABZQQAAAAAAAAAABAMAWUIDAAAAAAAAAAUAAFlBAAAAAAAAAAAGBQBZQQAAAAAAAAAABwMAWUEAAAAAAAAAAAgBAFlBAAAAAAAAAAAJBgBZQgAAAAAAAAAACgBEQFlBAAAAAAAAAAALBwBZQQAAAAAAAAAADAYAWUEAAAAAAAAAAA0EAFlBAAAAAAAAAAAODwBZQQAAAAAAAAAADwcAWUICAAAAAAAAAABEAESAWUEAAAAAAAAAAABEQETAWUEAAAAAAAAAAABEiABZQQAAAAAAAAAAAETIAFlBAAAAAAAAAAACBABZQQAAAAAAAAAADQ4AWUICAAAAAAAAAABECgBZQQAAAAAAAAAAAAAAAA=</t>
        </r>
      </text>
    </comment>
    <comment ref="A1190" authorId="0" shapeId="0" xr:uid="{C0DBD58D-BA1D-4941-BA0D-50AE2831C68E}">
      <text>
        <r>
          <rPr>
            <sz val="9"/>
            <color indexed="81"/>
            <rFont val="MS P ゴシック"/>
            <family val="3"/>
            <charset val="128"/>
          </rPr>
          <t>Insight iXlW00001C0001190R0585476093S00002378P00916LAocjBAQBF1NjaVRlZ2ljLmRhdGEuTW9sZWN1bGUBbwF/ARJTY2lUZWdpYy5Nb2xlY3VsZQAAAQFkAv5qAQAAAAIAAjAYAAAA/PwA/AACAAAAAAAA8L8CXW3F/rJ77r8CmpmZmZmZ/b8AAAAAIAAAAPz8APwAAgAAAAAAAPC/Al1txf6ye+6/AjQzMzMzM+u/AAAAABgAAAD8/AD8AAIAAAAAAADwvwLQZtXnaiu2vwJnZmZmZmbWvwAAAAAYAAAA/PwA/AACAAAAAAAA8L8CqhPQRNjw6D8CNDMzMzMz678AAAAAGAAAAPz8APwAAgAAAAAAAPC/AhZqTfOOU/o/AmdmZmZmZta/AAAAABgAAAD8/AD8AAIAAAAAAADwvwIWak3zjlP6PwLNzMzMzMzkPwAAAAAcAAAA/PwA/AACAAAAAAAA8L8CqhPQRNjw6D8CZ2ZmZmZm8j8AAAAAGAAAAPz8APwAAgAAAAAAAPC/AtBm1edqK7a/As3MzMzMzOQ/AAAAABgAAAD8/AD8AAIAAAAAAADwvwJdbcX+snvuvwJnZmZmZmbyPwAAAAAcAAAA/PwA/AACAAAAAAAA8L8C8BZIUPwY/b8CzczMzMzM5D8AAAAAAREAAAD8/AD8AAIAAAAAAADwvwJyGw3gLZADQAL2udqK/WXXvwAAAAABEQAAAPz8APwAAgAAAAAAAPC/Ao4G8BZI0AtAAtgS8kHPZtW/AAAAACgABAFlBAAAAAAAAAAABAgBZQQAAAAAAAAAAAgMAWUIDAAAAAAAAAAMEAFlBAAAAAAAAAAAEBQBZQgIAAAAAAAAABQYAWUEAAAAAAAAAAAYHAFlCAgAAAAAAAAAHAgBZQQAAAAAAAAAABwgAWUEAAAAAAAAAAAgJAFlBAAAAAAAAAAAAAAAAA==</t>
        </r>
      </text>
    </comment>
    <comment ref="A1191" authorId="0" shapeId="0" xr:uid="{1CBFEF38-E8B6-47BD-8317-88D768E935F0}">
      <text>
        <r>
          <rPr>
            <sz val="9"/>
            <color indexed="81"/>
            <rFont val="MS P ゴシック"/>
            <family val="3"/>
            <charset val="128"/>
          </rPr>
          <t>Insight iXlW00001C0001191R0585476093S00002380P00648LAocjBAQBF1NjaVRlZ2ljLmRhdGEuTW9sZWN1bGUBbwF/ARJTY2lUZWdpYy5Nb2xlY3VsZQAAAQFkAv5qAQAAAAIAAiAYAAAA/PwA/AACAAAAAAAA8L8CswxxrIvb9r8CF2pN845T7L8AAAAAGAAAAPz8APwAAgAAAAAAAPC/AmYZ4lgXt+2/Ah8Wak3zjpO/AAAAABgAAAD8/AD8AAIAAAAAAADwvwLXNO84RUeyPwIfFmpN846TvwAAAAAcAAAA/PwA/AACAAAAAAAA8L8C1zTvOEVHsj8CWag1zTtO8L8AAAAAGAAAAPz8APwAAgAAAAAAAPC/Atc07zhFR7I/Ak+vlGWIY+8/AAAAABgAAAD8/AD8AAIAAAAAAADwvwJO845TdCTxPwJPr5RliGPvPwAAAAAYAAAA/PwA/AACAAAAAAAA8L8CTvOOU3Qk8T8CHxZqTfOOk78AAAAAAREAAAD8/AD8AAIAAAAAAADwvwIbwFsgQfH9PwIfFmpN846TvwAAAAAcAAQBZQQAAAAAAAAAAAQIAWUEAAAAAAAAAAAIDAFlBAAAAAAAAAAACBABZQQAAAAAAAAAABAUAWUEAAAAAAAAAAAUGAFlBAAAAAAAAAAAGAgBZQQAAAAAAAAAAAAAAAA=</t>
        </r>
      </text>
    </comment>
    <comment ref="A1192" authorId="0" shapeId="0" xr:uid="{A4437620-50E4-4FB3-A3B4-79C1E55FA529}">
      <text>
        <r>
          <rPr>
            <sz val="9"/>
            <color indexed="81"/>
            <rFont val="MS P ゴシック"/>
            <family val="3"/>
            <charset val="128"/>
          </rPr>
          <t>Insight iXlW00001C0001192R0585476093S00002382P00720LAocjBAQBF1NjaVRlZ2ljLmRhdGEuTW9sZWN1bGUBbwF/ARJTY2lUZWdpYy5Nb2xlY3VsZQAAAQFkAv5qAQAAAAIAAiQYAAAA/PwA/AACAAAAAAAA8L8CAAAAAAAAAcACYxBYObTI6L8AAAAAGAAAAPz8APwAAgAAAAAAAPC/AgAAAAAAAPK/AmMQWDm0yOi/AAAAABgAAAD8/AD8AAIAAAAAAADwvwIAAAAAAADkvwIGgZVDi2y3PwAAAAAYAAAA/PwA/AACAAAAAAAA8L8CAAAAAAAA2D8CBoGVQ4tstz8AAAAAHAAAAPz8APwAAgAAAAAAAPC/AgAAAAAAANg/AuBPjZduEu2/AAAAABgAAAD8/AD8AAIAAAAAAADwvwIAAAAAAADYPwIRWDm0yHbxPwAAAAAYAAAA/PwA/AACAAAAAAAA8L8CAAAAAAAA9j8CEVg5tMh28T8AAAAAGAAAAPz8APwAAgAAAAAAAPC/AgAAAAAAAPY/AgaBlUOLbLc/AAAAAAERAAAA/PwA/AACAAAAAAAA8L8CZ2ZmZmZmAUACBoGVQ4tstz8AAAAAIAAEAWUEAAAAAAAAAAAECAFlBAAAAAAAAAAACAwBZQQAAAAAAAAAAAwQAWUEAAAAAAAAAAAMFAFlBAAAAAAAAAAAFBgBZQQAAAAAAAAAABgcAWUEAAAAAAAAAAAcDAFlBAAAAAAAAAAAAAAAAA==</t>
        </r>
      </text>
    </comment>
    <comment ref="A1193" authorId="0" shapeId="0" xr:uid="{4C750B1E-1034-45B6-B984-0ECCB165FBC7}">
      <text>
        <r>
          <rPr>
            <sz val="9"/>
            <color indexed="81"/>
            <rFont val="MS P ゴシック"/>
            <family val="3"/>
            <charset val="128"/>
          </rPr>
          <t>Insight iXlW00001C0001193R0585476093S00002384P01340LAocjBAQBF1NjaVRlZ2ljLmRhdGEuTW9sZWN1bGUBbwF/ARJTY2lUZWdpYy5Nb2xlY3VsZQAAAQFkAv5qAQAAAAIAAgERGAAAAPz8APwAAgAAAAAAAPC/Ai9uowG8BWK/ApM6AU2EDb8/AAAAABgAAAD8/AD8AAIAAAAAAADwvwKM22gAb4HuvwLSAN4CCYrbPwAAAAAcAAAA/PwA/AACAAAAAAAA8L8CL26jAbwFYr8CwOyePCzU+z8AAAAAGAAAAPz8APwAAgAAAAAAAPC/AgU0ETY8veI/AmkAb4EExe0/AAAAABgAAAD8/AD8AAIAAAAAAADwvwKM22gAb4HuvwI1gLdAguL2PwAAAAAYAAAA/PwA/AACAAAAAAAA8L8CUWuad5yi0z8C6bevA+eM6r8AAAAAGAAAAPz8APwAAgAAAAAAAPC/AgjOGVHaG/2/Arn8h/Tb17G/AAAAABgAAAD8/AD8AAIAAAAAAADwvwIIzhlR2hv9vwI1gLdAguL+PwAAAAAgAAAA/PwA/AACAAAAAAAA8L8CyzLEsS7uCUACqMZLN4lB978AAAAAGAAAAPz8APwAAgAAAAAAAPC/AiWX/5B+ewXAAtIA3gIJits/AAAAABgAAAD8/AD8AAIAAAAAAADwvwIll/+QfnsFwAI1gLdAguL2PwAAAAAkAAAA/PwA/AACAAAAAAAA8L8CRkdy+Q9pDMACufyH9NvXsb8AAAAAGAAAAPz8APwAAgAAAAAAAPC/ApDC9Shcj/Q/AnzysFBrmvC/AAAAABgAAAD8/AD8AAIAAAAAAADwvwKFfNCzWXUHQAIzVTAqqRPgvwAAAAAYAAAA/PwA/AACAAAAAAAA8L8Cayv2l92TBEACGCZTBaOSAcAAAAAAGAAAAPz8APwAAgAAAAAAAPC/Ak/RkVz+Q/8/Ag0CK4cW2dK/AAAAABgAAAD8/AD8AAIAAAAAAADwvwIbL90kBoH5PwIa4lgXt9H/vwAAAAABEwQAAWUEAAAAAAAAAAAIDAFlBAAAAAAAAAAADAABZQgIAAAAAAAAABAEAWUIDAAAAAAAAAAUAAFlBAAAAAAAAAAAGAQBZQQAAAAAAAAAABwQAWUEAAAAAAAAAAAgOAFlBAAAAAAAAAAAJBgBZQgIAAAAAAAAACgkAWUEAAAAAAAAAAAsJAFlBAAAAAAAAAAAMBQBZQQAAAAAAAAAADQ8AWUEAAAAAAAAAAA4ARABZQQAAAAAAAAAADwwAWUEAAAAAAAAAAABEDABZQQAAAAAAAAAABAIAWUEAAAAAAAAAAA0IAFlBAAAAAAAAAAAHCgBZQgIAAAAAAAAAAAAAAA=</t>
        </r>
      </text>
    </comment>
    <comment ref="A1194" authorId="0" shapeId="0" xr:uid="{3C6064A1-30AC-4ACD-929B-DA28BECC62A8}">
      <text>
        <r>
          <rPr>
            <sz val="9"/>
            <color indexed="81"/>
            <rFont val="MS P ゴシック"/>
            <family val="3"/>
            <charset val="128"/>
          </rPr>
          <t>Insight iXlW00001C0001194R0585476093S00002386P01124LAocjBAQBF1NjaVRlZ2ljLmRhdGEuTW9sZWN1bGUBbwF/ARJTY2lUZWdpYy5Nb2xlY3VsZQAAAQFkAv5qAQAAAAIAAjgYAAAA/PwA/AACAAAAAAAA8L8CelioNc076r8CguLHmLuW0D8AAAAAGAAAAPz8APwAAgAAAAAAAPC/Amsr9pfdk+2/AlfsL7snD/Q/AAAAABgAAAD8/AD8AAIAAAAAAADwvwL129eBc0bEPwJP0ZFc/kOqPwAAAAAcAAAA/PwA/AACAAAAAAAA8L8Crthfdk8ehr8CVHQkl/+Q+j8AAAAAGAAAAPz8APwAAgAAAAAAAPC/Av32deCcEeU/Apjdk4eFWu0/AAAAABgAAAD8/AD8AAIAAAAAAADwvwJ/+zpwzoj6PwKY3ZOHhVrtPwAAAAAYAAAA/PwA/AACAAAAAAAA8L8C/fZ14JwR5T8CUfwYc9cS6r8AAAAAGAAAAPz8APwAAgAAAAAAAPC/AsWxLm6jAfm/AnpYqDXNO9q/AAAAABgAAAD8/AD8AAIAAAAAAADwvwKHp1fKMkQBQAJP0ZFc/kOqPwAAAAAYAAAA/PwA/AACAAAAAAAA8L8CDk+vlGWI+j8Cb6MBvAUS6r8AAAAAJAAAAPz8APwAAgAAAAAAAPC/AoenV8oyRAlAAk/RkVz+Q6o/AAAAABgAAAD8/AD8AAIAAAAAAADwvwJ+HThnROkEwAL7XG3F/rL1vwAAAAAYAAAA/PwA/AACAAAAAAAA8L8CK6kT0ETY+b8CYVRSJ6CJ9r8AAAAAGAAAAPz8APwAAgAAAAAAAPC/AgR4CyQofgTAAqYsQxzr4ta/AAAAAAEQBAABZQgIAAAAAAAAAAgAAWUEAAAAAAAAAAAMBAFlBAAAAAAAAAAAEAgBZQgMAAAAAAAAABQQAWUEAAAAAAAAAAAYCAFlBAAAAAAAAAAAHAABZQQAAAAAAAAAACAkAWUEAAAAAAAAAAAkGAFlCAgAAAAAAAAAKCABZQQAAAAAAAAAACw0AWUEAAAAAAAAAAAwHAFlBAAAAAAAAAAANBwBZQQAAAAAAAAAADAsAWUEAAAAAAAAAAAQDAFlBAAAAAAAAAAAFCABZQgIAAAAAAAAAAAAAAA=</t>
        </r>
      </text>
    </comment>
    <comment ref="A1195" authorId="0" shapeId="0" xr:uid="{A87DA699-63D0-4097-8180-60D6235746B9}">
      <text>
        <r>
          <rPr>
            <sz val="9"/>
            <color indexed="81"/>
            <rFont val="MS P ゴシック"/>
            <family val="3"/>
            <charset val="128"/>
          </rPr>
          <t>Insight iXlW00001C0001195R0585476093S00002388P00736LAocjBAQBF1NjaVRlZ2ljLmRhdGEuTW9sZWN1bGUBbwF/ARJTY2lUZWdpYy5Nb2xlY3VsZQAAAQFkAv5qAQAAAAIAAiQcAAAA/PwA/AACAAAAAAAA8L8Cat5xio7k/L8CcT0K16Nw5b8AAAAAGAAAAPz8APwAAgAAAAAAAPC/AuJYF7fRAPG/ApPLf0i/fU2/AAAAABgAAAD8/AD8AAIAAAAAAADwvwKu2F92Tx7ovwJJv30dOGfuPwAAAAAYAAAA/PwA/AACAAAAAAAA8L8CbxKDwMqhtb8C5tAi2/l+yj8AAAAAGAAAAPz8APwAAgAAAAAAAPC/Apt3nKIjucw/AgIrhxbZzue/AAAAABgAAAD8/AD8AAIAAAAAAADwvwL0jlN0JJfzPwICK4cW2c7nvwAAAAAYAAAA/PwA/AACAAAAAAAA8L8C8KfGSzeJ+D8C5tAi2/l+yj8AAAAAGAAAAPz8APwAAgAAAAAAAPC/Aucdp+hILuc/Aq2L22gAb+k/AAAAAAERAAAA/PwA/AACAAAAAAAA8L8CXrpJDAKrAkACku18PzVeuj8AAAAAJAQAAWUEAAAAAAAAAAAECAFlBAAAAAAAAAAACAwBZQQAAAAAAAAAAAwEAWUEAAAAAAAAAAAMEAFlBAAAAAAAAAAAEBQBZQQAAAAAAAAAABQYAWUEAAAAAAAAAAAYHAFlBAAAAAAAAAAAHAwBZQQAAAAAAAAAAAAAAAA=</t>
        </r>
      </text>
    </comment>
    <comment ref="A1196" authorId="0" shapeId="0" xr:uid="{4EFA8567-62DE-4E7E-9DFF-6D849449B186}">
      <text>
        <r>
          <rPr>
            <sz val="9"/>
            <color indexed="81"/>
            <rFont val="MS P ゴシック"/>
            <family val="3"/>
            <charset val="128"/>
          </rPr>
          <t>Insight iXlW00001C0001196R0585476093S00002390P01344LAocjBAQBF1NjaVRlZ2ljLmRhdGEuTW9sZWN1bGUBbwF/ARJTY2lUZWdpYy5Nb2xlY3VsZQAAAQFkAv5qAQAAAAIAAgESGAAAAPz8APwAAgAAAAAAAPC/ApZDi2znew5AAsrDQq1p3t0/AAAAACAAAAD8/AD8AAIAAAAAAADwvwI9vVKWIY4HQALlYaHWNO/uPwAAAAAYAAAA/PwA/AACAAAAAAAA8L8CHA3gLZCgAEACysNCrWne3T8AAAAAGAAAAPz8APwAAgAAAAAAAPC/Ava52or9ZfM/AuVhodY07+4/AAAAABgAAAD8/AD8AAIAAAAAAADwvwLQZtXnaivWPwLKw0Ktad7dPwAAAAAYAAAA/PwA/AACAAAAAAAA8L8C0GbV52or1j8CG55eKcsQ4b8AAAAAHAAAAPz8APwAAgAAAAAAAPC/AhwN4C2QoOC/Ag5Pr5RliPC/AAAAABgAAAD8/AD8AAIAAAAAAADwvwLQZtXnaiv2vwIbnl4pyxDhvwAAAAAYAAAA/PwA/AACAAAAAAAA8L8CiWNd3EYDAsACDk+vlGWI8L8AAAAAGAAAAPz8APwAAgAAAAAAAPC/AuLplbIM8QjAAhueXinLEOG/AAAAABwAAAD8/AD8AAIAAAAAAADwvwLi6ZWyDPEIwALKw0Ktad7dPwAAAAAYAAAA/PwA/AACAAAAAAAA8L8CwTkjSnsDAsACAwmKH2Pu7j8AAAAAGAAAAPz8APwAAgAAAAAAAPC/AtBm1edqK/a/AgYSFD/G3N0/AAAAABwAAAD8/AD8AAIAAAAAAADwvwL2udqK/WXzPwIOT6+UZYjwvwAAAAAYAAAA/PwA/AACAAAAAAAA8L8CHA3gLZCgAEACG55eKcsQ4b8AAAAAAREAAAD8/AD8AAIAAAAAAADwvwL+1HjpJnESQAJm9+Rhoda0vwAAAAABEQAAAPz8APwAAgAAAAAAAPC/AoxK6gQ0kRZAAt21hHzQs6m/AAAAAAERAAAA/PwA/AACAAAAAAAA8L8CNs07TtHRGkACrK3YX3ZPjj8AAAAAARAABAFlBAAAAAAAAAAABAgBZQQAAAAAAAAAAAgMAWUIDAAAAAAAAAAMEAFlBAAAAAAAAAAAEBQBZQgMAAAAAAAAABQYAWUEAAAAAAAAAAAYHAFlBAAAAAAAAAAAHCABZQQAAAAAAAAAACAkAWUEAAAAAAAAAAAkKAFlBAAAAAAAAAAAKCwBZQQAAAAAAAAAACwwAWUEAAAAAAAAAAAwHAFlBAAAAAAAAAAAFDQBZQQAAAAAAAAAADQ4AWUICAAAAAAAAAA4CAFlBAAAAAAAAAAAAAAAAA==</t>
        </r>
      </text>
    </comment>
    <comment ref="A1197" authorId="0" shapeId="0" xr:uid="{5B26A2D2-3BC4-4879-8568-1A5EFD5D278E}">
      <text>
        <r>
          <rPr>
            <sz val="9"/>
            <color indexed="81"/>
            <rFont val="MS P ゴシック"/>
            <family val="3"/>
            <charset val="128"/>
          </rPr>
          <t>Insight iXlW00001C0001197R0585476093S00002392P01184LAocjBAQBF1NjaVRlZ2ljLmRhdGEuTW9sZWN1bGUBbwF/ARJTY2lUZWdpYy5Nb2xlY3VsZQAAAQFkAv5qAQAAAAIAAgEQGAAAAPz8APwAAgAAAAAAAPC/AnpYqDXNuwlAAQAAAAAYAAAA/PwA/AACAAAAAAAA8L8CINJvXwfOAkACAAAAAAAA4D8AAAAAGAAAAPz8APwAAgAAAAAAAPC/Av9D+u3rwPc/AQAAAAAcAAAA/PwA/AACAAAAAAAA8L8CescpOpLL4z8CAAAAAAAA4D8AAAAAGAAAAPz8APwAAgAAAAAAAPC/AnrHKTqSy+M/AgAAAAAAAOC/AAAAABwAAAD8/AD8AAIAAAAAAADwvwIm5IOezarPvwIAAAAAAADwvwAAAAAYAAAA/PwA/AACAAAAAAAA8L8COIlBYOXQ8b8CAAAAAAAA4L8AAAAAGAAAAPz8APwAAgAAAAAAAPC/AnnpJjEIrP+/AgAAAAAAAPC/AAAAABgAAAD8/AD8AAIAAAAAAADwvwLdJAaBlcMGwAIAAAAAAADgvwAAAAAcAAAA/PwA/AACAAAAAAAA8L8C3SQGgZXDBsACAAAAAAAA4D8AAAAAGAAAAPz8APwAAgAAAAAAAPC/AnnpJjEIrP+/AQAAAAAYAAAA/PwA/AACAAAAAAAA8L8COIlBYOXQ8b8CAAAAAAAA4D8AAAAAHAAAAPz8APwAAgAAAAAAAPC/Av9D+u3rwPc/AgAAAAAAAPC/AAAAABgAAAD8/AD8AAIAAAAAAADwvwIg0m9fB84CQAIAAAAAAADgvwAAAAABEQAAAPz8APwAAgAAAAAAAPC/AnBfB84ZERBAAt9xio7k8o+/AAAAAAERAAAA/PwA/AACAAAAAAAA8L8C/tR46SYxFEAC33GKjuTyjz8AAAAAPAAEAWUEAAAAAAAAAAAECAFlCAwAAAAAAAAACAwBZQQAAAAAAAAAAAwQAWUIDAAAAAAAAAAQFAFlBAAAAAAAAAAAFBgBZQQAAAAAAAAAABgcAWUEAAAAAAAAAAAcIAFlBAAAAAAAAAAAICQBZQQAAAAAAAAAACQoAWUEAAAAAAAAAAAoLAFlBAAAAAAAAAAALBgBZQQAAAAAAAAAABAwAWUEAAAAAAAAAAAwNAFlCAgAAAAAAAAANAQBZQQAAAAAAAAAAAAAAAA=</t>
        </r>
      </text>
    </comment>
    <comment ref="A1198" authorId="0" shapeId="0" xr:uid="{0CA43348-8ACA-47E1-86F6-E2509CB0E999}">
      <text>
        <r>
          <rPr>
            <sz val="9"/>
            <color indexed="81"/>
            <rFont val="MS P ゴシック"/>
            <family val="3"/>
            <charset val="128"/>
          </rPr>
          <t>Insight iXlW00001C0001198R0585476093S00002394P01216LAocjBAQBF1NjaVRlZ2ljLmRhdGEuTW9sZWN1bGUBbwF/ARJTY2lUZWdpYy5Nb2xlY3VsZQAAAQFkAv5qAQAAAAIAAgEQHAAAAPz8APwAAgAAAAAAAPC/At9xio7k8tu/AuPHmLuWkPQ/AAAAABgAAAD8/AD8AAIAAAAAAADwvwJd/kP67evovwKu2F92Tx7WPwAAAAAYAAAA/PwA/AACAAAAAAAA8L8CXf5D+u3r6L8CqRPQRNjw5L8AAAAAGAAAAPz8APwAAgAAAAAAAPC/AnBfB84ZUfq/AtUJaCJsePK/AAAAABwAAAD8/AD8AAIAAAAAAADwvwLZX3ZPHhYEwAKpE9BE2PDkvwAAAAAYAAAA/PwA/AACAAAAAAAA8L8C2V92Tx4WBMACrthfdk8e1j8AAAAAGAAAAPz8APwAAgAAAAAAAPC/AnBfB84ZUfq/AlfsL7snD+s/AAAAABgAAAD8/AD8AAIAAAAAAADwvwKS7Xw/NV7KPwJrvHSTGATGPwAAAAAYAAAA/PwA/AACAAAAAAAA8L8Cmggbnl4p6z8Ca7x0kxgE7j8AAAAAGAAAAPz8APwAAgAAAAAAAPC/Ai4hH/RsVv0/Ai//If32deg/AAAAABgAAAD8/AD8AAIAAAAAAADwvwK6awn5oGcBQAIAkX77OnDGvwAAAAABEQAAAPz8APwAAgAAAAAAAPC/Aio6kst/SAlAAvnCZKpgVNa/AAAAABgAAAD8/AD8AAIAAAAAAADwvwLZ8PRKWYb4PwKQMXctIR/uvwAAAAAYAAAA/PwA/AACAAAAAAAA8L8C0gDeAgmK4T8CVHQkl/+Q6L8AAAAAAREAAAD8/AD8AAIAAAAAAADwvwKRoPgx5q4PQAJ4CyQofoypPwAAAAABEQAAAPz8APwAAgAAAAAAAPC/AtbFbTSA9xNAAjSitDf4wrQ/AAAAADwABAFlBAAAAAAAAAAABAgBZQQAAAAAAAAAAAgMAWUEAAAAAAAAAAAMEAFlBAAAAAAAAAAAEBQBZQQAAAAAAAAAABQYAWUEAAAAAAAAAAAYBAFlBAAAAAAAAAAABBwBZQQAAAAAAAAAABwgAWUIDAAAAAAAAAAgJAFlBAAAAAAAAAAAJCgBZQgMAAAAAAAAACgsAWUEAAAAAAAAAAAoMAFlBAAAAAAAAAAAMDQBZQgIAAAAAAAAADQcAWUEAAAAAAAAAAAAAAAA</t>
        </r>
      </text>
    </comment>
    <comment ref="A1199" authorId="0" shapeId="0" xr:uid="{83D00E77-5EC2-4E07-AF7D-D2529470A2A8}">
      <text>
        <r>
          <rPr>
            <sz val="9"/>
            <color indexed="81"/>
            <rFont val="MS P ゴシック"/>
            <family val="3"/>
            <charset val="128"/>
          </rPr>
          <t>Insight iXlW00001C0001199R0585476093S00002396P01432LAocjBAQBF1NjaVRlZ2ljLmRhdGEuTW9sZWN1bGUBbwF/ARJTY2lUZWdpYy5Nb2xlY3VsZQAAAQFkAv5qAQAAAAIAAgETHAAAAPz8APwAAgAAAAAAAPC/AueMKO0NvrA/AoGVQ4ts5+m/AAAAABgAAAD8/AD8AAIAAAAAAADwvwKze/KwUGvmvwIuIR/0bFbFvwAAAAAYAAAA/PwA/AACAAAAAAAA8L8C2j15WKg1878CZ0Rpb/CF8L8AAAAAGAAAAPz8APwAAgAAAAAAAPC/Au2ePCzUmgHAAmdEaW/whfC/AAAAABwAAAD8/AD8AAIAAAAAAADwvwLtnjws1JoFwAIuIR/0bFbFvwAAAAAYAAAA/PwA/AACAAAAAAAA8L8C7Z48LNSaAcACOPjCZKpg5j8AAAAAGAAAAPz8APwAAgAAAAAAAPC/Ato9eVioNfO/Ajj4wmSqYOY/AAAAABgAAAD8/AD8AAIAAAAAAADwvwLnjCjtDb6wPwLVCWgibHjePwAAAAAYAAAA/PwA/AACAAAAAAAA8L8C+1xtxf6yu78CVp+rrdhf9z8AAAAAGAAAAPz8APwAAgAAAAAAAPC/ArHh6ZWyDOU/AvjCZKpg1ABAAAAAABgAAAD8/AD8AAIAAAAAAADwvwKQwvUoXI/5PwKrz9VW7C/8PwAAAAAYAAAA/PwA/AACAAAAAAAA8L8Cn82qz9VW/D8ClWWIY13c6D8AAAAAGAAAAPz8APwAAgAAAAAAAPC/AoZa07zjFPA/AnxhMlUwKsE/AAAAABgAAAD8/AD8AAIAAAAAAADwvwKVZYhjXdzyPwJiodY07zjrvwAAAAAkAAAA/PwA/AACAAAAAAAA8L8COwFNhA1PAUACJuSDns2q5b8AAAAAJAAAAPz8APwAAgAAAAAAAPC/AjPEsS5uo/U/ApLtfD81Xv2/AAAAACQAAAD8/AD8AAIAAAAAAADwvwIOvjCZKhjdPwL3deCcEaX4vwAAAAABEQAAAPz8APwAAgAAAAAAAPC/AqFns+pztQdAAr10kxgEVr4/AAAAAAERAAAA/PwA/AACAAAAAAAA8L8CvlKWIY71D0ACmggbnl4pwz8AAAAAARIABAFlBAAAAAAAAAAABAgBZQQAAAAAAAAAAAgMAWUEAAAAAAAAAAAMEAFlBAAAAAAAAAAAEBQBZQQAAAAAAAAAABQYAWUEAAAAAAAAAAAYBAFlBAAAAAAAAAAABBwBZQQAAAAAAAAAABwgAWUIDAAAAAAAAAAgJAFlBAAAAAAAAAAAJCgBZQgIAAAAAAAAACgsAWUEAAAAAAAAAAAsMAFlCAgAAAAAAAAAMBwBZQQAAAAAAAAAADA0AWUEAAAAAAAAAAA0OAFlBAAAAAAAAAAANDwBZQQAAAAAAAAAADQBEAFlBAAAAAAAAAAAAAAAAA==</t>
        </r>
      </text>
    </comment>
    <comment ref="A1200" authorId="0" shapeId="0" xr:uid="{41894A34-A346-45E9-B87F-5B05C4DC3BF0}">
      <text>
        <r>
          <rPr>
            <sz val="9"/>
            <color indexed="81"/>
            <rFont val="MS P ゴシック"/>
            <family val="3"/>
            <charset val="128"/>
          </rPr>
          <t>Insight iXlW00001C0001200R0585476093S00002398P00944LAocjBAQBF1NjaVRlZ2ljLmRhdGEuTW9sZWN1bGUBbwF/ARJTY2lUZWdpYy5Nb2xlY3VsZQAAAQFkAv5qAQAAAAIAAjAcAAAA/PwA/AACAAAAAAAA8L8Cg8DKoUW2678CtTf4wmSq6r8AAAAAGAAAAPz8APwAAgAAAAAAAPC/AAJqb/CFyVTVvwAAAAAYAAAA/PwA/AACAAAAAAAA8L8Cg8DKoUW2+78Cam/whclU1b8AAAAAIAAAAPz8APwAAgAAAAAAAPC/AoPAyqFFtuu/Aibkg57NqvI/AAAAABgAAAD8/AD8AAIAAAAAAADwvwACTMgHPZtV5T8AAAAAGAAAAPz8APwAAgAAAAAAAPC/AmYZ4lgXt+s/ArU3+MJkquq/AAAAACAAAAD8/AD8AAIAAAAAAADwvwKb5h2n6MgEwAK1N/jCZKrqvwAAAAAYAAAA/PwA/AACAAAAAAAA8L8Cg8DKoUW2+78CTMgHPZtV5T8AAAAAGAAAAPz8APwAAgAAAAAAAPC/AmYZ4lgXt+s/Aibkg57NqvI/AAAAABgAAAD8/AD8AAIAAAAAAADwvwL0bFZ9rrb7PwJqb/CFyVTVvwAAAAAcAAAA/PwA/AACAAAAAAAA8L8Cm+Ydp+jIBEACtTf4wmSq6r8AAAAAGAAAAPz8APwAAgAAAAAAAPC/AvRsVn2utvs/AkzIBz2bVeU/AAAAADQEAAFlBAAAAAAAAAAACAABZQQAAAAAAAAAAAwcAWUEAAAAAAAAAAAQBAFlBAAAAAAAAAAAFAQBZQgMAAAAAAAAABgIAWUIAAAAAAAAAAAcCAFlBAAAAAAAAAAAIBABZQgIAAAAAAAAACQUAWUEAAAAAAAAAAAoJAFlBAAAAAAAAAAALCQBZQgIAAAAAAAAABAMAWUEAAAAAAAAAAAgLAFlBAAAAAAAAAAAAAAAAA==</t>
        </r>
      </text>
    </comment>
    <comment ref="A1201" authorId="0" shapeId="0" xr:uid="{841BE118-879A-42E4-9D02-49379C4018C5}">
      <text>
        <r>
          <rPr>
            <sz val="9"/>
            <color indexed="81"/>
            <rFont val="MS P ゴシック"/>
            <family val="3"/>
            <charset val="128"/>
          </rPr>
          <t>Insight iXlW00001C0001201R0585476093S00002400P00912LAocjBAQBF1NjaVRlZ2ljLmRhdGEuTW9sZWN1bGUBbwF/ARJTY2lUZWdpYy5Nb2xlY3VsZQAAAQFkAv5qAQAAAAIAAjAcAAAA/PwA/AACAAAAAAAA8L8Cg8DKoUW2678CAAAAAAAA8L8AAAAAGAAAAPz8APwAAgAAAAAAAPC/AAIAAAAAAADgPwAAAAAYAAAA/PwA/AACAAAAAAAA8L8AAgAAAAAAAOC/AAAAABgAAAD8/AD8AAIAAAAAAADwvwKDwMqhRbb7vwIAAAAAAADgvwAAAAAgAAAA/PwA/AACAAAAAAAA8L8Cg8DKoUW2678BAAAAABgAAAD8/AD8AAIAAAAAAADwvwJmGeJYF7frPwEAAAAAIAAAAPz8APwAAgAAAAAAAPC/ApvmHafoyATAAgAAAAAAAPC/AAAAABgAAAD8/AD8AAIAAAAAAADwvwKDwMqhRbb7vwIAAAAAAADgPwAAAAAYAAAA/PwA/AACAAAAAAAA8L8CZhniWBe36z8CAAAAAAAA8L8AAAAAGAAAAPz8APwAAgAAAAAAAPC/AvRsVn2utvs/AgAAAAAAAOA/AAAAABwAAAD8/AD8AAIAAAAAAADwvwKb5h2n6MgEQAEAAAAAGAAAAPz8APwAAgAAAAAAAPC/AvRsVn2utvs/AgAAAAAAAOC/AAAAADQECAFlBAAAAAAAAAAACAABZQQAAAAAAAAAAAwAAWUEAAAAAAAAAAAQHAFlBAAAAAAAAAAAFAQBZQgIAAAAAAAAABgMAWUIAAAAAAAAAAAcDAFlBAAAAAAAAAAAIAgBZQgIAAAAAAAAACQsAWUIDAAAAAAAAAAoJAFlBAAAAAAAAAAALCABZQQAAAAAAAAAAAQQAWUEAAAAAAAAAAAUJAFlBAAAAAAAAAAAAAAAAA==</t>
        </r>
      </text>
    </comment>
    <comment ref="A1202" authorId="0" shapeId="0" xr:uid="{51383987-5D0C-4C62-A0DF-17EEC23C1A61}">
      <text>
        <r>
          <rPr>
            <sz val="9"/>
            <color indexed="81"/>
            <rFont val="MS P ゴシック"/>
            <family val="3"/>
            <charset val="128"/>
          </rPr>
          <t>Insight iXlW00001C0001202R0585476093S00002402P01104LAocjBAQBF1NjaVRlZ2ljLmRhdGEuTW9sZWN1bGUBbwF/ARJTY2lUZWdpYy5Nb2xlY3VsZQAAAQFkAv5qAQAAAAIAAjgcAAAA/PwA/AACAAAAAAAA8L8CyzLEsS5u2z8CJuSDns2qv78AAAAAGAAAAPz8APwAAgAAAAAAAPC/Ak7zjlN0JPG/Av9D+u3rwOc/AAAAABgAAAD8/AD8AAIAAAAAAADwvwKb5h2n6EjivwIm5IOezaq/vwAAAAAYAAAA/PwA/AACAAAAAAAA8L8Cp3nHKTqSAMAC/0P67evA5z8AAAAAHAAAAPz8APwAAgAAAAAAAPC/AlqGONbFbQNAAibkg57Nqr+/AAAAABwAAAD8/AD8AAIAAAAAAADwvwKneccpOpIEwAIm5IOezaq/vwAAAAAYAAAA/PwA/AACAAAAAAAA8L8CZhniWBe37T8C/0P67evA5z8AAAAAGAAAAPz8APwAAgAAAAAAAPC/AmYZ4lgXt+0/Agg9m1Wfq++/AAAAABgAAAD8/AD8AAIAAAAAAADwvwKzDHGsi9v+PwL/Q/rt68DnPwAAAAAYAAAA/PwA/AACAAAAAAAA8L8CswxxrIvb/j8CCD2bVZ+r778AAAAAGAAAAPz8APwAAgAAAAAAAPC/Ak7zjlN0JPG/Agg9m1Wfq++/AAAAABwAAAD8/AD8AAIAAAAAAADwvwKneccpOpIEwAJBguLHmLv5PwAAAAAYAAAA/PwA/AACAAAAAAAA8L8Cp3nHKTqSAMACCD2bVZ+r778AAAAAGAAAAPz8APwAAgAAAAAAAPC/AlqGONbFbQtAAibkg57Nqr+/AAAAADwECAFlCAwAAAAAAAAACAABZQQAAAAAAAAAAAwEAWUEAAAAAAAAAAAQJAFlBAAAAAAAAAAAFDABZQQAAAAAAAAAABgAAWUEAAAAAAAAAAAcAAFlBAAAAAAAAAAAIBgBZQQAAAAAAAAAACQcAWUEAAAAAAAAAAAoCAFlBAAAAAAAAAAALAwBZQQAAAAAAAAAADAoAWUICAAAAAAAAAA0EAFlBAAAAAAAAAAAIBABZQQAAAAAAAAAABQMAWUICAAAAAAAAAAAAAAA</t>
        </r>
      </text>
    </comment>
    <comment ref="A1203" authorId="0" shapeId="0" xr:uid="{D85E4C85-514A-4CA4-A058-7DFE031F0F4F}">
      <text>
        <r>
          <rPr>
            <sz val="9"/>
            <color indexed="81"/>
            <rFont val="MS P ゴシック"/>
            <family val="3"/>
            <charset val="128"/>
          </rPr>
          <t>Insight iXlW00001C0001203R0585476093S00002404P01248LAocjBAQBF1NjaVRlZ2ljLmRhdGEuTW9sZWN1bGUBbwF/ARJTY2lUZWdpYy5Nb2xlY3VsZQAAAQFkAv5qAQAAAAIAAgEQHAAAAPz8APwAAgAAAAAAAPC/AmwJ+aBns/C/Aj0s1JrmHcc/AAAAABgAAAD8/AD8AAIAAAAAAADwvwKcxCCwcmj7vwLiWBe30QDivwAAAAAcAAAA/PwA/AACAAAAAAAA8L8Cxv6ye/KwwL8CMnctIR/0zL8AAAAAGAAAAPz8APwAAgAAAAAAAPC/ApzEILByaPO/ArMMcayL2/a/AAAAABgAAAD8/AD8AAIAAAAAAADwvwIE54wo7Q3OvwKdoiO5/IfzvwAAAAAYAAAA/PwA/AACAAAAAAAA8L8CKVyPwvWoBcACHVpkO99P3b8AAAAAGAAAAPz8APwAAgAAAAAAAPC/ArRZ9bnaiuc/AmdEaW/whdE/AAAAACAAAAD8/AD8AAIAAAAAAADwvwIGEhQ/xlwKwAITg8DKoUX0vwAAAAAYAAAA/PwA/AACAAAAAAAA8L8CHA3gLZCg+T8CMnctIR/0zL8AAAAAGAAAAPz8APwAAgAAAAAAAPC/ArRZ9bnaiuc/AhpR2ht8YfQ/AAAAACAAAAD8/AD8AAIAAAAAAADwvwIooImw4ekIwAL0/dR46SbdPwAAAAAYAAAA/PwA/AACAAAAAAAA8L8Cr7Zif9m9A0ACGlHaG3xh9D8AAAAAGAAAAPz8APwAAgAAAAAAAPC/AhwN4C2QoPk/AhpR2ht8Yfw/AAAAABgAAAD8/AD8AAIAAAAAAADwvwKvtmJ/2b0DQAJnRGlv8IXRPwAAAAAYAAAA/PwA/AACAAAAAAAA8L8CTtGRXP5D4D8CXLG/7J48/r8AAAAAJAAAAPz8APwAAgAAAAAAAPC/AtBm1edqqwpAAhpR2ht8Yfw/AAAAAAERBAABZQgIAAAAAAAAAAgAAWUEAAAAAAAAAAAMBAFlBAAAAAAAAAAAEAgBZQQAAAAAAAAAABQEAWUEAAAAAAAAAAAYCAFlBAAAAAAAAAAAHBQBZQgAAAAAAAAAACAYAWUEAAAAAAAAAAAkGAFlCAwAAAAAAAAAKBQBZQQAAAAAAAAAACwwAWUIDAAAAAAAAAAwJAFlBAAAAAAAAAAANCABZQgIAAAAAAAAADgQAWUEAAAAAAAAAAA8LAFlBAAAAAAAAAAADBABZQgIAAAAAAAAADQsAWUEAAAAAAAAAAAAAAAA</t>
        </r>
      </text>
    </comment>
    <comment ref="A1204" authorId="0" shapeId="0" xr:uid="{BF77BD6C-D453-4C93-91A3-FDA2C1DDB02F}">
      <text>
        <r>
          <rPr>
            <sz val="9"/>
            <color indexed="81"/>
            <rFont val="MS P ゴシック"/>
            <family val="3"/>
            <charset val="128"/>
          </rPr>
          <t>Insight iXlW00001C0001204R0585476093S00002406P01324LAocjBAQBF1NjaVRlZ2ljLmRhdGEuTW9sZWN1bGUBbwF/ARJTY2lUZWdpYy5Nb2xlY3VsZQAAAQFkAv5qAQAAAAIAAgERGAAAAPz8APwAAgAAAAAAAPC/AhRhw9MrZfa/AoofY+5aQvG/AAAAABwAAAD8/AD8AAIAAAAAAADwvwLHSzeJQWDnvwJGtvP91HjVvwAAAAAcAAAA/PwA/AACAAAAAAAA8L8CBoGVQ4tsxz8C/0P67evA578AAAAAGAAAAPz8APwAAgAAAAAAAPC/AifChqdXyuy/Asx/SL99Hf+/AAAAABgAAAD8/AD8AAIAAAAAAADwvwJ/arx0kxi0PwK2FfvL7sn7vwAAAAAYAAAA/PwA/AACAAAAAAAA8L8CZapgVFInA8ACQRNhw9Mr778AAAAAGAAAAPz8APwAAgAAAAAAAPC/AmMQWDm0yPA/AvoP6bevA8+/AAAAABgAAAD8/AD8AAIAAAAAAADwvwJjEFg5tMjwPwICvAUSFD/oPwAAAAAYAAAA/PwA/AACAAAAAAAA8L8CpHA9Ctej/j8CAd4CCYof9D8AAAAAIAAAAPz8APwAAgAAAAAAAPC/AkJg5dAi2wfAAiz2l92Th/y/AAAAACAAAAD8/AD8AAIAAAAAAADwvwJj7lpCPmgGwAKCc0aU9gavvwAAAAAkAAAA/PwA/AACAAAAAAAA8L8Cc2iR7Xw/BkACArwFEhQ/6D8AAAAAGAAAAPz8APwAAgAAAAAAAPC/AkHxY8xdS+o/AjqSy39IPwPAAAAAABgAAAD8/AD8AAIAAAAAAADwvwIGgZVDi2zHPwIB3gIJih/0PwAAAAAYAAAA/PwA/AACAAAAAAAA8L8CpHA9Ctej/j8CAW+BBMUPAkAAAAAAGAAAAPz8APwAAgAAAAAAAPC/AgaBlUOLbMc/AgFvgQTFDwJAAAAAABgAAAD8/AD8AAIAAAAAAADwvwJjEFg5tMjwPwIBb4EExQ8GQAAAAAABEgQAAWUICAAAAAAAAAAIBAFlBAAAAAAAAAAADAABZQQAAAAAAAAAABAMAWUIDAAAAAAAAAAUAAFlBAAAAAAAAAAAGAgBZQQAAAAAAAAAABwYAWUEAAAAAAAAAAAgHAFlBAAAAAAAAAAAJBQBZQgAAAAAAAAAACgUAWUEAAAAAAAAAAAsIAFlBAAAAAAAAAAAMBABZQQAAAAAAAAAADQcAWUIDAAAAAAAAAA4IAFlCAgAAAAAAAAAPDQBZQQAAAAAAAAAAAEQPAFlCAgAAAAAAAAAEAgBZQQAAAAAAAAAADgBEAFlBAAAAAAAAAAAAAAAAA==</t>
        </r>
      </text>
    </comment>
    <comment ref="A1205" authorId="0" shapeId="0" xr:uid="{B9F4547B-517D-471D-A61F-419BC0AF0083}">
      <text>
        <r>
          <rPr>
            <sz val="9"/>
            <color indexed="81"/>
            <rFont val="MS P ゴシック"/>
            <family val="3"/>
            <charset val="128"/>
          </rPr>
          <t>Insight iXlW00001C0001205R0585476093S00002408P01324LAocjBAQBF1NjaVRlZ2ljLmRhdGEuTW9sZWN1bGUBbwF/ARJTY2lUZWdpYy5Nb2xlY3VsZQAAAQFkAv5qAQAAAAIAAgERGAAAAPz8APwAAgAAAAAAAPC/Akm/fR045wBAAiuHFtnO96O/AAAAABwAAAD8/AD8AAIAAAAAAADwvwJhw9MrZRn3PwKCc0aU9gbpvwAAAAAcAAAA/PwA/AACAAAAAAAA8L8CutqK/WX34D8CEce6uI0G2L8AAAAAGAAAAPz8APwAAgAAAAAAAPC/ApF++zpwzvk/AvOwUGuad+o/AAAAABgAAAD8/AD8AAIAAAAAAADwvwKsrdhfdk/kPwLkg57Nqs/jPwAAAAAYAAAA/PwA/AACAAAAAAAA8L8CJLn8h/TbCEACku18PzVewr8AAAAAGAAAAPz8APwAAgAAAAAAAPC/ApPLf0i/fdW/AoljXdxGA+y/AAAAACAAAAD8/AD8AAIAAAAAAADwvwIBb4EExY8NQAKyne+nxkvlPwAAAAAYAAAA/PwA/AACAAAAAAAA8L8CJlMFo5I6878CEce6uI0G2L8AAAAAIAAAAPz8APwAAgAAAAAAAPC/AiL99nXgHAxAArfz/dR46fC/AAAAABgAAAD8/AD8AAIAAAAAAADwvwK0WfW52ooAwAKJY13cRgPsvwAAAAAYAAAA/PwA/AACAAAAAAAA8L8C1QloImx4B8ACEce6uI0G2L8AAAAAJAAAAPz8APwAAgAAAAAAAPC/Ava52or9ZQ7AAoljXdxGA+y/AAAAABgAAAD8/AD8AAIAAAAAAADwvwItsp3vp8a7vwKxUGuad5z0PwAAAAAYAAAA/PwA/AACAAAAAAAA8L8CtFn1udqKAMACPE7RkVz+8T8AAAAAGAAAAPz8APwAAgAAAAAAAPC/AiZTBaOSOvO/AnicoiO5/OM/AAAAABgAAAD8/AD8AAIAAAAAAADwvwLVCWgibHgHwAJ4nKIjufzjPwAAAAABEgQAAWUICAAAAAAAAAAIBAFlBAAAAAAAAAAADAABZQQAAAAAAAAAABAMAWUIDAAAAAAAAAAUAAFlBAAAAAAAAAAAGAgBZQQAAAAAAAAAABwUAWUIAAAAAAAAAAAgGAFlBAAAAAAAAAAAJBQBZQQAAAAAAAAAACggAWUEAAAAAAAAAAAsKAFlCAwAAAAAAAAAMCwBZQQAAAAAAAAAADQQAWUEAAAAAAAAAAA4PAFlBAAAAAAAAAAAPCABZQgMAAAAAAAAAAEQOAFlCAgAAAAAAAAAEAgBZQQAAAAAAAAAACwBEAFlBAAAAAAAAAAAAAAAAA==</t>
        </r>
      </text>
    </comment>
    <comment ref="A1206" authorId="0" shapeId="0" xr:uid="{EBDA2599-D73C-4DFD-83D8-8BF947074FB9}">
      <text>
        <r>
          <rPr>
            <sz val="9"/>
            <color indexed="81"/>
            <rFont val="MS P ゴシック"/>
            <family val="3"/>
            <charset val="128"/>
          </rPr>
          <t>Insight iXlW00001C0001206R0585476093S00002410P01320LAocjBAQBF1NjaVRlZ2ljLmRhdGEuTW9sZWN1bGUBbwF/ARJTY2lUZWdpYy5Nb2xlY3VsZQAAAQFkAv5qAQAAAAIAAgERGAAAAPz8APwAAgAAAAAAAPC/Akm/fR045wBAAl7cRgN4C8S/AAAAABwAAAD8/AD8AAIAAAAAAADwvwJhw9MrZRn3PwIJG55eKcvsvwAAAAAcAAAA/PwA/AACAAAAAAAA8L8CutqK/WX34D8CW2Q730+N378AAAAAGAAAAPz8APwAAgAAAAAAAPC/ApF++zpwzvk/AmwJ+aBns+Y/AAAAABgAAAD8/AD8AAIAAAAAAADwvwKsrdhfdk/kPwJANV66SQzgPwAAAAAYAAAA/PwA/AACAAAAAAAA8L8CJLn8h/TbCEAC1sVtNIC30L8AAAAAGAAAAPz8APwAAgAAAAAAAPC/ApPLf0i/fdW/Ai2yne+nxu+/AAAAACAAAAD8/AD8AAIAAAAAAADwvwIBb4EExY8NQAIs9pfdk4fhPwAAAAAYAAAA/PwA/AACAAAAAAAA8L8CJlMFo5I6878CW2Q730+N378AAAAAIAAAAPz8APwAAgAAAAAAAPC/AiL99nXgHAxAAnrHKTqSy/K/AAAAABgAAAD8/AD8AAIAAAAAAADwvwLVCWgibHgHwALTTWIQWDngPwAAAAAkAAAA/PwA/AACAAAAAAAA8L8CLpCg+DFmDsAC6iYxCKwc8D8AAAAAGAAAAPz8APwAAgAAAAAAAPC/AiZTBaOSOvO/AtNNYhBYOeA/AAAAABgAAAD8/AD8AAIAAAAAAADwvwK0WfW52ooAwAItsp3vp8bvvwAAAAAYAAAA/PwA/AACAAAAAAAA8L8CDeAtkKB4B8ACW2Q730+N378AAAAAGAAAAPz8APwAAgAAAAAAAPC/ArRZ9bnaigDAAuomMQisHPA/AAAAABgAAAD8/AD8AAIAAAAAAADwvwItsp3vp8a7vwJfKcsQx7ryPwAAAAABEgQAAWUICAAAAAAAAAAIBAFlBAAAAAAAAAAADAABZQQAAAAAAAAAABAMAWUIDAAAAAAAAAAUAAFlBAAAAAAAAAAAGAgBZQQAAAAAAAAAABwUAWUIAAAAAAAAAAAgGAFlBAAAAAAAAAAAJBQBZQQAAAAAAAAAACg4AWUEAAAAAAAAAAAsKAFlBAAAAAAAAAAAMCABZQgMAAAAAAAAADQgAWUEAAAAAAAAAAA4NAFlCAgAAAAAAAAAPDABZQQAAAAAAAAAAAEQEAFlBAAAAAAAAAAAEAgBZQQAAAAAAAAAADwoAWUICAAAAAAAAAAAAAAA</t>
        </r>
      </text>
    </comment>
    <comment ref="A1207" authorId="0" shapeId="0" xr:uid="{ED2E6A19-308E-418F-B8D2-43AD4CA5B9CF}">
      <text>
        <r>
          <rPr>
            <sz val="9"/>
            <color indexed="81"/>
            <rFont val="MS P ゴシック"/>
            <family val="3"/>
            <charset val="128"/>
          </rPr>
          <t>Insight iXlW00001C0001207R0585476093S00002412P01016LAocjBAQBF1NjaVRlZ2ljLmRhdGEuTW9sZWN1bGUBbwF/ARJTY2lUZWdpYy5Nb2xlY3VsZQAAAQFkAv5qAQAAAAIAAjQYAAAA/PwA/AACAAAAAAAA8L8CmbuWkA964j8CF9nO91Pj1b8AAAAAHAAAAPz8APwAAgAAAAAAAPC/AgXFjzF3LdE/ArByaJHtfOM/AAAAABwAAAD8/AD8AAIAAAAAAADwvwLNXUvIBz3xPwISpb3BFybzPwAAAAAYAAAA/PwA/AACAAAAAAAA8L8CzV1LyAc9+T8C24r9Zffk1b8AAAAAGAAAAPz8APwAAgAAAAAAAPC/Ahsv3SQGgYW/AtEi2/l+avK/AAAAABgAAAD8/AD8AAIAAAAAAADwvwJYyjLEsS7+PwKwcmiR7XzjPwAAAAAgAAAA/PwA/AACAAAAAAAA8L8CejarPldb2T8Co5I6AU2EAMAAAAAAGAAAAPz8APwAAgAAAAAAAPC/Arn8h/Tb1+W/AsdLN4lBYO0/AAAAACAAAAD8/AD8AAIAAAAAAADwvwIVrkfhehTwvwJYObTIdr7wvwAAAAAgAAAA/PwA/AACAAAAAAAA8L8C+g/pt68DA8ACYAfOGVHa4T8AAAAAGAAAAPz8APwAAgAAAAAAAPC/AjQzMzMzswZAAsdLN4lBYO0/AAAAABgAAAD8/AD8AAIAAAAAAADwvwJWMCqpE9D2vwIkufyH9NvPPwAAAAAYAAAA/PwA/AACAAAAAAAA8L8C9ihcj8L1CMACBHgLJCh+vL8AAAAANAQAAWUEAAAAAAAAAAAIBAFlBAAAAAAAAAAADAABZQgIAAAAAAAAABAAAWUEAAAAAAAAAAAUDAFlBAAAAAAAAAAAGBABZQgAAAAAAAAAABwEAWUEAAAAAAAAAAAgEAFlBAAAAAAAAAAAJCwBZQQAAAAAAAAAACgUAWUEAAAAAAAAAAAsHAFlBAAAAAAAAAAAMCQBZQQAAAAAAAAAAAgUAWUICAAAAAAAAAAAAAAA</t>
        </r>
      </text>
    </comment>
    <comment ref="A1208" authorId="0" shapeId="0" xr:uid="{923600B3-7195-44EF-8822-D74386778516}">
      <text>
        <r>
          <rPr>
            <sz val="9"/>
            <color indexed="81"/>
            <rFont val="MS P ゴシック"/>
            <family val="3"/>
            <charset val="128"/>
          </rPr>
          <t>Insight iXlW00001C0001208R0585476093S00002414P01324LAocjBAQBF1NjaVRlZ2ljLmRhdGEuTW9sZWN1bGUBbwF/ARJTY2lUZWdpYy5Nb2xlY3VsZQAAAQFkAv5qAQAAAAIAAgERHAAAAPz8APwAAgAAAAAAAPC/AvJBz2bV5+A/AoljXdxGA7g/AAAAABgAAAD8/AD8AAIAAAAAAADwvwKwlGWIY134PwKL/WX35GHJPwAAAAAcAAAA/PwA/AACAAAAAAAA8L8CxY8xdy0hvz8CPSzUmuYd8D8AAAAAGAAAAPz8APwAAgAAAAAAAPC/AjerPldbsfs/Am3n+6nx0vI/AAAAABgAAAD8/AD8AAIAAAAAAADwvwK30QDeAokBQAKP5PIf0m/hvwAAAAAYAAAA/PwA/AACAAAAAAAA8L8CQz7o2az6nD8CEhQ/xty16L8AAAAAGAAAAPz8APwAAgAAAAAAAPC/Agg9m1Wfq+s/Am3n+6nx0vo/AAAAABgAAAD8/AD8AAIAAAAAAADwvwIOvjCZKhjvvwISFD/G3LXovwAAAAAYAAAA/PwA/AACAAAAAAAA8L8CB1+YTBWM978CiWNd3EYDuD8AAAAAIAAAAPz8APwAAgAAAAAAAPC/ApVliGNdXAlAAsUgsHJokdW/AAAAACAAAAD8/AD8AAIAAAAAAADwvwLjNhrAWyD+PwLlYaHWNO/3vwAAAAAkAAAA/PwA/AACAAAAAAAA8L8CDr4wmSoY778C9WxWfa627j8AAAAAGAAAAPz8APwAAgAAAAAAAPC/AgdfmEwVjPe/AkvqBDQRNvq/AAAAABgAAAD8/AD8AAIAAAAAAADwvwIWak3zjlPoPwKS7Xw/NV4FQAAAAAAYAAAA/PwA/AACAAAAAAAA8L8ChC9MpgrGA8ACiWNd3EYDuD8AAAAAGAAAAPz8APwAAgAAAAAAAPC/AoQvTKYKxgPAAkvqBDQRNvq/AAAAABgAAAD8/AD8AAIAAAAAAADwvwKEL0ymCsYHwAISFD/G3LXovwAAAAABEgQAAWUEAAAAAAAAAAAIAAFlBAAAAAAAAAAADAQBZQgIAAAAAAAAABAEAWUEAAAAAAAAAAAUAAFlBAAAAAAAAAAAGAgBZQgMAAAAAAAAABwUAWUEAAAAAAAAAAAgHAFlBAAAAAAAAAAAJBABZQgAAAAAAAAAACgQAWUEAAAAAAAAAAAsIAFlBAAAAAAAAAAAMBwBZQgMAAAAAAAAADQYAWUEAAAAAAAAAAA4IAFlCAgAAAAAAAAAPDABZQQAAAAAAAAAAAEQPAFlCAgAAAAAAAAAGAwBZQQAAAAAAAAAADgBEAFlBAAAAAAAAAAAAAAAAA==</t>
        </r>
      </text>
    </comment>
    <comment ref="A1209" authorId="0" shapeId="0" xr:uid="{E7344494-9AE9-40AB-B80A-403C2364B4C3}">
      <text>
        <r>
          <rPr>
            <sz val="9"/>
            <color indexed="81"/>
            <rFont val="MS P ゴシック"/>
            <family val="3"/>
            <charset val="128"/>
          </rPr>
          <t>Insight iXlW00001C0001209R0585476093S00002416P01324LAocjBAQBF1NjaVRlZ2ljLmRhdGEuTW9sZWN1bGUBbwF/ARJTY2lUZWdpYy5Nb2xlY3VsZQAAAQFkAv5qAQAAAAIAAgERGAAAAPz8APwAAgAAAAAAAPC/Am7F/rJ78vk/AmmR7Xw/Nd6/AAAAABwAAAD8/AD8AAIAAAAAAADwvwLT3uALk6nmPwLWxW00gLewvwAAAAAcAAAA/PwA/AACAAAAAAAA8L8CxbEubqMB6j8Csi5uowG87T8AAAAAGAAAAPz8APwAAgAAAAAAAPC/Ak9AE2HDUwJAAraEfNCzWdE/AAAAABgAAAD8/AD8AAIAAAAAAADwvwKEL0ymCkb9PwIWjErqBDT3vwAAAAAYAAAA/PwA/AACAAAAAAAA8L8CnoAmwoan/D8C4C2QoPgx8j8AAAAAGAAAAPz8APwAAgAAAAAAAPC/AsKGp1fKMsS/Aru4jQbwFuK/AAAAACAAAAD8/AD8AAIAAAAAAADwvwKRD3o2qz4GQAKh+DHmriX8vwAAAAAYAAAA/PwA/AACAAAAAAAA8L8CGlHaG3xh8L8C1sVtNIC3sL8AAAAAIAAAAPz8APwAAgAAAAAAAPC/Aov9ZffkYfE/AmpN845T9ADAAAAAABgAAAD8/AD8AAIAAAAAAADwvwJcsb/snjz+vwK7uI0G8BbivwAAAAAYAAAA/PwA/AACAAAAAAAA8L8Cz4jS3uALBsAC1sVtNIC3sL8AAAAAJAAAAPz8APwAAgAAAAAAAPC/AvA4RUdy+QzAAru4jQbwFuK/AAAAABgAAAD8/AD8AAIAAAAAAADwvwJNhA1Pr5QBQALyQc9m1WcAQAAAAAAYAAAA/PwA/AACAAAAAAAA8L8CXLG/7J48/r8CoyO5/If09j8AAAAAGAAAAPz8APwAAgAAAAAAAPC/AhpR2ht8YfC/AkZHcvkP6e0/AAAAABgAAAD8/AD8AAIAAAAAAADwvwLPiNLe4AsGwAJGR3L5D+ntPwAAAAABEgQAAWUEAAAAAAAAAAAIBAFlBAAAAAAAAAAADAABZQgIAAAAAAAAABAAAWUEAAAAAAAAAAAUDAFlBAAAAAAAAAAAGAQBZQQAAAAAAAAAABwQAWUIAAAAAAAAAAAgGAFlBAAAAAAAAAAAJBABZQQAAAAAAAAAACggAWUEAAAAAAAAAAAsKAFlCAwAAAAAAAAAMCwBZQQAAAAAAAAAADQUAWUEAAAAAAAAAAA4PAFlBAAAAAAAAAAAPCABZQgMAAAAAAAAAAEQOAFlCAgAAAAAAAAACBQBZQgIAAAAAAAAACwBEAFlBAAAAAAAAAAAAAAAAA==</t>
        </r>
      </text>
    </comment>
    <comment ref="A1210" authorId="0" shapeId="0" xr:uid="{8AAE177B-9A41-45CB-997A-76FB4953A5BB}">
      <text>
        <r>
          <rPr>
            <sz val="9"/>
            <color indexed="81"/>
            <rFont val="MS P ゴシック"/>
            <family val="3"/>
            <charset val="128"/>
          </rPr>
          <t>Insight iXlW00001C0001210R0585476093S00002418P01248LAocjBAQBF1NjaVRlZ2ljLmRhdGEuTW9sZWN1bGUBbwF/ARJTY2lUZWdpYy5Nb2xlY3VsZQAAAQFkAv5qAQAAAAIAAgEQGAAAAPz8APwAAgAAAAAAAPC/AmAHzhlR2uc/AtS84xQdyeu/AAAAABwAAAD8/AD8AAIAAAAAAADwvwJuNIC3QILkPwLdRgN4CyTAPwAAAAAcAAAA/PwA/AACAAAAAAAA8L8CO3DOiNLe+D8CkzoBTYQN4T8AAAAAGAAAAPz8APwAAgAAAAAAAPC/Amsr9pfdk/s/AvH0SlmGOPG/AAAAABgAAAD8/AD8AAIAAAAAAADwvwIvbqMBvAViPwIp7Q2+MJn4vwAAAAAYAAAA/PwA/AACAAAAAAAA8L8CVjAqqRPQzL8Ct9EA3gIJ5D8AAAAAGAAAAPz8APwAAgAAAAAAAPC/ArYV+8vuyQFAAvJBz2bV58q/AAAAABgAAAD8/AD8AAIAAAAAAADwvwJMpgpGJXXxvwLdRgN4CyTAPwAAAAAgAAAA/PwA/AACAAAAAAAA8L8Cat5xio7kyj8CcoqO5PIfBMAAAAAAGAAAAPz8APwAAgAAAAAAAPC/Ao4G8BZIUP+/ArfRAN4CCeQ/AAAAACAAAAD8/AD8AAIAAAAAAADwvwLOO07RkVzuvwKegCbChqfzvwAAAAAkAAAA/PwA/AACAAAAAAAA8L8CaLPqc7WVBsAC3UYDeAskwD8AAAAAGAAAAPz8APwAAgAAAAAAAPC/AlYwKqkT0My/AtxoAG+BBPo/AAAAABgAAAD8/AD8AAIAAAAAAADwvwJMpgpGJXXxvwJuNIC3QAIBQAAAAAAYAAAA/PwA/AACAAAAAAAA8L8CkQ96Nqu+CUACV+wvuycPu78AAAAAGAAAAPz8APwAAgAAAAAAAPC/Ao4G8BZIUP+/AtxoAG+BBPo/AAAAAAERBAABZQQAAAAAAAAAAAgEAWUEAAAAAAAAAAAMAAFlCAgAAAAAAAAAEAABZQQAAAAAAAAAABQEAWUEAAAAAAAAAAAYDAFlBAAAAAAAAAAAHBQBZQQAAAAAAAAAACAQAWUIAAAAAAAAAAAkHAFlCAwAAAAAAAAAKBABZQQAAAAAAAAAACwkAWUEAAAAAAAAAAAwFAFlCAwAAAAAAAAANDABZQQAAAAAAAAAADgYAWUEAAAAAAAAAAA8NAFlCAgAAAAAAAAACBgBZQgIAAAAAAAAACQ8AWUEAAAAAAAAAAAAAAAA</t>
        </r>
      </text>
    </comment>
    <comment ref="A1211" authorId="0" shapeId="0" xr:uid="{F14250CB-E3B6-4609-8DA9-D4F3E7E0A13C}">
      <text>
        <r>
          <rPr>
            <sz val="9"/>
            <color indexed="81"/>
            <rFont val="MS P ゴシック"/>
            <family val="3"/>
            <charset val="128"/>
          </rPr>
          <t>Insight iXlW00001C0001211R0585476093S00002420P01688LAocjBAQBF1NjaVRlZ2ljLmRhdGEuTW9sZWN1bGUBbwF/ARJTY2lUZWdpYy5Nb2xlY3VsZQAAAQFkAv5qAQAAAAIAAgEWGAAAAPz8APwAAgAAAAAAAPC/Arraiv1l9/2/AhUdyeU/pN8/AAAAABwAAAD8/AD8AAIAAAAAAADwvwJ0tRX7y+7rvwIVHcnlP6TfPwAAAAAYAAAA/PwA/AACAAAAAAAA8L8CRiV1ApoI8j8CFR3J5T+k3z8AAAAAIAAAAPz8APwAAgAAAAAAAPC/Al1txf6y+wLAAvJjzF1LyNe/AAAAABgAAAD8/AD8AAIAAAAAAADwvwLu68A5I0r+PwKt+lxtxf7CvwAAAAAgAAAA/PwA/AACAAAAAAAA8L8CXW3F/rL7AsACh6dXyjLE9T8AAAAAGAAAAPz8APwAAgAAAAAAAPC/AuhqK/aX3de/AvJjzF1LyNe/AAAAABgAAAD8/AD8AAIAAAAAAADwvwLoaiv2l93XvwKHp1fKMsT1PwAAAAAYAAAA/PwA/AACAAAAAAAA8L8CUI2XbhKD+z8CNjy9UpYh8r8AAAAAGAAAAPz8APwAAgAAAAAAAPC/AoxK6gQ0EeQ/AvJjzF1LyNe/AAAAABgAAAD8/AD8AAIAAAAAAADwvwKMSuoENBHkPwKHp1fKMsT1PwAAAAAYAAAA/PwA/AACAAAAAAAA8L8CXW3F/rL7CsAC8mPMXUvI178AAAAAAREAAAD8/AD8AAIAAAAAAADwvwIydy0hH/ToPwJ88rBQa5r3vwAAAAAcAAAA/PwA/AACAAAAAAAA8L8CUI2XbhKD+z8CYOXQItv5AEAAAAAAGAAAAPz8APwAAgAAAAAAAPC/Au7rwDkjSv4/AuAtkKD4MfI/AAAAABgAAAD8/AD8AAIAAAAAAADwvwLT3uALk6kGQAKBt0CC4sfIPwAAAAAYAAAA/PwA/AACAAAAAAAA8L8CXW3F/rL7CsAC/Rhz1xLy9b8AAAAAGAAAAPz8APwAAgAAAAAAAPC/Aq+2Yn/ZfRHAAvJjzF1LyNe/AAAAABgAAAD8/AD8AAIAAAAAAADwvwJdbcX+svsKwAIIzhlR2hvkPwAAAAAYAAAA/PwA/AACAAAAAAAA8L8CNYC3QILiA0AC0SLb+X5q/L8AAAAAGAAAAPz8APwAAgAAAAAAAPC/Al+YTBWMygxAAqw+V1uxv9y/AAAAABgAAAD8/AD8AAIAAAAAAADwvwLYEvJBz2YLQAKMbOf7qfH2vwAAAAABFwQAAWUEAAAAAAAAAAAIKAFlBAAAAAAAAAAADAABZQQAAAAAAAAAABAIAWUEAAAAAAAAAAAUAAFlCAAAAAAAAAAAGAQBZQQAAAAAAAAAABwEAWUEAAAAAAAAAAAgEAFlBAAAAAAAAAAAJBgBZQQAAAAAAAAAACgcAWUEAAAAAAAAAAAsDAFlBAAAAAAAAAAAMCABZQQAAAAAAAAAADQ4AWUEAAAAAAAAAAA4CAFlBAAAAAAAAAAAPBABZQgMAAAAAAAAAAEQLAFlBAAAAAAAAAAAAREsAWUEAAAAAAAAAAABEiwBZQQAAAAAAAAAAAETIAFlCAgAAAAAAAAAARQ8AWUEAAAAAAAAAAABFQEUAWUICAAAAAAAAAAkCAFlBAAAAAAAAAAAARMBFQFlBAAAAAAAAAAAAAAAAA==</t>
        </r>
      </text>
    </comment>
    <comment ref="A1212" authorId="0" shapeId="0" xr:uid="{8C84D3A0-0B5E-4A91-A7D8-0EE632D11907}">
      <text>
        <r>
          <rPr>
            <sz val="9"/>
            <color indexed="81"/>
            <rFont val="MS P ゴシック"/>
            <family val="3"/>
            <charset val="128"/>
          </rPr>
          <t>Insight iXlW00001C0001212R0585476093S00002422P01684LAocjBAQBF1NjaVRlZ2ljLmRhdGEuTW9sZWN1bGUBbwF/ARJTY2lUZWdpYy5Nb2xlY3VsZQAAAQFkAv5qAQAAAAIAAgEWGAAAAPz8APwAAgAAAAAAAPC/AtNNYhBYOQDAAqhXyjLEseA/AAAAABwAAAD8/AD8AAIAAAAAAADwvwKmm8QgsHLwvwKoV8oyxLHgPwAAAAAYAAAA/PwA/AACAAAAAAAA8L8Ctch2vp8a7z8CqFfKMsSx4D8AAAAAIAAAAPz8APwAAgAAAAAAAPC/AtNNYhBYOQTAArfRAN4CCda/AAAAABgAAAD8/AD8AAIAAAAAAADwvwJz1xLyQc/7PwJxrIvbaAC/vwAAAAAgAAAA/PwA/AACAAAAAAAA8L8C001iEFg5BMAChzjWxW009j8AAAAAGAAAAPz8APwAAgAAAAAAAPC/Akw3iUFg5eC/ArfRAN4CCda/AAAAABgAAAD8/AD8AAIAAAAAAADwvwJMN4lBYOXgvwIWjErqBDT2PwAAAAAYAAAA/PwA/AACAAAAAAAA8L8CaZHtfD813j8CFoxK6gQ09j8AAAAAGAAAAPz8APwAAgAAAAAAAPC/AmmR7Xw/Nd4/ArfRAN4CCda/AAAAABgAAAD8/AD8AAIAAAAAAADwvwLTTWIQWDkMwAK30QDeAgnWvwAAAAAYAAAA/PwA/AACAAAAAAAA8L8CZMxdS8gH+T8CN6s+V1ux8b8AAAAAGAAAAPz8APwAAgAAAAAAAPC/ApXUCWgibAVAAn0/NV66Scw/AAAAABgAAAD8/AD8AAIAAAAAAADwvwKaCBueXikKQAKM22gAb4H2vwAAAAAYAAAA/PwA/AACAAAAAAAA8L8C6bevA+eMC0ACrfpcbcX+2r8AAAAAGAAAAPz8APwAAgAAAAAAAPC/Ar+fGi/dpAJAAtKRXP5D+vu/AAAAAAERAAAA/PwA/AACAAAAAAAA8L8C93XgnBElEEACE2HD0ytlAMAAAAAAHAAAAPz8APwAAgAAAAAAAPC/AmTMXUvIB/k/AqhXyjLEMQFAAAAAABgAAAD8/AD8AAIAAAAAAADwvwJz1xLyQc/7PwJvEoPAyqHyPwAAAAAYAAAA/PwA/AACAAAAAAAA8L8C001iEFg5DMACbjSAt0CC9b8AAAAAGAAAAPz8APwAAgAAAAAAAPC/AuomMQisHBLAArfRAN4CCda/AAAAABgAAAD8/AD8AAIAAAAAAADwvwLTTWIQWDkMwAIll/+QfvvkPwAAAAABFwQAAWUEAAAAAAAAAAAIIAFlBAAAAAAAAAAADAABZQQAAAAAAAAAABAIAWUEAAAAAAAAAAAUAAFlCAAAAAAAAAAAGAQBZQQAAAAAAAAAABwEAWUEAAAAAAAAAAAgHAFlBAAAAAAAAAAAJBgBZQQAAAAAAAAAACgMAWUEAAAAAAAAAAAsEAFlCAwAAAAAAAAAMBABZQQAAAAAAAAAADQ4AWUEAAAAAAAAAAA4MAFlCAgAAAAAAAAAPCwBZQQAAAAAAAAAAAEQNAFlBAAAAAAAAAAAAREBEgFlBAAAAAAAAAAAARIIAWUEAAAAAAAAAAABEygBZQQAAAAAAAAAAAEUKAFlBAAAAAAAAAAAARUoAWUEAAAAAAAAAAAkCAFlBAAAAAAAAAAAPDQBZQgIAAAAAAAAAAAAAAA=</t>
        </r>
      </text>
    </comment>
    <comment ref="A1213" authorId="0" shapeId="0" xr:uid="{D17353A0-A54E-4A5A-BE78-45A03BC87C5B}">
      <text>
        <r>
          <rPr>
            <sz val="9"/>
            <color indexed="81"/>
            <rFont val="MS P ゴシック"/>
            <family val="3"/>
            <charset val="128"/>
          </rPr>
          <t>Insight iXlW00001C0001213R0585476093S00002424P00948LAocjBAQBF1NjaVRlZ2ljLmRhdGEuTW9sZWN1bGUBbwF/ARJTY2lUZWdpYy5Nb2xlY3VsZQAAAQFkAv5qAQAAAAIAAjAYAAAA/PwA/AACAAAAAAAA8L8CbjSAt0CC4r8CyJi7lpAP5r8AAAAAHAAAAPz8APwAAgAAAAAAAPC/AqOSOgFNhM0/ArfRAN4CCbq/AAAAABwAAAD8/AD8AAIAAAAAAADwvwKppE5AE2HnPwJzaJHtfD/6vwAAAAAYAAAA/PwA/AACAAAAAAAA8L8CRrbz/dR4+L8Cn82qz9VW2L8AAAAAGAAAAPz8APwAAgAAAAAAAPC/AuC+DpwzovA/AsiYu5aQD+a/AAAAABgAAAD8/AD8AAIAAAAAAADwvwKvtmJ/2T3RvwJzaJHtfD/6vwAAAAAYAAAA/PwA/AACAAAAAAAA8L8Co5I6AU2EzT8CyuU/pN++7D8AAAAAIAAAAPz8APwAAgAAAAAAAPC/Aucdp+hILgLAAifChqdXyvC/AAAAACAAAAD8/AD8AAIAAAAAAADwvwLrc7UV+8v7vwLFjzF3LSHjPwAAAAAYAAAA/PwA/AACAAAAAAAA8L8ClrIMcayL8T8C5fIf0m9f9j8AAAAAGAAAAPz8APwAAgAAAAAAAPC/ApayDHGsi/E/AnP5D+m3LwNAAAAAABgAAAD8/AD8AAIAAAAAAADwvwLYEvJBz2b/PwLK5T+k377sPwAAAAAwBAABZQQAAAAAAAAAAAgUAWUEAAAAAAAAAAAMAAFlBAAAAAAAAAAAEAQBZQQAAAAAAAAAABQAAWUICAAAAAAAAAAYBAFlBAAAAAAAAAAAHAwBZQgAAAAAAAAAACAMAWUEAAAAAAAAAAAkGAFlBAAAAAAAAAAAKCQBZQQAAAAAAAAAACwkAWUEAAAAAAAAAAAQCAFlCAgAAAAAAAAAAAAAAA==</t>
        </r>
      </text>
    </comment>
    <comment ref="A1214" authorId="0" shapeId="0" xr:uid="{899BF706-7018-49F5-ABA3-9456E06CFD53}">
      <text>
        <r>
          <rPr>
            <sz val="9"/>
            <color indexed="81"/>
            <rFont val="MS P ゴシック"/>
            <family val="3"/>
            <charset val="128"/>
          </rPr>
          <t>Insight iXlW00001C0001214R0585476093S00002426P01104LAocjBAQBF1NjaVRlZ2ljLmRhdGEuTW9sZWN1bGUBbwF/ARJTY2lUZWdpYy5Nb2xlY3VsZQAAAQFkAv5qAQAAAAIAAjgYAAAA/PwA/AACAAAAAAAA8L8CpN++Dpwz8j8Cm+Ydp+hIzj8AAAAAHAAAAPz8APwAAgAAAAAAAPC/AgJNhA1Pr8w/AqCJsOHpleQ/AAAAABgAAAD8/AD8AAIAAAAAAADwvwJKnYAmwob1PwLQ1VbsL7vnvwAAAAAcAAAA/PwA/AACAAAAAAAA8L8CY+5aQj7o9D8CnaIjufyH/T8AAAAAGAAAAPz8APwAAgAAAAAAAPC/AqAaL90kBtU/Aoc41sVtNPo/AAAAABgAAAD8/AD8AAIAAAAAAADwvwJk7lpCPuj8PwK2hHzQs1nvPwAAAAAYAAAA/PwA/AACAAAAAAAA8L8CQ61p3nGK5L8CgSbChqdXwj8AAAAAIAAAAPz8APwAAgAAAAAAAPC/AqwcWmQ7XwJAAuSDns2qz/C/AAAAACAAAAD8/AD8AAIAAAAAAADwvwLLoUW28/0CwAJgdk8eFmrrvwAAAAAgAAAA/PwA/AACAAAAAAAA8L8CotY07zhF4z8Cp3nHKTqS9r8AAAAAGAAAAPz8APwAAgAAAAAAAPC/AlTjpZvEIPi/AqCJsOHpleQ/AAAAABgAAAD8/AD8AAIAAAAAAADwvwJDrWnecYrkvwJgdk8eFmrrvwAAAAAYAAAA/PwA/AACAAAAAAAA8L8CVOOlm8Qg+L8CMLsnDwu19b8AAAAAGAAAAPz8APwAAgAAAAAAAPC/AsuhRbbz/QLAAoEmwoanV8I/AAAAADwEAAFlBAAAAAAAAAAACAABZQQAAAAAAAAAAAwUAWUEAAAAAAAAAAAQBAFlBAAAAAAAAAAAFAABZQgIAAAAAAAAABgEAWUEAAAAAAAAAAAcCAFlCAAAAAAAAAAAIDABZQQAAAAAAAAAACQIAWUEAAAAAAAAAAAoGAFlBAAAAAAAAAAALBgBZQQAAAAAAAAAADAsAWUEAAAAAAAAAAA0KAFlBAAAAAAAAAAAEAwBZQgIAAAAAAAAADQgAWUEAAAAAAAAAAAAAAAA</t>
        </r>
      </text>
    </comment>
    <comment ref="A1215" authorId="0" shapeId="0" xr:uid="{C677C72A-130A-40D6-97E4-ED3D822D9C64}">
      <text>
        <r>
          <rPr>
            <sz val="9"/>
            <color indexed="81"/>
            <rFont val="MS P ゴシック"/>
            <family val="3"/>
            <charset val="128"/>
          </rPr>
          <t>Insight iXlW00001C0001215R0585476093S00002428P01104LAocjBAQBF1NjaVRlZ2ljLmRhdGEuTW9sZWN1bGUBbwF/ARJTY2lUZWdpYy5Nb2xlY3VsZQAAAQFkAv5qAQAAAAIAAjgcAAAA/PwA/AACAAAAAAAA8L8CzqrP1Vbs3z8CKe0NvjCZur8AAAAAHAAAAPz8APwAAgAAAAAAAPC/As6qz9VW7N8/AkT67evAOfg/AAAAABgAAAD8/AD8AAIAAAAAAADwvwJtVn2utmLxPwJyGw3gLZDmPwAAAAAYAAAA/PwA/AACAAAAAAAA8L8CbsX+snvy3L8Cxm00gLdAyj8AAAAAGAAAAPz8APwAAgAAAAAAAPC/An6utmJ/2ek/AnDOiNLe4PC/AAAAABgAAAD8/AD8AAIAAAAAAADwvwJuxf6ye/LcvwK5jQbwFkjzPwAAAAAYAAAA/PwA/AACAAAAAAAA8L8C+n5qvHST/D8ChzjWxW009L8AAAAAGAAAAPz8APwAAgAAAAAAAPC/Ap0Rpb3BF/W/Ah3J5T+k39K/AAAAACAAAAD8/AD8AAIAAAAAAADwvwLdRgN4C6QDQAL+ZffkYaHgvwAAAAAkAAAA/PwA/AACAAAAAAAA8L8CnRGlvcEX9b8CSHL5D+m39L8AAAAAIAAAAPz8APwAAgAAAAAAAPC/AsP1KFyPwgBAAkvqBDQRtgHAAAAAABgAAAD8/AD8AAIAAAAAAADwvwLvOEVHcnkBwAK5jQbwFkjzPwAAAAAYAAAA/PwA/AACAAAAAAAA8L8CnRGlvcEX9b8CuY0G8BZI+z8AAAAAGAAAAPz8APwAAgAAAAAAAPC/Au84RUdyeQHAAsZtNIC3QMo/AAAAADwECAFlCAgAAAAAAAAACAABZQQAAAAAAAAAAAwAAWUEAAAAAAAAAAAQAAFlBAAAAAAAAAAAFAwBZQgMAAAAAAAAABgQAWUEAAAAAAAAAAAcDAFlBAAAAAAAAAAAIBgBZQgAAAAAAAAAACQcAWUEAAAAAAAAAAAoGAFlBAAAAAAAAAAALDQBZQQAAAAAAAAAADAUAWUEAAAAAAAAAAA0HAFlCAgAAAAAAAAABBQBZQQAAAAAAAAAADAsAWUICAAAAAAAAAAAAAAA</t>
        </r>
      </text>
    </comment>
    <comment ref="A1216" authorId="0" shapeId="0" xr:uid="{869E3D2D-1F6F-4E35-9600-56631FBCC5B9}">
      <text>
        <r>
          <rPr>
            <sz val="9"/>
            <color indexed="81"/>
            <rFont val="MS P ゴシック"/>
            <family val="3"/>
            <charset val="128"/>
          </rPr>
          <t>Insight iXlW00001C0001216R0585476093S00002430P01176LAocjBAQBF1NjaVRlZ2ljLmRhdGEuTW9sZWN1bGUBbwF/ARJTY2lUZWdpYy5Nb2xlY3VsZQAAAQFkAv5qAQAAAAIAAjwcAAAA/PwA/AACAAAAAAAA8L8CvsEXJlMF1z8C/7J78rBQw78AAAAAGAAAAPz8APwAAgAAAAAAAPC/AlK4HoXrUe4/AlfsL7snD+U/AAAAABwAAAD8/AD8AAIAAAAAAADwvwK+wRcmUwXXPwK3Yn/ZPXn3PwAAAAAYAAAA/PwA/AACAAAAAAAA8L8CP1dbsb/s4r8CXLG/7J48xD8AAAAAGAAAAPz8APwAAgAAAAAAAPC/Aj9XW7G/7OK/Aiz2l92Th/I/AAAAABgAAAD8/AD8AAIAAAAAAADwvwL2udqK/WXlPwL+ZffkYaHxvwAAAAAYAAAA/PwA/AACAAAAAAAA8L8CtoR80LNZ+j8CFNBE2PD09L8AAAAAIAAAAPz8APwAAgAAAAAAAPC/Ailcj8L1KP8/AlfsL7snD+U/AAAAABgAAAD8/AD8AAIAAAAAAADwvwLhC5OpglH3vwJTJ6CJsOHVvwAAAAAgAAAA/PwA/AACAAAAAAAA8L8Cu0kMAiuHAkACGJXUCWgi4r8AAAAAJAAAAPz8APwAAgAAAAAAAPC/AuELk6mCUfe/AtUJaCJsePW/AAAAACAAAAD8/AD8AAIAAAAAAADwvwJC8WPMXUv/PwIRNjy9UhYCwAAAAAAYAAAA/PwA/AACAAAAAAAA8L8C4QuTqYJR978CLPaX3ZOH+j8AAAAAGAAAAPz8APwAAgAAAAAAAPC/AhE2PL1SlgLAAiz2l92Th/I/AAAAABgAAAD8/AD8AAIAAAAAAADwvwIRNjy9UpYCwAJcsb/snjzEPwAAAAABEAQAAWUEAAAAAAAAAAAIBAFlBAAAAAAAAAAADAABZQQAAAAAAAAAABAMAWUEAAAAAAAAAAAUAAFlBAAAAAAAAAAAGBQBZQQAAAAAAAAAABwEAWUIAAAAAAAAAAAgDAFlCAgAAAAAAAAAJBgBZQgAAAAAAAAAACggAWUEAAAAAAAAAAAsGAFlBAAAAAAAAAAAMBABZQgIAAAAAAAAADQ4AWUICAAAAAAAAAA4IAFlBAAAAAAAAAAACBABZQQAAAAAAAAAADA0AWUEAAAAAAAAAAAAAAAA</t>
        </r>
      </text>
    </comment>
    <comment ref="A1217" authorId="0" shapeId="0" xr:uid="{3B74B28F-91D0-45F4-85F9-78C2A2B7B979}">
      <text>
        <r>
          <rPr>
            <sz val="9"/>
            <color indexed="81"/>
            <rFont val="MS P ゴシック"/>
            <family val="3"/>
            <charset val="128"/>
          </rPr>
          <t>Insight iXlW00001C0001217R0585476093S00002432P01248LAocjBAQBF1NjaVRlZ2ljLmRhdGEuTW9sZWN1bGUBbwF/ARJTY2lUZWdpYy5Nb2xlY3VsZQAAAQFkAv5qAQAAAAIAAgEQHAAAAPz8APwAAgAAAAAAAPC/Ailcj8L1KNQ/Ah3r4jYawNO/AAAAABwAAAD8/AD8AAIAAAAAAADwvwIpXI/C9SjUPwJQHhZqTfP0PwAAAAAYAAAA/PwA/AACAAAAAAAA8L8CiIVa07zj7D8CiWNd3EYD4D8AAAAAGAAAAPz8APwAAgAAAAAAAPC/AgmKH2PuWuS/Ai1DHOviNjo/AAAAABgAAAD8/AD8AAIAAAAAAADwvwIJih9j7lrkvwLEsS5uowHwPwAAAAAYAAAA/PwA/AACAAAAAAAA8L8CK4cW2c734z8C1lbsL7sn9L8AAAAAGAAAAPz8APwAAgAAAAAAAPC/AkYldQKaCPi/AvA4RUdy+d+/AAAAABgAAAD8/AD8AAIAAAAAAADwvwLgvg6cM6L5PwLswDkjSnv3vwAAAAAYAAAA/PwA/AACAAAAAAAA8L8CRiV1ApoI+L8CxbEubqMB+D8AAAAAIAAAAPz8APwAAgAAAAAAAPC/Agg9m1WfKwJAAsl2vp8aL+e/AAAAABgAAAD8/AD8AAIAAAAAAADwvwLEQq1p3vECwAItQxzr4jY6PwAAAAAYAAAA/PwA/AACAAAAAAAA8L8CxEKtad5x/j8CiWNd3EYD4D8AAAAAIAAAAPz8APwAAgAAAAAAAPC/AtzXgXNGlP4/An6utmJ/WQPAAAAAABgAAAD8/AD8AAIAAAAAAADwvwLEQq1p3vECwALEsS5uowHwPwAAAAAkAAAA/PwA/AACAAAAAAAA8L8CHcnlP6TfCcAC8DhFR3L5378AAAAAGAAAAPz8APwAAgAAAAAAAPC/AmKh1jTvOANAAgYSFD/G3PU/AAAAAAERBAgBZQgIAAAAAAAAAAgAAWUEAAAAAAAAAAAMAAFlBAAAAAAAAAAAEAwBZQgMAAAAAAAAABQAAWUEAAAAAAAAAAAYDAFlBAAAAAAAAAAAHBQBZQQAAAAAAAAAACAQAWUEAAAAAAAAAAAkHAFlCAAAAAAAAAAAKBgBZQgIAAAAAAAAACwIAWUEAAAAAAAAAAAwHAFlBAAAAAAAAAAANCgBZQQAAAAAAAAAADgoAWUEAAAAAAAAAAA8LAFlBAAAAAAAAAAABBABZQQAAAAAAAAAACA0AWUICAAAAAAAAAAAAAAA</t>
        </r>
      </text>
    </comment>
    <comment ref="A1218" authorId="0" shapeId="0" xr:uid="{E333F754-12EA-4B7B-B859-A3A4DF0A5DB4}">
      <text>
        <r>
          <rPr>
            <sz val="9"/>
            <color indexed="81"/>
            <rFont val="MS P ゴシック"/>
            <family val="3"/>
            <charset val="128"/>
          </rPr>
          <t>Insight iXlW00001C0001218R0585476093S00002434P01176LAocjBAQBF1NjaVRlZ2ljLmRhdGEuTW9sZWN1bGUBbwF/ARJTY2lUZWdpYy5Nb2xlY3VsZQAAAQFkAv5qAQAAAAIAAjwcAAAA/PwA/AACAAAAAAAA8L8C78nDQq1p3j8C16NwPQrXy78AAAAAGAAAAPz8APwAAgAAAAAAAPC/AjVeukkMAvE/AiGwcmiR7eI/AAAAABwAAAD8/AD8AAIAAAAAAADwvwLvycNCrWnePwKcxCCwcmj2PwAAAAAYAAAA/PwA/AACAAAAAAAA8L8CTaYKRiV13r8CBoGVQ4tstz8AAAAAGAAAAPz8APwAAgAAAAAAAPC/Ak2mCkYldd6/AhFYObTIdvE/AAAAABgAAAD8/AD8AAIAAAAAAADwvwIOvjCZKhjpPwKKsOHplbLyvwAAAAAYAAAA/PwA/AACAAAAAAAA8L8C1QloImx49b8Cv58aL90k2r8AAAAAGAAAAPz8APwAAgAAAAAAAPC/AlHaG3xhMvw/AqAaL90kBva/AAAAACAAAAD8/AD8AAIAAAAAAADwvwIbL90kBoEAQAIhsHJoke3iPwAAAAAYAAAA/PwA/AACAAAAAAAA8L8C1QloImx49b8CEVg5tMh2+T8AAAAAIAAAAPz8APwAAgAAAAAAAPC/AsHKoUW2cwNAAjEqqRPQROS/AAAAABgAAAD8/AD8AAIAAAAAAADwvwILtaZ5x6kBwAIGgZVDi2y3PwAAAAAgAAAA/PwA/AACAAAAAAAA8L8Cp3nHKTqSAEACV1uxv+yeAsAAAAAAGAAAAPz8APwAAgAAAAAAAPC/Agu1pnnHqQHAAhFYObTIdvE/AAAAACQAAAD8/AD8AAIAAAAAAADwvwJlO99PjZcIwAK/nxov3STavwAAAAABEAQAAWUEAAAAAAAAAAAIBAFlBAAAAAAAAAAADAABZQQAAAAAAAAAABAMAWUIDAAAAAAAAAAUAAFlBAAAAAAAAAAAGAwBZQQAAAAAAAAAABwUAWUEAAAAAAAAAAAgBAFlCAAAAAAAAAAAJBABZQQAAAAAAAAAACgcAWUIAAAAAAAAAAAsGAFlCAgAAAAAAAAAMBwBZQQAAAAAAAAAADQsAWUEAAAAAAAAAAA4LAFlBAAAAAAAAAAACBABZQQAAAAAAAAAACQ0AWUICAAAAAAAAAAAAAAA</t>
        </r>
      </text>
    </comment>
    <comment ref="A1219" authorId="0" shapeId="0" xr:uid="{CD808B40-6BC9-49AE-BEA3-2B0BAC97B519}">
      <text>
        <r>
          <rPr>
            <sz val="9"/>
            <color indexed="81"/>
            <rFont val="MS P ゴシック"/>
            <family val="3"/>
            <charset val="128"/>
          </rPr>
          <t>Insight iXlW00001C0001219R0585476093S00002436P01176LAocjBAQBF1NjaVRlZ2ljLmRhdGEuTW9sZWN1bGUBbwF/ARJTY2lUZWdpYy5Nb2xlY3VsZQAAAQFkAv5qAQAAAAIAAjwcAAAA/PwA/AACAAAAAAAA8L8C+8vuycNC7T8CwhcmUwWjyj8AAAAAHAAAAPz8APwAAgAAAAAAAPC/AvvL7snDQu0/Ah8Wak3zjva/AAAAABgAAAD8/AD8AAIAAAAAAADwvwK30QDeAgn4PwImUwWjkjrjvwAAAAAYAAAA/PwA/AACAAAAAAAA8L8CJ8KGp1fKor8Ck6mCUUmd8b8AAAAAGAAAAPz8APwAAgAAAAAAAPC/AifChqdXyqK/AjGZKhiV1Lm/AAAAABgAAAD8/AD8AAIAAAAAAADwvwL6fmq8dJPzPwIHX5hMFYzyPwAAAAAYAAAA/PwA/AACAAAAAAAA8L8CpixDHOvi7L8Ck6mCUUmd+b8AAAAAGAAAAPz8APwAAgAAAAAAAPC/AqYsQxzr4uy/ArRZ9bnaitk/AAAAABgAAAD8/AD8AAIAAAAAAADwvwKUh4Va07zhPwKP5PIf0m/+PwAAAAAgAAAA/PwA/AACAAAAAAAA8L8CAd4CCYof278CeXqlLEMc+z8AAAAAGAAAAPz8APwAAgAAAAAAAPC/ApX2Bl+YTPy/ApOpglFJnfG/AAAAABgAAAD8/AD8AAIAAAAAAADwvwKV9gZfmEz8vwIxmSoYldS5vwAAAAAYAAAA/PwA/AACAAAAAAAA8L8C3GgAb4EEBEACJlMFo5I6478AAAAAIAAAAPz8APwAAgAAAAAAAPC/Ao25awn5oOs/Ak9AE2HD0wZAAAAAACQAAAD8/AD8AAIAAAAAAADwvwJrK/aX3RMFwAIi/fZ14Jz5vwAAAAABEAQIAWUICAAAAAAAAAAIAAFlBAAAAAAAAAAADBABZQgMAAAAAAAAABAAAWUEAAAAAAAAAAAUAAFlBAAAAAAAAAAAGAwBZQQAAAAAAAAAABwQAWUEAAAAAAAAAAAgFAFlBAAAAAAAAAAAJCABZQgAAAAAAAAAACgsAWUEAAAAAAAAAAAsHAFlCAgAAAAAAAAAMAgBZQQAAAAAAAAAADQgAWUEAAAAAAAAAAA4KAFlBAAAAAAAAAAABAwBZQQAAAAAAAAAABgoAWUICAAAAAAAAAAAAAAA</t>
        </r>
      </text>
    </comment>
    <comment ref="A1220" authorId="0" shapeId="0" xr:uid="{24C3153A-2F50-4E0B-BAEA-5DDE7F3168A9}">
      <text>
        <r>
          <rPr>
            <sz val="9"/>
            <color indexed="81"/>
            <rFont val="MS P ゴシック"/>
            <family val="3"/>
            <charset val="128"/>
          </rPr>
          <t>Insight iXlW00001C0001220R0585476093S00002438P01248LAocjBAQBF1NjaVRlZ2ljLmRhdGEuTW9sZWN1bGUBbwF/ARJTY2lUZWdpYy5Nb2xlY3VsZQAAAQFkAv5qAQAAAAIAAgEQHAAAAPz8APwAAgAAAAAAAPC/Ap88LNSa5us/AuzAOSNKe/M/AAAAABwAAAD8/AD8AAIAAAAAAADwvwLHuriNBvDgvwKDUUmdgCbaPwAAAAAYAAAA/PwA/AACAAAAAAAA8L8C1zTvOEVH8T8CDy2yne+nzj8AAAAAGAAAAPz8APwAAgAAAAAAAPC/Am1Wfa62Yr+/AtZW7C+7J/U/AAAAABgAAAD8/AD8AAIAAAAAAADwvwIhQfFjzF3LPwJ56SYxCKzQvwAAAAAYAAAA/PwA/AACAAAAAAAA8L8CH4XrUbge+L8CVVInoImwyT8AAAAAGAAAAPz8APwAAgAAAAAAAPC/Aqrx0k1iEP2/AqcKRiV1Aui/AAAAABgAAAD8/AD8AAIAAAAAAADwvwIZldQJaCL/PwJ56SYxCKzQvwAAAAAgAAAA/PwA/AACAAAAAAAA8L8CejarPldb8r8CTDeJQWDl978AAAAAJAAAAPz8APwAAgAAAAAAAPC/Aq36XG3FfgZAAg8tsp3vp84/AAAAABgAAAD8/AD8AAIAAAAAAADwvwLOqs/VVuzjvwKM22gAb4EBQAAAAAAgAAAA/PwA/AACAAAAAAAA8L8CejarPldbBsAC097gC5Op7r8AAAAAGAAAAPz8APwAAgAAAAAAAPC/AiFB8WPMXcs/Al66SQwCK/S/AAAAABgAAAD8/AD8AAIAAAAAAADwvwJmiGNd3EbxPwJfukkMAiv8vwAAAAAYAAAA/PwA/AACAAAAAAAA8L8CGZXUCWgi/z8CXrpJDAIr9L8AAAAAGAAAAPz8APwAAgAAAAAAAPC/AmfV52or9vm/AozbaABvgQFAAAAAAAERBAwBZQQAAAAAAAAAAAgAAWUEAAAAAAAAAAAMAAFlCAgAAAAAAAAAEAgBZQgMAAAAAAAAABQEAWUEAAAAAAAAAAAYFAFlBAAAAAAAAAAAHAgBZQQAAAAAAAAAACAYAWUIAAAAAAAAAAAkHAFlBAAAAAAAAAAAKAwBZQQAAAAAAAAAACwYAWUEAAAAAAAAAAAwEAFlBAAAAAAAAAAANDgBZQQAAAAAAAAAADgcAWUICAAAAAAAAAA8KAFlBAAAAAAAAAAAEAQBZQQAAAAAAAAAADA0AWUICAAAAAAAAAAAAAAA</t>
        </r>
      </text>
    </comment>
    <comment ref="A1221" authorId="0" shapeId="0" xr:uid="{C09654D1-45B1-4556-8CF4-98B3B1F29D73}">
      <text>
        <r>
          <rPr>
            <sz val="9"/>
            <color indexed="81"/>
            <rFont val="MS P ゴシック"/>
            <family val="3"/>
            <charset val="128"/>
          </rPr>
          <t>Insight iXlW00001C0001221R0585476093S00002440P01340LAocjBAQBF1NjaVRlZ2ljLmRhdGEuTW9sZWN1bGUBbwF/ARJTY2lUZWdpYy5Nb2xlY3VsZQAAAQFkAv5qAQAAAAIAAgERHAAAAPz8APwAAgAAAAAAAPC/AobJVMGopNo/AiL99nXgnNU/AAAAABgAAAD8/AD8AAIAAAAAAADwvwIbnl4pyxDwPwILtaZ5xynevwAAAAAcAAAA/PwA/AACAAAAAAAA8L8ChslUwaik2j8CzhlR2ht89L8AAAAAGAAAAPz8APwAAgAAAAAAAPC/AlvTvOMUHeG/AoZa07zjFO+/AAAAABgAAAD8/AD8AAIAAAAAAADwvwJb07zjFB3hvwJPr5RliGOdPwAAAAAYAAAA/PwA/AACAAAAAAAA8L8CDk+vlGUIAEACC7Wmeccp3r8AAAAAGAAAAPz8APwAAgAAAAAAAPC/Ato9eVioNec/AuauJeSDnvQ/AAAAABgAAAD8/AD8AAIAAAAAAADwvwIv/yH99vUGQAKGWtO84xTvvwAAAAAYAAAA/PwA/AACAAAAAAAA8L8CL/8h/fb1BkACT6+UZYhjnT8AAAAAGAAAAPz8APwAAgAAAAAAAPC/ArwFEhQ/xqw/AnDwhclUQQBAAAAAABgAAAD8/AD8AAIAAAAAAADwvwLvycNCrWn2vwJDrWnecYr3vwAAAAAgAAAA/PwA/AACAAAAAAAA8L8CGy/dJAaB7b8CyXa+nxov/T8AAAAAJAAAAPz8APwAAgAAAAAAAPC/Au/Jw0Ktafa/AqLWNO84xQPAAAAAACAAAAD8/AD8AAIAAAAAAADwvwLl8h/Sb1/XPwI/6Nms+twHQAAAAAAYAAAA/PwA/AACAAAAAAAA8L8C78nDQq1p9r8Ce6UsQxzr4D8AAAAAGAAAAPz8APwAAgAAAAAAAPC/AhiV1AloIgLAAk+vlGWIY50/AAAAABgAAAD8/AD8AAIAAAAAAADwvwIYldQJaCICwAKGWtO84xTvvwAAAAABEwQAAWUEAAAAAAAAAAAIBAFlCAgAAAAAAAAADBABZQgMAAAAAAAAABAAAWUEAAAAAAAAAAAUBAFlBAAAAAAAAAAAGAABZQQAAAAAAAAAABwUAWUEAAAAAAAAAAAgFAFlBAAAAAAAAAAAJBgBZQQAAAAAAAAAACgMAWUEAAAAAAAAAAAsJAFlCAAAAAAAAAAAMCgBZQQAAAAAAAAAADQkAWUEAAAAAAAAAAA4EAFlBAAAAAAAAAAAPDgBZQgIAAAAAAAAAAEQPAFlBAAAAAAAAAAACAwBZQQAAAAAAAAAACAcAWUEAAAAAAAAAAAoARABZQgIAAAAAAAAAAAAAAA=</t>
        </r>
      </text>
    </comment>
    <comment ref="A1222" authorId="0" shapeId="0" xr:uid="{2C1917B8-D1EF-4193-B6F8-5598F976781B}">
      <text>
        <r>
          <rPr>
            <sz val="9"/>
            <color indexed="81"/>
            <rFont val="MS P ゴシック"/>
            <family val="3"/>
            <charset val="128"/>
          </rPr>
          <t>Insight iXlW00001C0001222R0585476093S00002442P01036LAocjBAQBF1NjaVRlZ2ljLmRhdGEuTW9sZWN1bGUBbwF/ARJTY2lUZWdpYy5Nb2xlY3VsZQAAAQFkAv5qAQAAAAIAAjQYAAAA/PwA/AACAAAAAAAA8L8C1sVtNIC38L8CmbuWkA96tr8AAAAAGAAAAPz8APwAAgAAAAAAAPC/AnGsi9toAPu/AsNkqmBUUuu/AAAAABgAAAD8/AD8AAIAAAAAAADwvwIhH/RsVn3mvwL7y+7Jw0LrPwAAAAAYAAAA/PwA/AACAAAAAAAA8L8CcayL22gA+78C3bWEfNCz5T8AAAAAGAAAAPz8APwAAgAAAAAAAPC/AqYsQxzr4sa/AnPXEvJBz+K/AAAAACAAAAD8/AD8AAIAAAAAAADwvwIs9pfdk4f1vwIZBFYOLbL8vwAAAAAcAAAA/PwA/AACAAAAAAAA8L8CYAfOGVHa+D8CR5T2Bl+Y9j8AAAAAIAAAAPz8APwAAgAAAAAAAPC/AqmkTkATYQXAAoenV8oyxOW/AAAAABgAAAD8/AD8AAIAAAAAAADwvwI8TtGRXP7lPwKZu5aQD3q2vwAAAAAYAAAA/PwA/AACAAAAAAAA8L8CPE7RkVz+5T8CjSjtDb4w7T8AAAAAGAAAAPz8APwAAgAAAAAAAPC/AtGzWfW5WgNAAo0o7Q2+MO0/AAAAABgAAAD8/AD8AAIAAAAAAADwvwJgB84ZUdr4PwJz1xLyQc/ivwAAAAAYAAAA/PwA/AACAAAAAAAA8L8C0bNZ9blaA0ACmbuWkA96tr8AAAAAOAQAAWUEAAAAAAAAAAAIAAFlBAAAAAAAAAAADAABZQQAAAAAAAAAABAAAWUEAAAAAAAAAAAUBAFlCAAAAAAAAAAAGCQBZQgIAAAAAAAAABwEAWUEAAAAAAAAAAAgEAFlBAAAAAAAAAAAJCABZQQAAAAAAAAAACgwAWUICAAAAAAAAAAsIAFlCAwAAAAAAAAAMCwBZQQAAAAAAAAAAAgMAWUEAAAAAAAAAAAYKAFlBAAAAAAAAAAAAAAAAA==</t>
        </r>
      </text>
    </comment>
    <comment ref="A1223" authorId="0" shapeId="0" xr:uid="{076591E9-F819-44BD-B3FF-87375238A42B}">
      <text>
        <r>
          <rPr>
            <sz val="9"/>
            <color indexed="81"/>
            <rFont val="MS P ゴシック"/>
            <family val="3"/>
            <charset val="128"/>
          </rPr>
          <t>Insight iXlW00001C0001223R0585476093S00002444P01252LAocjBAQBF1NjaVRlZ2ljLmRhdGEuTW9sZWN1bGUBbwF/ARJTY2lUZWdpYy5Nb2xlY3VsZQAAAQFkAv5qAQAAAAIAAgEQJAAAAPz8APwAAgAAAAAAAPC/AhFYObTI9gXAAtEi2/l+avm/AAAAABgAAAD8/AD8AAIAAAAAAADwvwLgT42XbhL+vwLRItv5fmrxvwAAAAAYAAAA/PwA/AACAAAAAAAA8L8Cnu+nxks38L8C0SLb+X5q+b8AAAAAGAAAAPz8APwAAgAAAAAAAPC/AuJ6FK5H4cK/AtEi2/l+avG/AAAAABgAAAD8/AD8AAIAAAAAAADwvwLiehSuR+HCvwIPLbKd76e2vwAAAAAYAAAA/PwA/AACAAAAAAAA8L8Cnu+nxks38L8CvXSTGARW2j8AAAAAGAAAAPz8APwAAgAAAAAAAPC/AhALtaZ5x+m/AgisHFpkO/Y/AAAAACAAAAD8/AD8AAIAAAAAAADwvwJ2cRsN4C3IPwLyQc9m1ef3PwAAAAAYAAAA/PwA/AACAAAAAAAA8L8COUVHcvkP4z8C3NeBc0aU4j8AAAAAGAAAAPz8APwAAgAAAAAAAPC/Alyxv+yePPQ/AnZxGw3gLfU/AAAAABgAAAD8/AD8AAIAAAAAAADwvwJTliGOdfEBQAJgB84ZUdrxPwAAAAAcAAAA/PwA/AACAAAAAAAA8L8C0SLb+X5qBEACDr4wmSoYxT8AAAAAGAAAAPz8APwAAgAAAAAAAPC/AuM2GsBbIP4/AozbaABvgeK/AAAAABgAAAD8/AD8AAIAAAAAAADwvwJQHhZqTfPsPwK/DpwzorTXvwAAAAAYAAAA/PwA/AACAAAAAAAA8L8C4E+Nl24S/r8CDy2yne+ntr8AAAAAAREAAAD8/AD8AAIAAAAAAADwvwI4iUFg5dAKQALtDb4wmSqovwAAAAABEQAEAWUEAAAAAAAAAAAECAFlCAwAAAAAAAAACAwBZQQAAAAAAAAAAAwQAWUICAAAAAAAAAAQFAFlBAAAAAAAAAAAFBgBZQQAAAAAAAAAABgcAWUEAAAAAAAAAAAcIAFlBAAAAAAAAAAAIBABZQQAAAAAAAAAACAkAWUEAAAAAAAAAAAkKAFlBAAAAAAAAAAAKCwBZQQAAAAAAAAAACwwAWUEAAAAAAAAAAAwNAFlBAAAAAAAAAAANCABZQQAAAAAAAAAABQ4AWUICAAAAAAAAAA4BAFlBAAAAAAAAAAAAAAAAA==</t>
        </r>
      </text>
    </comment>
    <comment ref="A1224" authorId="0" shapeId="0" xr:uid="{C10C76D3-F140-4DBF-937F-0EA903DC566F}">
      <text>
        <r>
          <rPr>
            <sz val="9"/>
            <color indexed="81"/>
            <rFont val="MS P ゴシック"/>
            <family val="3"/>
            <charset val="128"/>
          </rPr>
          <t>Insight iXlW00001C0001224R0585476093S00002446P00836LAocjBAQBF1NjaVRlZ2ljLmRhdGEuTW9sZWN1bGUBbwF/ARJTY2lUZWdpYy5Nb2xlY3VsZQAAAQFkAv5qAQAAAAIAAiwgAAAA/PwA/AACAAAAAAAA8L8CyXa+nxqvA0AAAAAAABgAAAD8/AD8AAIAAAAAAADwvwKS7Xw/NV73PwAAAAAAGAAAAPz8APwAAgAAAAAAAPC/ArAD54wo7es/AhfZzvdT4+k/AAAAABgAAAD8/AD8AAIAAAAAAADwvwJuowG8BRK0vwIAAAAAAADgPwAAAAAYAAAA/PwA/AACAAAAAAAA8L8C8fRKWYY47r8BAAAAABgAAAD8/AD8AAIAAAAAAADwvwK62or9Zff8vwIAAAAAAADgPwAAAAAcAAAA/PwA/AACAAAAAAAA8L8CutqK/WX3/L8CAAAAAAAA4L8AAAAAGAAAAPz8APwAAgAAAAAAAPC/AvH0SlmGOO6/AgAAAAAAAPC/AAAAABgAAAD8/AD8AAIAAAAAAADwvwJuowG8BRK0vwIAAAAAAADgvwAAAAAcAAAA/PwA/AACAAAAAAAA8L8CsAPnjCjt6z8CF9nO91Pj6b8AAAAAAREAAAD8/AD8AAIAAAAAAADwvwIv3SQGgRUKQAAAAAAALAAEAWUIAAAAAAAAAAAECAFlBAAAAAAAAAAACAwBZQQAAAAAAAAAAAwQAWUIDAAAAAAAAAAQFAFlBAAAAAAAAAAAFBgBZQgIAAAAAAAAABgcAWUEAAAAAAAAAAAcIAFlCAgAAAAAAAAAIAwBZQQAAAAAAAAAACAkAWUEAAAAAAAAAAAkBAFlBAAAAAAAAAAAAAAAAA==</t>
        </r>
      </text>
    </comment>
    <comment ref="A1225" authorId="0" shapeId="0" xr:uid="{A5465FA6-267B-4049-8A94-8F5E405D8B93}">
      <text>
        <r>
          <rPr>
            <sz val="9"/>
            <color indexed="81"/>
            <rFont val="MS P ゴシック"/>
            <family val="3"/>
            <charset val="128"/>
          </rPr>
          <t>Insight iXlW00001C0001225R0585476093S00002448P01340LAocjBAQBF1NjaVRlZ2ljLmRhdGEuTW9sZWN1bGUBbwF/ARJTY2lUZWdpYy5Nb2xlY3VsZQAAAQFkAv5qAQAAAAIAAgERGAAAAPz8APwAAgAAAAAAAPC/Akp7gy9Mprq/ApM6AU2EDcc/AAAAABgAAAD8/AD8AAIAAAAAAADwvwLE0ytlGeLwvwJ3Tx4Wak3fPwAAAAAYAAAA/PwA/AACAAAAAAAA8L8CFNBE2PD03j8CvCcPC7Wm7z8AAAAAHAAAAPz8APwAAgAAAAAAAPC/Akp7gy9Mprq/AmkAb4EExfw/AAAAABgAAAD8/AD8AAIAAAAAAADwvwLE0ytlGeLwvwLek4eFWtP3PwAAAAAYAAAA/PwA/AACAAAAAAAA8L8CPgrXo3A9yj8Cl5APejar6L8AAAAAGAAAAPz8APwAAgAAAAAAAPC/AgU0ETY8vf6/AjQRNjy9Uoa/AAAAACAAAAD8/AD8AAIAAAAAAADwvwLMf0i/fR0JQAKOBvAWSFD2vwAAAAAkAAAA/PwA/AACAAAAAAAA8L8CBTQRNjy9/r8CI2x4eqUs8L8AAAAAGAAAAPz8APwAAgAAAAAAAPC/ApJc/kP67fI/AsNkqmBUUu+/AAAAABgAAAD8/AD8AAIAAAAAAADwvwIkSnuDL0wGwALek4eFWtP3PwAAAAAYAAAA/PwA/AACAAAAAAAA8L8CBTQRNjy9/r8C3pOHhVrT/z8AAAAAGAAAAPz8APwAAgAAAAAAAPC/AiRKe4MvTAbAAndPHhZqTd8/AAAAABgAAAD8/AD8AAIAAAAAAADwvwKGyVTBqKQGQALAWyBB8WPcvwAAAAAYAAAA/PwA/AACAAAAAAAA8L8CbHh6pSzDA0ACQxzr4jYaAcAAAAAAGAAAAPz8APwAAgAAAAAAAPC/AlFrmnecov0/AtBm1edqK86/AAAAABgAAAD8/AD8AAIAAAAAAADwvwIdyeU/pN/3PwJxzojS3uD+vwAAAAABEwQAAWUEAAAAAAAAAAAIAAFlCAgAAAAAAAAADAgBZQQAAAAAAAAAABAEAWUIDAAAAAAAAAAUAAFlBAAAAAAAAAAAGAQBZQQAAAAAAAAAABw4AWUEAAAAAAAAAAAgGAFlBAAAAAAAAAAAJBQBZQQAAAAAAAAAACgwAWUEAAAAAAAAAAAsEAFlBAAAAAAAAAAAMBgBZQgIAAAAAAAAADQ8AWUEAAAAAAAAAAA4ARABZQQAAAAAAAAAADwkAWUEAAAAAAAAAAABECQBZQQAAAAAAAAAABAMAWUEAAAAAAAAAAAsKAFlCAgAAAAAAAAANBwBZQQAAAAAAAAAAAAAAAA=</t>
        </r>
      </text>
    </comment>
    <comment ref="A1226" authorId="0" shapeId="0" xr:uid="{8600E5C1-BC3A-42C0-BA61-6E68B2EA644D}">
      <text>
        <r>
          <rPr>
            <sz val="9"/>
            <color indexed="81"/>
            <rFont val="MS P ゴシック"/>
            <family val="3"/>
            <charset val="128"/>
          </rPr>
          <t>Insight iXlW00001C0001226R0585476093S00002450P01268LAocjBAQBF1NjaVRlZ2ljLmRhdGEuTW9sZWN1bGUBbwF/ARJTY2lUZWdpYy5Nb2xlY3VsZQAAAQFkAv5qAQAAAAIAAgEQGAAAAPz8APwAAgAAAAAAAPC/Aqyt2F92T+Q/AtBE2PD0StE/AAAAABgAAAD8/AD8AAIAAAAAAADwvwLkFB3J5T/UvwJ/+zpwzojiPwAAAAAYAAAA/PwA/AACAAAAAAAA8L8CkML1KFyP8z8CwH0dOGdE8T8AAAAAHAAAAPz8APwAAgAAAAAAAPC/Aqyt2F92T+Q/AkvqBDQRNv4/AAAAABgAAAD8/AD8AAIAAAAAAADwvwLkFB3J5T/UvwLAfR04Z0T5PwAAAAAYAAAA/PwA/AACAAAAAAAA8L8Ce6UsQxzr8r8C9dvXgXNGtD8AAAAAGAAAAPz8APwAAgAAAAAAAPC/AsOGp1fKMu4/ArYV+8vuyeW/AAAAACAAAAD8/AD8AAIAAAAAAADwvwLUK2UZ4tgBQAKP5PIf0m/9vwAAAAAYAAAA/PwA/AACAAAAAAAA8L8Ce6UsQxzr8r8C4L4OnDOiAEAAAAAAGAAAAPz8APwAAgAAAAAAAPC/At4CCYofYwDAAn/7OnDOiOI/AAAAABgAAAD8/AD8AAIAAAAAAADwvwLeAgmKH2MAwALAfR04Z0T5PwAAAAAkAAAA/PwA/AACAAAAAAAA8L8C/7J78rBQB8AC9dvXgXNGtD8AAAAAGAAAAPz8APwAAgAAAAAAAPC/Ah3r4jYawP4/AuLplbIMcey/AAAAABgAAAD8/AD8AAIAAAAAAADwvwLpSC7/If34PwJEi2zn+6kEwAAAAAAYAAAA/PwA/AACAAAAAAAA8L8CidLe4AuT0T8CYxBYObTI9r8AAAAAGAAAAPz8APwAAgAAAAAAAPC/Aj2bVZ+rreI/AjnWxW00AAPAAAAAAAESBAABZQQAAAAAAAAAAAgAAWUICAAAAAAAAAAMCAFlBAAAAAAAAAAAEAQBZQgMAAAAAAAAABQEAWUEAAAAAAAAAAAYAAFlBAAAAAAAAAAAHDABZQQAAAAAAAAAACAQAWUEAAAAAAAAAAAkFAFlCAgAAAAAAAAAKCQBZQQAAAAAAAAAACwkAWUEAAAAAAAAAAAwGAFlBAAAAAAAAAAANDwBZQQAAAAAAAAAADgYAWUEAAAAAAAAAAA8OAFlBAAAAAAAAAAAEAwBZQQAAAAAAAAAABw0AWUEAAAAAAAAAAAgKAFlCAgAAAAAAAAAAAAAAA==</t>
        </r>
      </text>
    </comment>
    <comment ref="A1227" authorId="0" shapeId="0" xr:uid="{A4CC96CC-81A1-4F51-8D8F-647A6E417249}">
      <text>
        <r>
          <rPr>
            <sz val="9"/>
            <color indexed="81"/>
            <rFont val="MS P ゴシック"/>
            <family val="3"/>
            <charset val="128"/>
          </rPr>
          <t>Insight iXlW00001C0001227R0585476093S00002452P01196LAocjBAQBF1NjaVRlZ2ljLmRhdGEuTW9sZWN1bGUBbwF/ARJTY2lUZWdpYy5Nb2xlY3VsZQAAAQFkAv5qAQAAAAIAAjwYAAAA/PwA/AACAAAAAAAA8L8CJQaBlUOL2L8CL26jAbwF5D8AAAAAGAAAAPz8APwAAgAAAAAAAPC/AuGcEaW9wZc/AhwN4C2QoPg/AAAAABgAAAD8/AD8AAIAAAAAAADwvwL6D+m3rwPXPwITg8DKoUWmvwAAAAAcAAAA/PwA/AACAAAAAAAA8L8CKjqSy39I8D8CoyO5/If09j8AAAAAGAAAAPz8APwAAgAAAAAAAPC/AkCk374OnPM/Ap7vp8ZLN90/AAAAABgAAAD8/AD8AAIAAAAAAADwvwJ5WKg1zbsAQAITg8DKoUWmvwAAAAAYAAAA/PwA/AACAAAAAAAA8L8C+g/pt68D1z8CGQRWDi2y8L8AAAAAGAAAAPz8APwAAgAAAAAAAPC/AkVpb/CFyfW/AgU0ETY8vdo/AAAAACAAAAD8/AD8AAIAAAAAAADwvwKHp1fKMsQHwAKAt0CC4sfiPwAAAAAYAAAA/PwA/AACAAAAAAAA8L8CQYLix5i7AEACqFfKMsSx8L8AAAAAGAAAAPz8APwAAgAAAAAAAPC/AkCk374OnPM/AqhXyjLEsfi/AAAAACQAAAD8/AD8AAIAAAAAAADwvwKaCBueXqkHQAIZBFYOLbL4vwAAAAAYAAAA/PwA/AACAAAAAAAA8L8Cn82qz9XWAMACwFsgQfFj8T8AAAAAGAAAAPz8APwAAgAAAAAAAPC/ArXIdr6fGgbAAih+jLlrCdm/AAAAABgAAAD8/AD8AAIAAAAAAADwvwJC8WPMXUv8vwLQ1VbsL7vfvwAAAAABEQQAAWUICAAAAAAAAAAIAAFlBAAAAAAAAAAADAQBZQQAAAAAAAAAABAIAWUIDAAAAAAAAAAUEAFlBAAAAAAAAAAAGAgBZQQAAAAAAAAAABwAAWUEAAAAAAAAAAAgMAFlBAAAAAAAAAAAJCgBZQQAAAAAAAAAACgYAWUICAAAAAAAAAAsJAFlBAAAAAAAAAAAMBwBZQQAAAAAAAAAADQ4AWUEAAAAAAAAAAA4HAFlBAAAAAAAAAAAEAwBZQQAAAAAAAAAACA0AWUEAAAAAAAAAAAUJAFlCAgAAAAAAAAAAAAAAA==</t>
        </r>
      </text>
    </comment>
    <comment ref="A1228" authorId="0" shapeId="0" xr:uid="{DB6DBF95-EC41-43A8-9971-C4F6F51A6A5F}">
      <text>
        <r>
          <rPr>
            <sz val="9"/>
            <color indexed="81"/>
            <rFont val="MS P ゴシック"/>
            <family val="3"/>
            <charset val="128"/>
          </rPr>
          <t>Insight iXlW00001C0001228R0585476093S00002454P00892LAocjBAQBF1NjaVRlZ2ljLmRhdGEuTW9sZWN1bGUBbwF/ARJTY2lUZWdpYy5Nb2xlY3VsZQAAAQFkAv5qAQAAAAIAAiwcAAAA/PwA/AACAAAAAAAA8L8CjSjtDb4w4b8CjNtoAG+B8z8AAAAAGAAAAPz8APwAAgAAAAAAAPC/Akw3iUFg5cA/AhFYObTIdt4/AAAAABgAAAD8/AD8AAIAAAAAAADwvwJaZDvfT43XvwK62or9ZffYvwAAAAAYAAAA/PwA/AACAAAAAAAA8L8CvJaQD3o2978CHqfoSC7/6T8AAAAAGAAAAPz8APwAAgAAAAAAAPC/AtIA3gIJivW/AjsBTYQNT8e/AAAAABgAAAD8/AD8AAIAAAAAAADwvwJ5eqUsQxzyPwIRWDm0yHbePwAAAAAkAAAA/PwA/AACAAAAAAAA8L8CeXqlLEMc+j8CRrbz/dR49T8AAAAAGAAAAPz8APwAAgAAAAAAAPC/AsTTK2UZ4sA/AvAWSFD8GPS/AAAAABgAAAD8/AD8AAIAAAAAAADwvwJlGeJYF7cAwALNXUvIBz3rvwAAAAAYAAAA/PwA/AACAAAAAAAA8L8CeXqlLEMc8j8Cf2q8dJMY9L8AAAAAGAAAAPz8APwAAgAAAAAAAPC/Anl6pSxDHPo/AvYoXI/C9di/AAAAADAEAAFlBAAAAAAAAAAACAQBZQgMAAAAAAAAAAwAAWUEAAAAAAAAAAAQDAFlCAwAAAAAAAAAFAQBZQQAAAAAAAAAABgUAWUEAAAAAAAAAAAcCAFlBAAAAAAAAAAAIBABZQQAAAAAAAAAACQoAWUEAAAAAAAAAAAoFAFlCAgAAAAAAAAAEAgBZQQAAAAAAAAAABwkAWUICAAAAAAAAAAAAAAA</t>
        </r>
      </text>
    </comment>
    <comment ref="A1229" authorId="0" shapeId="0" xr:uid="{533A9DF2-0C2D-4F24-90F2-2946DF01D2F6}">
      <text>
        <r>
          <rPr>
            <sz val="9"/>
            <color indexed="81"/>
            <rFont val="MS P ゴシック"/>
            <family val="3"/>
            <charset val="128"/>
          </rPr>
          <t>Insight iXlW00001C0001229R0585476093S00002456P01340LAocjBAQBF1NjaVRlZ2ljLmRhdGEuTW9sZWN1bGUBbwF/ARJTY2lUZWdpYy5Nb2xlY3VsZQAAAQFkAv5qAQAAAAIAAgERHAAAAPz8APwAAgAAAAAAAPC/AiKOdXEbDf8/AjhnRGlv8PA/AAAAABgAAAD8/AD8AAIAAAAAAADwvwIt1JrmHafUPwI4Z0Rpb/DwPwAAAAAYAAAA/PwA/AACAAAAAAAA8L8ClyGOdXEb+j8ClrIMcayLuz8AAAAAGAAAAPz8APwAAgAAAAAAAPC/Ai1DHOviNuQ/ApayDHGsi7s/AAAAABgAAAD8/AD8AAIAAAAAAADwvwKXIY51cRvyPwLy0k1iEFj6PwAAAAAYAAAA/PwA/AACAAAAAAAA8L8CCM4ZUdob5L8CxNMrZRni9T8AAAAAGAAAAPz8APwAAgAAAAAAAPC/AssQx7q4DQFAAjEqqRPQROi/AAAAACAAAAD8/AD8AAIAAAAAAADwvwIGEhQ/xtwGwALzsFBrmnfkvwAAAAAkAAAA/PwA/AACAAAAAAAA8L8CyxDHurgNCUACMSqpE9BE6L8AAAAAGAAAAPz8APwAAgAAAAAAAPC/ArMMcayL28A/AjEqqRPQROi/AAAAABgAAAD8/AD8AAIAAAAAAADwvwKMbOf7qfH1vwIJih9j7lrmPwAAAAAYAAAA/PwA/AACAAAAAAAA8L8CLUMc6+I25D8CWvW52or9+b8AAAAAGAAAAPz8APwAAgAAAAAAAPC/ApchjnVxG/o/Alr1udqK/fm/AAAAABgAAAD8/AD8AAIAAAAAAADwvwJuNIC3QIL+vwIJih9j7lruvwAAAAAYAAAA/PwA/AACAAAAAAAA8L8CEce6uI2GCMACRIts5/up1T8AAAAAGAAAAPz8APwAAgAAAAAAAPC/AuauJeSDnvK/AhfZzvdT49G/AAAAABgAAAD8/AD8AAIAAAAAAADwvwJNhA1Pr5QCwAKQMXctIR/wPwAAAAABEwQQAWUIDAAAAAAAAAAIAAFlBAAAAAAAAAAADAgBZQgMAAAAAAAAABAAAWUEAAAAAAAAAAAUBAFlBAAAAAAAAAAAGAgBZQQAAAAAAAAAABw4AWUEAAAAAAAAAAAgGAFlBAAAAAAAAAAAJAwBZQQAAAAAAAAAACgUAWUEAAAAAAAAAAAsMAFlBAAAAAAAAAAAMBgBZQgIAAAAAAAAADQ8AWUEAAAAAAAAAAA4ARABZQQAAAAAAAAAADwoAWUEAAAAAAAAAAABECgBZQQAAAAAAAAAAAQMAWUEAAAAAAAAAAAkLAFlCAgAAAAAAAAANBwBZQQAAAAAAAAAAAAAAAA=</t>
        </r>
      </text>
    </comment>
    <comment ref="A1230" authorId="0" shapeId="0" xr:uid="{2DE23F7B-2CF0-47D6-9E10-921CA656ECA7}">
      <text>
        <r>
          <rPr>
            <sz val="9"/>
            <color indexed="81"/>
            <rFont val="MS P ゴシック"/>
            <family val="3"/>
            <charset val="128"/>
          </rPr>
          <t>Insight iXlW00001C0001230R0585476093S00002458P01252LAocjBAQBF1NjaVRlZ2ljLmRhdGEuTW9sZWN1bGUBbwF/ARJTY2lUZWdpYy5Nb2xlY3VsZQAAAQFkAv5qAQAAAAIAAgEQJAAAAPz8APwAAgAAAAAAAPC/ApoIG55eqQdAAgJNhA1Pr9Q/AAAAABgAAAD8/AD8AAIAAAAAAADwvwJ5WKg1zbsAQAL+ZffkYaHGvwAAAAAYAAAA/PwA/AACAAAAAAAA8L8CQYLix5i7AEACwOyePCzU8r8AAAAAGAAAAPz8APwAAgAAAAAAAPC/AkCk374OnPM/AsDsnjws1Pq/AAAAABgAAAD8/AD8AAIAAAAAAADwvwL6D+m3rwPXPwLA7J48LNTyvwAAAAAYAAAA/PwA/AACAAAAAAAA8L8C+g/pt68D1z8C/mX35GGhxr8AAAAAGAAAAPz8APwAAgAAAAAAAPC/AiUGgZVDi9i/AsE5I0p7g98/AAAAABgAAAD8/AD8AAIAAAAAAADwvwLhnBGlvcGXPwJ1JJf/kH72PwAAAAAcAAAA/PwA/AACAAAAAAAA8L8CKjqSy39I8D8C/DpwzojS9D8AAAAAGAAAAPz8APwAAgAAAAAAAPC/AkCk374OnPM/AgJNhA1Pr9Q/AAAAABgAAAD8/AD8AAIAAAAAAADwvwJFaW/whcn1vwKk374OnDPSPwAAAAAYAAAA/PwA/AACAAAAAAAA8L8CQvFjzF1L/L8CNjy9UpYh5L8AAAAAGAAAAPz8APwAAgAAAAAAAPC/ArXIdr6fGgbAAmMQWDm0yOC/AAAAABwAAAD8/AD8AAIAAAAAAADwvwKHp1fKMsQHwAJkzF1LyAfdPwAAAAAYAAAA/PwA/AACAAAAAAAA8L8Cn82qz9XWAMACMuauJeSD7j8AAAAAAREAAAD8/AD8AAIAAAAAAADwvwIBb4EExQ8OQALy0k1iEFjBvwAAAAABEQAEAWUEAAAAAAAAAAAECAFlCAwAAAAAAAAACAwBZQQAAAAAAAAAAAwQAWUICAAAAAAAAAAQFAFlBAAAAAAAAAAAFBgBZQQAAAAAAAAAABgcAWUICAAAAAAAAAAcIAFlBAAAAAAAAAAAICQBZQQAAAAAAAAAACQEAWUEAAAAAAAAAAAkFAFlCAwAAAAAAAAAKBgBZQQAAAAAAAAAACgsAWUEAAAAAAAAAAAsMAFlBAAAAAAAAAAAMDQBZQQAAAAAAAAAADQ4AWUEAAAAAAAAAAA4KAFlBAAAAAAAAAAAAAAAAA==</t>
        </r>
      </text>
    </comment>
    <comment ref="A1231" authorId="0" shapeId="0" xr:uid="{69090758-85CB-451E-B03C-B375CFC4E58F}">
      <text>
        <r>
          <rPr>
            <sz val="9"/>
            <color indexed="81"/>
            <rFont val="MS P ゴシック"/>
            <family val="3"/>
            <charset val="128"/>
          </rPr>
          <t>Insight iXlW00001C0001231R0585476093S00002460P00664LAocjBAQBF1NjaVRlZ2ljLmRhdGEuTW9sZWN1bGUBbwF/ARJTY2lUZWdpYy5Nb2xlY3VsZQAAAQFkAv5qAQAAAAIAAiAcAAAA/PwA/AACAAAAAAAA8L8CsJRliGNd+b8CUdobfGEy6b8AAAAAGAAAAPz8APwAAgAAAAAAAPC/AkQc6+I2Guy/Aq5p3nGKjrS/AAAAABgAAAD8/AD8AAIAAAAAAADwvwKLjuTyH9LjvwKfzarP1VbsPwAAAAAYAAAA/PwA/AACAAAAAAAA8L8CiPTb14Fztj8CDQIrhxbZxj8AAAAAGAAAAPz8APwAAgAAAAAAAPC/AhQ/xty1hO4/AoPAyqFFtuU/AAAAABgAAAD8/AD8AAIAAAAAAADwvwKKH2PuWkL3PwIAAAAAAADIvwAAAAAYAAAA/PwA/AACAAAAAAAA8L8CkX77OnDO4j8CAAAAAAAA5r8AAAAAAREAAAD8/AD8AAIAAAAAAADwvwIs9pfdkwcCQAJsmnecoiOpPwAAAAAgBAABZQQAAAAAAAAAAAQIAWUEAAAAAAAAAAAIDAFlBAAAAAAAAAAADAQBZQQAAAAAAAAAAAwQAWUEAAAAAAAAAAAQFAFlBAAAAAAAAAAAFBgBZQQAAAAAAAAAABgMAWUEAAAAAAAAAAAAAAAA</t>
        </r>
      </text>
    </comment>
    <comment ref="A1232" authorId="0" shapeId="0" xr:uid="{D66F0958-1B55-4E69-AD37-3C5E14DF075A}">
      <text>
        <r>
          <rPr>
            <sz val="9"/>
            <color indexed="81"/>
            <rFont val="MS P ゴシック"/>
            <family val="3"/>
            <charset val="128"/>
          </rPr>
          <t>Insight iXlW00001C0001232R0585476093S00002462P00964LAocjBAQBF1NjaVRlZ2ljLmRhdGEuTW9sZWN1bGUBbwF/ARJTY2lUZWdpYy5Nb2xlY3VsZQAAAQFkAv5qAQAAAAIAAjAYAAAA/PwA/AACAAAAAAAA8L8CelioNc075j8CFoxK6gQ0kT8AAAAAGAAAAPz8APwAAgAAAAAAAPC/Aj0s1JrmHfs/AhaMSuoENJE/AAAAABgAAAD8/AD8AAIAAAAAAADwvwI1gLdAguL0vwIWjErqBDSRPwAAAAAgAAAA/PwA/AACAAAAAAAA8L8C5j+k376OAUACxm00gLdA7D8AAAAAGAAAAPz8APwAAgAAAAAAAPC/AonS3uALk8k/AoZa07zjFOu/AAAAABgAAAD8/AD8AAIAAAAAAADwvwKIhVrTvOPQvwLl8h/Sb1/bvwAAAAAYAAAA/PwA/AACAAAAAAAA8L8CAW+BBMWPyT8CZapgVFIn7D8AAAAAGAAAAPz8APwAAgAAAAAAAPC/Al5LyAc9m+m/AoZa07zjFOu/AAAAABgAAAD8/AD8AAIAAAAAAADwvwJvEoPAyqH/vwLl8h/Sb1/bvwAAAAAYAAAA/PwA/AACAAAAAAAA8L8CQKTfvg6c6b8CZapgVFIn7D8AAAAAIAAAAPz8APwAAgAAAAAAAPC/Ah8Wak3zjgFAAiNseHqlLOu/AAAAACAAAAD8/AD8AAIAAAAAAADwvwL/Q/rt60AAwAJ/+zpwzojmPwAAAAA0AAQBZQQAAAAAAAAAAAgkAWUEAAAAAAAAAAAMBAFlCAAAAAAAAAAAEAABZQQAAAAAAAAAABQAAWUEAAAAAAAAAAAYAAFlBAAAAAAAAAAAHBABZQQAAAAAAAAAACAUAWUEAAAAAAAAAAAkGAFlBAAAAAAAAAAAKAQBZQQAAAAAAAAAAAgsAWUEAAAAAAAAAAAgCAFlBAAAAAAAAAAAHAgBZQQAAAAAAAAAAAAAAAA=</t>
        </r>
      </text>
    </comment>
    <comment ref="A1233" authorId="0" shapeId="0" xr:uid="{E86EBD42-F0C6-4330-A84B-A151178E6CFB}">
      <text>
        <r>
          <rPr>
            <sz val="9"/>
            <color indexed="81"/>
            <rFont val="MS P ゴシック"/>
            <family val="3"/>
            <charset val="128"/>
          </rPr>
          <t>Insight iXlW00001C0001233R0585476093S00002464P01036LAocjBAQBF1NjaVRlZ2ljLmRhdGEuTW9sZWN1bGUBbwF/ARJTY2lUZWdpYy5Nb2xlY3VsZQAAAQFkAv5qAQAAAAIAAjQcAAAA/PwA/AACAAAAAAAA8L8CTYQNT6+U6T8CZapgVFIn5r8AAAAAGAAAAPz8APwAAgAAAAAAAPC/AmgibHh6pfo/ApOpglFJnci/AAAAABgAAAD8/AD8AAIAAAAAAADwvwLCqKROQBOxvwKTqYJRSZ3IvwAAAAAcAAAA/PwA/AACAAAAAAAA8L8CaCJseHql+j8CnFWfq63Y6T8AAAAAGAAAAPz8APwAAgAAAAAAAPC/AsKopE5AE7G/ApxVn6ut2Ok/AAAAABgAAAD8/AD8AAIAAAAAAADwvwKcVZ+rrdjtvwJlqmBUUifmvwAAAAAYAAAA/PwA/AACAAAAAAAA8L8CTYQNT6+U6T8CzqrP1Vbs9D8AAAAAIAAAAPz8APwAAgAAAAAAAPC/Ao6XbhKDQARAAmWqYFRSJ+a/AAAAABgAAAD8/AD8AAIAAAAAAADwvwKcVZ+rrdjtvwLOqs/VVuz0PwAAAAAYAAAA/PwA/AACAAAAAAAA8L8CEAu1pnnH/L8Ck6mCUUmdyL8AAAAAGAAAAPz8APwAAgAAAAAAAPC/Ai/dJAaBlek/AjNVMCqpE/u/AAAAABwAAAD8/AD8AAIAAAAAAADwvwKpNc07TlEFwAJlqmBUUifmvwAAAAAYAAAA/PwA/AACAAAAAAAA8L8CEAu1pnnH/L8CnFWfq63Y6T8AAAAAOAQAAWUEAAAAAAAAAAAIAAFlBAAAAAAAAAAADAQBZQQAAAAAAAAAABAIAWUEAAAAAAAAAAAUCAFlCAwAAAAAAAAAGBABZQQAAAAAAAAAABwEAWUIAAAAAAAAAAAgEAFlCAgAAAAAAAAAJBQBZQQAAAAAAAAAACgAAWUEAAAAAAAAAAAsJAFlBAAAAAAAAAAAMCQBZQgIAAAAAAAAAAwYAWUEAAAAAAAAAAAgMAFlBAAAAAAAAAAAAAAAAA==</t>
        </r>
      </text>
    </comment>
    <comment ref="A1234" authorId="0" shapeId="0" xr:uid="{58311629-A788-4E66-B4CE-10937D0976A0}">
      <text>
        <r>
          <rPr>
            <sz val="9"/>
            <color indexed="81"/>
            <rFont val="MS P ゴシック"/>
            <family val="3"/>
            <charset val="128"/>
          </rPr>
          <t>Insight iXlW00001C0001234R0585476093S00002466P00984LAocjBAQBF1NjaVRlZ2ljLmRhdGEuTW9sZWN1bGUBbwF/ARJTY2lUZWdpYy5Nb2xlY3VsZQAAAQFkAv5qAQAAAAIAAjQcAAAA/PwA/AACAAAAAAAA8L8CmP+Qfvs67r8CWMoyxLEu+r8AAAAAGAAAAPz8APwAAgAAAAAAAPC/Apj/kH77Ou6/ArCUZYhjXeS/AAAAABgAAAD8/AD8AAIAAAAAAADwvwIN4C2QoPj8vwK9UpYhjnXBvwAAAAAYAAAA/PwA/AACAAAAAAAA8L8CDeAtkKD4/L8CUWuad5yi6z8AAAAAHAAAAPz8APwAAgAAAAAAAPC/Apj/kH77Ou6/Aqk1zTtO0fU/AAAAABgAAAD8/AD8AAIAAAAAAADwvwKh+DHmriW0vwJRa5p3nKLrPwAAAAAYAAAA/PwA/AACAAAAAAAA8L8Cofgx5q4ltL8CvVKWIY51wb8AAAAAIAAAAPz8APwAAgAAAAAAAPC/Am+BBMWPMek/ArCUZYhjXeS/AAAAABgAAAD8/AD8AAIAAAAAAADwvwL5oGez6nP6PwK9UpYhjnXBvwAAAAAkAAAA/PwA/AACAAAAAAAA8L8C+aBns+pz+j8CUWuad5yi6z8AAAAAJAAAAPz8APwAAgAAAAAAAPC/Ap6AJsKGJwRAArCUZYhjXeS/AAAAAAERAAAA/PwA/AACAAAAAAAA8L8CBOeMKO2NCkAC2/l+arx0w78AAAAAAREAAAD8/AD8AAIAAAAAAADwvwIQ6bevA2cRQAI/V1uxv+y+vwAAAAAsAAQBZQQAAAAAAAAAAAQIAWUIDAAAAAAAAAAIDAFlBAAAAAAAAAAADBABZQgIAAAAAAAAABAUAWUEAAAAAAAAAAAUGAFlCAgAAAAAAAAAGAQBZQQAAAAAAAAAABgcAWUEAAAAAAAAAAAcIAFlBAAAAAAAAAAAICQBZQQAAAAAAAAAACAoAWUEAAAAAAAAAAAAAAAA</t>
        </r>
      </text>
    </comment>
    <comment ref="A1235" authorId="0" shapeId="0" xr:uid="{004B4E8C-3909-4CFC-A5BC-0B1626553745}">
      <text>
        <r>
          <rPr>
            <sz val="9"/>
            <color indexed="81"/>
            <rFont val="MS P ゴシック"/>
            <family val="3"/>
            <charset val="128"/>
          </rPr>
          <t>Insight iXlW00001C0001235R0585476093S00002468P00860LAocjBAQBF1NjaVRlZ2ljLmRhdGEuTW9sZWN1bGUBbwF/ARJTY2lUZWdpYy5Nb2xlY3VsZQAAAQFkAv5qAQAAAAIAAiwYAAAA/PwA/AACAAAAAAAA8L8C1sVtNIC3A0ACG55eKcsQ4z8AAAAAGAAAAPz8APwAAgAAAAAAAPC/Ap7vp8ZLN/g/AgmKH2PuWtI/AAAAABgAAAD8/AD8AAIAAAAAAADwvwITg8DKoUXzPwIZc9cS8kHlvwAAAAAYAAAA/PwA/AACAAAAAAAA8L8ClBgEVg4tyj8CGXPXEvJB5b8AAAAAHAAAAPz8APwAAgAAAAAAAPC/Ap2iI7n8h9i/AhgmUwWjkve/AAAAABwAAAD8/AD8AAIAAAAAAADwvwJ90LNZ9bm6vwJF2PD0SlnSPwAAAAAYAAAA/PwA/AACAAAAAAAA8L8CF9nO91Pj8L8CG55eKcsQ4z8AAAAAGAAAAPz8APwAAgAAAAAAAPC/AhALtaZ5x/y/AifChqdXyrK/AAAAACQAAAD8/AD8AAIAAAAAAADwvwJXfa62Yv8FwAJHA3gLJCjOPwAAAAAcAAAA/PwA/AACAAAAAAAA8L8CJQaBlUOL5j8ClkOLbOf76z8AAAAAAREAAAD8/AD8AAIAAAAAAADwvwI9LNSa5h0KQAKaCBueXinTvwAAAAAoAAQBZQQAAAAAAAAAAAQIAWUEAAAAAAAAAAAIDAFlCAwAAAAAAAAADBABZQQAAAAAAAAAAAwUAWUEAAAAAAAAAAAUGAFlBAAAAAAAAAAAGBwBZQQAAAAAAAAAABwgAWUEAAAAAAAAAAAUJAFlBAAAAAAAAAAAJAQBZQgMAAAAAAAAAAAAAAA=</t>
        </r>
      </text>
    </comment>
    <comment ref="A1236" authorId="0" shapeId="0" xr:uid="{78E1C851-4966-4C4C-B881-D53F62FE7CB2}">
      <text>
        <r>
          <rPr>
            <sz val="9"/>
            <color indexed="81"/>
            <rFont val="MS P ゴシック"/>
            <family val="3"/>
            <charset val="128"/>
          </rPr>
          <t>Insight iXlW00001C0001236R0585476093S00002470P01160LAocjBAQBF1NjaVRlZ2ljLmRhdGEuTW9sZWN1bGUBbwF/ARJTY2lUZWdpYy5Nb2xlY3VsZQAAAQFkAv5qAQAAAAIAAjwcAAAA/PwA/AACAAAAAAAA8L8CmpmZmZmZ3b8CV32utmJ/wT8AAAAAGAAAAPz8APwAAgAAAAAAAPC/ArByaJHtfPI/Ald9rrZif8E/AAAAABwAAAD8/AD8AAIAAAAAAADwvwJiMlUwKqnDvwLmP6Tfvg7qvwAAAAAYAAAA/PwA/AACAAAAAAAA8L8C0GbV52or1j8CyXa+nxov5z8AAAAAGAAAAPz8APwAAgAAAAAAAPC/AkoMAiuHFus/AuY/pN++Duq/AAAAABgAAAD8/AD8AAIAAAAAAADwvwJ1ApoIG572vwLZ8PRKWYbcPwAAAAAYAAAA/PwA/AACAAAAAAAA8L8C/0P67etAAcACR5T2Bl+YzL8AAAAAGAAAAPz8APwAAgAAAAAAAPC/AicxCKwc2gBAAp2iI7n8h9w/AAAAACAAAAD8/AD8AAIAAAAAAADwvwIy5q4l5IMCQALyY8xdS8j2PwAAAAAkAAAA/PwA/AACAAAAAAAA8L8CPnlYqDXN978CIbByaJHt7r8AAAAAJAAAAPz8APwAAgAAAAAAAPC/AvtcbcX+MgfAApDC9Shcj+y/AAAAACQAAAD8/AD8AAIAAAAAAADwvwJeS8gHPZsGwALgvg6cM6LgPwAAAAAgAAAA/PwA/AACAAAAAAAA8L8CJEp7gy/MBkACvjCZKhiVzL8AAAAAGAAAAPz8APwAAgAAAAAAAPC/AtBm1edqK9Y/AmU730+Nl/s/AAAAABgAAAD8/AD8AAIAAAAAAADwvwJuxf6ye/L2PwJ/jLlrCfn5vwAAAAA8BAwBZQgMAAAAAAAAAAgAAWUEAAAAAAAAAAAMAAFlBAAAAAAAAAAAEAgBZQgMAAAAAAAAABQAAWUEAAAAAAAAAAAYFAFlBAAAAAAAAAAAHAQBZQQAAAAAAAAAACAcAWUIAAAAAAAAAAAkGAFlBAAAAAAAAAAAKBgBZQQAAAAAAAAAACwYAWUEAAAAAAAAAAAwHAFlBAAAAAAAAAAANAwBZQQAAAAAAAAAADgQAWUEAAAAAAAAAAAQBAFlBAAAAAAAAAAAAAAAAA==</t>
        </r>
      </text>
    </comment>
    <comment ref="A1237" authorId="0" shapeId="0" xr:uid="{212E6CD2-90CD-468F-A97E-A70907C7A260}">
      <text>
        <r>
          <rPr>
            <sz val="9"/>
            <color indexed="81"/>
            <rFont val="MS P ゴシック"/>
            <family val="3"/>
            <charset val="128"/>
          </rPr>
          <t>Insight iXlW00001C0001237R0585476093S00002472P01016LAocjBAQBF1NjaVRlZ2ljLmRhdGEuTW9sZWN1bGUBbwF/ARJTY2lUZWdpYy5Nb2xlY3VsZQAAAQFkAv5qAQAAAAIAAjQYAAAA/PwA/AACAAAAAAAA8L8C/0P67evA5b8C1XjpJjEI4L8AAAAAHAAAAPz8APwAAgAAAAAAAPC/AmFUUiegicA/AuAtkKD4MbY/AAAAABwAAAD8/AD8AAIAAAAAAADwvwIvbqMBvAXuPwLVeOkmMQjgvwAAAAAYAAAA/PwA/AACAAAAAAAA8L8C0NVW7C+7178CelioNc07978AAAAAGAAAAPz8APwAAgAAAAAAAPC/Ag6+MJkqGPq/AnIbDeAtkMi/AAAAABgAAAD8/AD8AAIAAAAAAADwvwIYldQJaCLkPwJ6WKg1zTv3vwAAAAAYAAAA/PwA/AACAAAAAAAA8L8CYVRSJ6CJwD8C3gIJih9j8T8AAAAAIAAAAPz8APwAAgAAAAAAAPC/AsuhRbbz/QLAAlpkO99Pjeu/AAAAACAAAAD8/AD8AAIAAAAAAADwvwKze/KwUGv9vwKaCBueXinpPwAAAAAYAAAA/PwA/AACAAAAAAAA8L8CnFWfq63Y7z8C3gIJih9j+T8AAAAAGAAAAPz8APwAAgAAAAAAAPC/Aka28/3UePM/AoLix5i7FgLAAAAAABgAAAD8/AD8AAIAAAAAAADwvwKcVZ+rrdjvPwJvgQTFj7EEQAAAAAAYAAAA/PwA/AACAAAAAAAA8L8CEAu1pnnH/T8C3gIJih9j8T8AAAAANAQAAWUEAAAAAAAAAAAIBAFlBAAAAAAAAAAADAABZQgIAAAAAAAAABAAAWUEAAAAAAAAAAAUDAFlBAAAAAAAAAAAGAQBZQQAAAAAAAAAABwQAWUIAAAAAAAAAAAgEAFlBAAAAAAAAAAAJBgBZQQAAAAAAAAAACgUAWUEAAAAAAAAAAAsJAFlBAAAAAAAAAAAMCQBZQQAAAAAAAAAAAgUAWUICAAAAAAAAAAAAAAA</t>
        </r>
      </text>
    </comment>
    <comment ref="A1238" authorId="0" shapeId="0" xr:uid="{539E6B40-4230-48D3-BF16-4F1B54489E18}">
      <text>
        <r>
          <rPr>
            <sz val="9"/>
            <color indexed="81"/>
            <rFont val="MS P ゴシック"/>
            <family val="3"/>
            <charset val="128"/>
          </rPr>
          <t>Insight iXlW00001C0001238R0585476093S00002474P01036LAocjBAQBF1NjaVRlZ2ljLmRhdGEuTW9sZWN1bGUBbwF/ARJTY2lUZWdpYy5Nb2xlY3VsZQAAAQFkAv5qAQAAAAIAAjQYAAAA/PwA/AACAAAAAAAA8L8CT9GRXP5D3j8CHjhnRGlv0L8AAAAAHAAAAPz8APwAAgAAAAAAAPC/AsuhRbbz/cQ/Ai1DHOviNuY/AAAAABwAAAD8/AD8AAIAAAAAAADwvwKo6Egu/yHvPwJQjZduEoP0PwAAAAAYAAAA/PwA/AACAAAAAAAA8L8CVHQkl/+Q9z8C4umVsgxx0L8AAAAAGAAAAPz8APwAAgAAAAAAAPC/AmB2Tx4War2/ApM6AU2EDfG/AAAAABgAAAD8/AD8AAIAAAAAAADwvwLf4AuTqYL8PwItQxzr4jbmPwAAAAAYAAAA/PwA/AACAAAAAAAA8L8Cq8/VVuwv6b8CIo51cRsN8D8AAAAAGAAAAPz8APwAAgAAAAAAAPC/Al1txf6ye/i/Aov9ZffkYdU/AAAAABgAAAD8/AD8AAIAAAAAAADwvwKMSuoENBEEwAJlqmBUUifAPwAAAAAYAAAA/PwA/AACAAAAAAAA8L8CWoY41sVt/b8CWDm0yHa+478AAAAAIAAAAPz8APwAAgAAAAAAAPC/AltCPujZrNI/Agg9m1Wfq/+/AAAAACAAAAD8/AD8AAIAAAAAAADwvwId6+I2GsDxvwJSSZ2AJsLuvwAAAAAYAAAA/PwA/AACAAAAAAAA8L8Cd76fGi/dBUACIo51cRsN8D8AAAAAOAQAAWUEAAAAAAAAAAAIBAFlBAAAAAAAAAAADAABZQgIAAAAAAAAABAAAWUEAAAAAAAAAAAUDAFlBAAAAAAAAAAAGAQBZQQAAAAAAAAAABwYAWUEAAAAAAAAAAAgHAFlBAAAAAAAAAAAJBwBZQQAAAAAAAAAACgQAWUIAAAAAAAAAAAsEAFlBAAAAAAAAAAAMBQBZQQAAAAAAAAAAAgUAWUICAAAAAAAAAAkIAFlBAAAAAAAAAAAAAAAAA==</t>
        </r>
      </text>
    </comment>
    <comment ref="A1239" authorId="0" shapeId="0" xr:uid="{B7989F3D-5527-443A-9ECB-60D91363DE3E}">
      <text>
        <r>
          <rPr>
            <sz val="9"/>
            <color indexed="81"/>
            <rFont val="MS P ゴシック"/>
            <family val="3"/>
            <charset val="128"/>
          </rPr>
          <t>Insight iXlW00001C0001239R0585476093S00002476P01104LAocjBAQBF1NjaVRlZ2ljLmRhdGEuTW9sZWN1bGUBbwF/ARJTY2lUZWdpYy5Nb2xlY3VsZQAAAQFkAv5qAQAAAAIAAjgYAAAA/PwA/AACAAAAAAAA8L8C2c73U+Ol678COpLLf0i/5b8AAAAAHAAAAPz8APwAAgAAAAAAAPC/Ailcj8L1KKy/AkqdgCbChre/AAAAABwAAAD8/AD8AAIAAAAAAADwvwJU46WbxCDoPwI6kst/SL/lvwAAAAAYAAAA/PwA/AACAAAAAAAA8L8Cw/UoXI/C4b8CLGUZ4lgX+r8AAAAAGAAAAPz8APwAAgAAAAAAAPC/AnyDL0ymCv2/AoPAyqFFtte/AAAAABgAAAD8/AD8AAIAAAAAAADwvwJ7FK5H4XrcPwIsZRniWBf6vwAAAAAYAAAA/PwA/AACAAAAAAAA8L8CKVyPwvUorL8CV+wvuycP7T8AAAAAIAAAAPz8APwAAgAAAAAAAPC/AoIExY8xdwTAAuC+DpwzovC/AAAAACAAAAD8/AD8AAIAAAAAAADwvwKQoPgx5i4AwAJTliGOdXHjPwAAAAAYAAAA/PwA/AACAAAAAAAA8L8CwcqhRbbz6T8CLPaX3ZOH9j8AAAAAGAAAAPz8APwAAgAAAAAAAPC/Atjw9EpZhvA/AtxoAG+BhAPAAAAAABgAAAD8/AD8AAIAAAAAAADwvwIMk6mCUUkAQAJd/kP67esAQAAAAAAYAAAA/PwA/AACAAAAAAAA8L8CyzLEsS5u/D8CT6+UZYhj8j8AAAAAGAAAAPz8APwAAgAAAAAAAPC/Aj0s1JrmHfE/AsuhRbbz/QJAAAAAADwEAAFlBAAAAAAAAAAACAQBZQQAAAAAAAAAAAwAAWUICAAAAAAAAAAQAAFlBAAAAAAAAAAAFAwBZQQAAAAAAAAAABgEAWUEAAAAAAAAAAAcEAFlCAAAAAAAAAAAIBABZQQAAAAAAAAAACQYAWUEAAAAAAAAAAAoFAFlBAAAAAAAAAAALDQBZQQAAAAAAAAAADAkAWUEAAAAAAAAAAA0JAFlBAAAAAAAAAAACBQBZQgIAAAAAAAAADAsAWUEAAAAAAAAAAAAAAAA</t>
        </r>
      </text>
    </comment>
    <comment ref="A1240" authorId="0" shapeId="0" xr:uid="{4E42D3D6-31B4-4835-86AE-C785B4E50FD8}">
      <text>
        <r>
          <rPr>
            <sz val="9"/>
            <color indexed="81"/>
            <rFont val="MS P ゴシック"/>
            <family val="3"/>
            <charset val="128"/>
          </rPr>
          <t>Insight iXlW00001C0001240R0585476093S00002478P01176LAocjBAQBF1NjaVRlZ2ljLmRhdGEuTW9sZWN1bGUBbwF/ARJTY2lUZWdpYy5Nb2xlY3VsZQAAAQFkAv5qAQAAAAIAAjwYAAAA/PwA/AACAAAAAAAA8L8C5fIf0m9f8D8CAwmKH2Puqj8AAAAAHAAAAPz8APwAAgAAAAAAAPC/AgjOGVHaG7w/AtgS8kHPZt0/AAAAABwAAAD8/AD8AAIAAAAAAADwvwLLMsSxLm7LPwL7y+7Jw0L3PwAAAAAYAAAA/PwA/AACAAAAAAAA8L8CFa5H4XoU+z8CoKut2F926T8AAAAAGAAAAPz8APwAAgAAAAAAAPC/AvtcbcX+svM/AueuJeSDnu2/AAAAABgAAAD8/AD8AAIAAAAAAADwvwLChqdXyjLovwJFaW/whcmkvwAAAAAYAAAA/PwA/AACAAAAAAAA8L8CFa5H4XoU8z8Cg+LHmLuW+j8AAAAAHAAAAPz8APwAAgAAAAAAAPC/AqMjufyH9Pm/AtgS8kHPZt0/AAAAACAAAAD8/AD8AAIAAAAAAADwvwJMpgpGJXUBQAL/Q/rt68DzvwAAAAAgAAAA/PwA/AACAAAAAAAA8L8CCawcWmQ73z8CMuauJeSD+b8AAAAAGAAAAPz8APwAAgAAAAAAAPC/AsKGp1fKMui/Akp7gy9MpvC/AAAAABgAAAD8/AD8AAIAAAAAAADwvwISNjy9Upb5PwJDHOviNpoEQAAAAAAYAAAA/PwA/AACAAAAAAAA8L8C8kHPZtXnA8ACRWlv8IXJpL8AAAAAGAAAAPz8APwAAgAAAAAAAPC/AqMjufyH9Pm/Akp7gy9Mpvi/AAAAABgAAAD8/AD8AAIAAAAAAADwvwLyQc9m1ecDwAJKe4MvTKbwvwAAAAABEAQAAWUEAAAAAAAAAAAIBAFlBAAAAAAAAAAADAABZQgIAAAAAAAAABAAAWUEAAAAAAAAAAAUBAFlBAAAAAAAAAAAGAwBZQQAAAAAAAAAABwUAWUEAAAAAAAAAAAgEAFlCAAAAAAAAAAAJBABZQQAAAAAAAAAACgUAWUIDAAAAAAAAAAsGAFlBAAAAAAAAAAAMBwBZQgIAAAAAAAAADQoAWUEAAAAAAAAAAA4NAFlCAgAAAAAAAAACBgBZQgIAAAAAAAAADA4AWUEAAAAAAAAAAAAAAAA</t>
        </r>
      </text>
    </comment>
    <comment ref="A1241" authorId="0" shapeId="0" xr:uid="{B99B2367-8278-4F02-AD4F-1A80BA72E347}">
      <text>
        <r>
          <rPr>
            <sz val="9"/>
            <color indexed="81"/>
            <rFont val="MS P ゴシック"/>
            <family val="3"/>
            <charset val="128"/>
          </rPr>
          <t>Insight iXlW00001C0001241R0585476093S00002480P01036LAocjBAQBF1NjaVRlZ2ljLmRhdGEuTW9sZWN1bGUBbwF/ARJTY2lUZWdpYy5Nb2xlY3VsZQAAAQFkAv5qAQAAAAIAAjQYAAAA/PwA/AACAAAAAAAA8L8Cxm00gLdA8D8CQYLix5i71r8AAAAAHAAAAPz8APwAAgAAAAAAAPC/AnZxGw3gLZA/AkGC4seYu9a/AAAAABwAAAD8/AD8AAIAAAAAAADwvwJSSZ2AJsLSvwIbnl4pyxDjPwAAAAAYAAAA/PwA/AACAAAAAAAA8L8CUdobfGEy9T8C/fZ14JwR4z8AAAAAGAAAAPz8APwAAgAAAAAAAPC/AozbaABvgeA/Ase6uI0G8PI/AAAAABgAAAD8/AD8AAIAAAAAAADwvwKA2T15WKj5PwIcDeAtkKDyvwAAAAAYAAAA/PwA/AACAAAAAAAA8L8CY+5aQj7o878CFNBE2PD07D8AAAAAGAAAAPz8APwAAgAAAAAAAPC/AlwgQfFjzP+/AtBm1edqK84/AAAAABgAAAD8/AD8AAIAAAAAAADwvwLTTWIQWLkHwALzsFBrmnecPwAAAAAYAAAA/PwA/AACAAAAAAAA8L8CdEaU9gZfAsACiIVa07zj5r8AAAAAIAAAAPz8APwAAgAAAAAAAPC/ApvmHafoyARAAqMjufyH9PC/AAAAACAAAAD8/AD8AAIAAAAAAADwvwKDUUmdgCbzPwLJBz2bVZ8AwAAAAAAYAAAA/PwA/AACAAAAAAAA8L8CqoJRSZ2A4D8CZF3cRgN4AUAAAAAAOAQAAWUICAAAAAAAAAAIBAFlBAAAAAAAAAAADAABZQQAAAAAAAAAABAMAWUIDAAAAAAAAAAUAAFlBAAAAAAAAAAAGAgBZQQAAAAAAAAAABwYAWUEAAAAAAAAAAAgHAFlBAAAAAAAAAAAJBwBZQQAAAAAAAAAACgUAWUIAAAAAAAAAAAsFAFlBAAAAAAAAAAAMBABZQQAAAAAAAAAAAgQAWUEAAAAAAAAAAAkIAFlBAAAAAAAAAAAAAAAAA==</t>
        </r>
      </text>
    </comment>
    <comment ref="A1242" authorId="0" shapeId="0" xr:uid="{6FCE5D38-2E7D-49A4-A9FD-993A307BDF88}">
      <text>
        <r>
          <rPr>
            <sz val="9"/>
            <color indexed="81"/>
            <rFont val="MS P ゴシック"/>
            <family val="3"/>
            <charset val="128"/>
          </rPr>
          <t>Insight iXlW00001C0001242R0585476093S00002482P01104LAocjBAQBF1NjaVRlZ2ljLmRhdGEuTW9sZWN1bGUBbwF/ARJTY2lUZWdpYy5Nb2xlY3VsZQAAAQFkAv5qAQAAAAIAAjgYAAAA/PwA/AACAAAAAAAA8L8C2/l+arx08z8Cak3zjlN01L8AAAAAHAAAAPz8APwAAgAAAAAAAPC/AlFrmnecoss/AmpN845TdNS/AAAAABwAAAD8/AD8AAIAAAAAAADwvwICK4cW2c63vwKHONbFbTTkPwAAAAAYAAAA/PwA/AACAAAAAAAA8L8CZ2ZmZmZm+D8ChzjWxW005D8AAAAAGAAAAPz8APwAAgAAAAAAAPC/AtSa5h2n6OY/Av2H9NvXgfM/AAAAABgAAAD8/AD8AAIAAAAAAADwvwKVZYhjXdz8PwJX7C+7Jw/yvwAAAAAYAAAA/PwA/AACAAAAAAAA8L8Cvw6cM6K08L8CnRGlvcEX7j8AAAAAIAAAAPz8APwAAgAAAAAAAPC/AqYsQxzrYgZAAm1Wfa62YvC/AAAAACAAAAD8/AD8AAIAAAAAAADwvwInMQisHFr2PwIuIR/0bFYAwAAAAAAYAAAA/PwA/AACAAAAAAAA8L8CR5T2Bl+Y/L8CPujZrPpc0T8AAAAAGAAAAPz8APwAAgAAAAAAAPC/AtSa5h2n6OY/Av9D+u3rwAFAAAAAABgAAAD8/AD8AAIAAAAAAADwvwK/DpwzorQGwAKamZmZmZnlvwAAAAAYAAAA/PwA/AACAAAAAAAA8L8CPN9PjZdu/b8ChC9MpgpG578AAAAAGAAAAPz8APwAAgAAAAAAAPC/AgyTqYJRSQbAAhIUP8bctdQ/AAAAADwEAAFlCAgAAAAAAAAACAQBZQQAAAAAAAAAAAwAAWUEAAAAAAAAAAAQDAFlCAwAAAAAAAAAFAABZQQAAAAAAAAAABgIAWUEAAAAAAAAAAAcFAFlCAAAAAAAAAAAIBQBZQQAAAAAAAAAACQYAWUEAAAAAAAAAAAoEAFlBAAAAAAAAAAALDQBZQQAAAAAAAAAADAkAWUEAAAAAAAAAAA0JAFlBAAAAAAAAAAACBABZQQAAAAAAAAAADAsAWUEAAAAAAAAAAAAAAAA</t>
        </r>
      </text>
    </comment>
    <comment ref="A1243" authorId="0" shapeId="0" xr:uid="{75F0F31B-EA47-46F2-87BF-A5D835CD7D17}">
      <text>
        <r>
          <rPr>
            <sz val="9"/>
            <color indexed="81"/>
            <rFont val="MS P ゴシック"/>
            <family val="3"/>
            <charset val="128"/>
          </rPr>
          <t>Insight iXlW00001C0001243R0585476093S00002484P01088LAocjBAQBF1NjaVRlZ2ljLmRhdGEuTW9sZWN1bGUBbwF/ARJTY2lUZWdpYy5Nb2xlY3VsZQAAAQFkAv5qAQAAAAIAAjgcAAAA/PwA/AACAAAAAAAA8L8CtaZ5xyk6sr8CveMUHcnl+r8AAAAAGAAAAPz8APwAAgAAAAAAAPC/Ar7BFyZTBe0/AhgmUwWjkve/AAAAABgAAAD8/AD8AAIAAAAAAADwvwLb+X5qvHTzPwISFD/G3LXgvwAAAAAYAAAA/PwA/AACAAAAAAAA8L8C9UpZhjhWAUAC7uvAOSNKy78AAAAAHAAAAPz8APwAAgAAAAAAAPC/AvVKWYY4VgFAAgXFjzF3Lek/AAAAABgAAAD8/AD8AAIAAAAAAADwvwLb+X5qvHTzPwIOT6+UZYjxPwAAAAAcAAAA/PwA/AACAAAAAAAA8L8CJnUCmggb5D8CCYofY+5a0j8AAAAAGAAAAPz8APwAAgAAAAAAAPC/ArYV+8vuyde/AgmKH2PuWtI/AAAAABgAAAD8/AD8AAIAAAAAAADwvwLbiv1l9+TrvwJ/+zpwzojivwAAAAAYAAAA/PwA/AACAAAAAAAA8L8CbsX+snvy/b8Cf/s6cM6I4r8AAAAAIAAAAPz8APwAAgAAAAAAAPC/Ardif9k9+QLAAgmKH2PuWtI/AAAAABgAAAD8/AD8AAIAAAAAAADwvwJuxf6ye/L9vwLEQq1p3nHyPwAAAAAYAAAA/PwA/AACAAAAAAAA8L8C24r9Zffk678CxEKtad5x8j8AAAAAAREAAAD8/AD8AAIAAAAAAADwvwJcsb/snrwHQAIQ6bevA+fQvwAAAAA4AAQBZQQAAAAAAAAAAAQIAWUEAAAAAAAAAAAIDAFlCAwAAAAAAAAADBABZQQAAAAAAAAAABAUAWUICAAAAAAAAAAUGAFlBAAAAAAAAAAAGAgBZQQAAAAAAAAAABgcAWUEAAAAAAAAAAAcIAFlBAAAAAAAAAAAICQBZQQAAAAAAAAAACQoAWUEAAAAAAAAAAAoLAFlBAAAAAAAAAAALDABZQQAAAAAAAAAADAcAWUEAAAAAAAAAAAAAAAA</t>
        </r>
      </text>
    </comment>
    <comment ref="A1244" authorId="0" shapeId="0" xr:uid="{7B80F57D-6D36-42E5-B349-243A19908EA6}">
      <text>
        <r>
          <rPr>
            <sz val="9"/>
            <color indexed="81"/>
            <rFont val="MS P ゴシック"/>
            <family val="3"/>
            <charset val="128"/>
          </rPr>
          <t>Insight iXlW00001C0001244R0585476093S00002486P01104LAocjBAQBF1NjaVRlZ2ljLmRhdGEuTW9sZWN1bGUBbwF/ARJTY2lUZWdpYy5Nb2xlY3VsZQAAAQFkAv5qAQAAAAIAAjgcAAAA/PwA/AACAAAAAAAA8L8CbqMBvAUS5r8CvCcPC7Wm6z8AAAAAHAAAAPz8APwAAgAAAAAAAPC/Atqs+lxtxeY/AmkAb4EExfo/AAAAABgAAAD8/AD8AAIAAAAAAADwvwLqJjEIrBzSvwLi6ZWyDHH8PwAAAAAYAAAA/PwA/AACAAAAAAAA8L8CB4GVQ4ts7T8CXLG/7J485j8AAAAAGAAAAPz8APwAAgAAAAAAAPC/AjIIrBxaZKs/Am7F/rJ78sg/AAAAABgAAAD8/AD8AAIAAAAAAADwvwICTYQNT6/6vwKPU3Qkl//kPwAAAAAYAAAA/PwA/AACAAAAAAAA8L8CxSCwcmiR/D8CbsX+snvyyD8AAAAAGAAAAPz8APwAAgAAAAAAAPC/Ao25awn5oP+/Ah3J5T+k39K/AAAAABgAAAD8/AD8AAIAAAAAAADwvwIyCKwcWmSrPwKlTkATYcPpvwAAAAAgAAAA/PwA/AACAAAAAAAA8L8CzqrP1Vbs9L8Cz/dT46Wb8L8AAAAAGAAAAPz8APwAAgAAAAAAAPC/AsUgsHJokfw/AsP1KFyPwum/AAAAABgAAAD8/AD8AAIAAAAAAADwvwIHgZVDi2ztPwLiehSuR+H0vwAAAAAgAAAA/PwA/AACAAAAAAAA8L8CpHA9CtejB8ACu7iNBvAW4L8AAAAAJAAAAPz8APwAAgAAAAAAAPC/AoPAyqFFNgVAAuJ6FK5H4fS/AAAAADwECAFlCAgAAAAAAAAACAABZQQAAAAAAAAAAAwQAWUIDAAAAAAAAAAQAAFlBAAAAAAAAAAAFAABZQQAAAAAAAAAABgMAWUEAAAAAAAAAAAcFAFlBAAAAAAAAAAAIBABZQQAAAAAAAAAACQcAWUIAAAAAAAAAAAoLAFlBAAAAAAAAAAALCABZQgIAAAAAAAAADAcAWUEAAAAAAAAAAA0KAFlBAAAAAAAAAAABAwBZQQAAAAAAAAAABgoAWUICAAAAAAAAAAAAAAA</t>
        </r>
      </text>
    </comment>
    <comment ref="A1245" authorId="0" shapeId="0" xr:uid="{582199CC-7BCD-45EF-B32F-0C7FD73AE5A2}">
      <text>
        <r>
          <rPr>
            <sz val="9"/>
            <color indexed="81"/>
            <rFont val="MS P ゴシック"/>
            <family val="3"/>
            <charset val="128"/>
          </rPr>
          <t>Insight iXlW00001C0001245R0585476093S00002488P00844LAocjBAQBF1NjaVRlZ2ljLmRhdGEuTW9sZWN1bGUBbwF/ARJTY2lUZWdpYy5Nb2xlY3VsZQAAAQFkAv5qAQAAAAIAAiwcAAAA/PwA/AACAAAAAAAA8L8Cnl4pyxDHAcAC4L4OnDOi6L8AAAAAGAAAAPz8APwAAgAAAAAAAPC/Aj29UpYhjvu/AhwN4C2QoLg/AAAAABgAAAD8/AD8AAIAAAAAAADwvwJ5eqUsQxznvwIcDeAtkKC4PwAAAAAYAAAA/PwA/AACAAAAAAAA8L8C4umVsgxxzL8CJ8KGp1fK7j8AAAAAGAAAAPz8APwAAgAAAAAAAPC/AoiFWtO84+g/Agkbnl4py+4/AAAAABgAAAD8/AD8AAIAAAAAAADwvwLEQq1p3nH0PwIcDeAtkKC4PwAAAAAkAAAA/PwA/AACAAAAAAAA8L8CYqHWNO84AkACHA3gLZCguD8AAAAAGAAAAPz8APwAAgAAAAAAAPC/AoiFWtO84+g/AuC+Dpwzoui/AAAAABwAAAD8/AD8AAIAAAAAAADwvwLi6ZWyDHHMvwLgvg6cM6LovwAAAAABEQAAAPz8APwAAgAAAAAAAPC/AskHPZtVnwhAAvGFyVTBqLQ/AAAAAAERAAAA/PwA/AACAAAAAAAA8L8Cc/kP6bdvEEACaCJseHqlvD8AAAAAJAAEAWUEAAAAAAAAAAAECAFlBAAAAAAAAAAACAwBZQgMAAAAAAAAAAwQAWUEAAAAAAAAAAAQFAFlCAwAAAAAAAAAFBgBZQQAAAAAAAAAABQcAWUEAAAAAAAAAAAcIAFlCAgAAAAAAAAAIAgBZQQAAAAAAAAAAAAAAAA=</t>
        </r>
      </text>
    </comment>
    <comment ref="A1246" authorId="0" shapeId="0" xr:uid="{CA8059D7-BE9B-4A4A-8BD1-B610F07721F3}">
      <text>
        <r>
          <rPr>
            <sz val="9"/>
            <color indexed="81"/>
            <rFont val="MS P ゴシック"/>
            <family val="3"/>
            <charset val="128"/>
          </rPr>
          <t>Insight iXlW00001C0001246R0585476093S00002490P01016LAocjBAQBF1NjaVRlZ2ljLmRhdGEuTW9sZWN1bGUBbwF/ARJTY2lUZWdpYy5Nb2xlY3VsZQAAAQFkAv5qAQAAAAIAAjQYAAAA/PwA/AACAAAAAAAA8L8CK6kT0ETY/T8Cc/kP6bevwz8AAAAAGAAAAPz8APwAAgAAAAAAAPC/AtKRXP5D+u8/AkcDeAskKNa/AAAAABgAAAD8/AD8AAIAAAAAAADwvwKx4emVsgzBPwKkAbwFEhTrvwAAAAAgAAAA/PwA/AACAAAAAAAA8L8CK6kT0ETY/T8CL/8h/fZ18j8AAAAAIAAAAPz8APwAAgAAAAAAAPC/Akhy+Q/ptwPAAl3+Q/rt6+Q/AAAAACAAAAD8/AD8AAIAAAAAAADwvwK2hHzQs9kFQAJHA3gLJCjWvwAAAAAYAAAA/PwA/AACAAAAAAAA8L8CF0hQ/Bhz578CRwN4CyQo1r8AAAAAGAAAAPz8APwAAgAAAAAAAPC/AqMjufyH9N8/AsIXJlMFo+A/AAAAABgAAAD8/AD8AAIAAAAAAADwvwLpSC7/If33PwIUYcPTK2XzvwAAAAAYAAAA/PwA/AACAAAAAAAA8L8CSHL5D+m3A8ACg1FJnYAm1r8AAAAAGAAAAPz8APwAAgAAAAAAAPC/Ak2EDU+vlPm/Ai//If32dfI/AAAAABgAAAD8/AD8AAIAAAAAAADwvwJNhA1Pr5T5vwLCqKROQBPrvwAAAAAYAAAA/PwA/AACAAAAAAAA8L8CF0hQ/Bhz578CXf5D+u3r5D8AAAAANAQAAWUEAAAAAAAAAAAIBAFlBAAAAAAAAAAADAABZQgAAAAAAAAAABAoAWUEAAAAAAAAAAAUAAFlBAAAAAAAAAAAGAgBZQQAAAAAAAAAABwEAWUEAAAAAAAAAAAgBAFlBAAAAAAAAAAAJCwBZQQAAAAAAAAAACgwAWUEAAAAAAAAAAAsGAFlBAAAAAAAAAAAMBgBZQQAAAAAAAAAACQQAWUEAAAAAAAAAAAAAAAA</t>
        </r>
      </text>
    </comment>
    <comment ref="A1247" authorId="0" shapeId="0" xr:uid="{31E9FDEC-0CAC-4555-A42E-6D8097409840}">
      <text>
        <r>
          <rPr>
            <sz val="9"/>
            <color indexed="81"/>
            <rFont val="MS P ゴシック"/>
            <family val="3"/>
            <charset val="128"/>
          </rPr>
          <t>Insight iXlW00001C0001247R0585476093S00002492P01196LAocjBAQBF1NjaVRlZ2ljLmRhdGEuTW9sZWN1bGUBbwF/ARJTY2lUZWdpYy5Nb2xlY3VsZQAAAQFkAv5qAQAAAAIAAjwYAAAA/PwA/AACAAAAAAAA8L8CDk+vlGWIwz8CL26jAbwF5D8AAAAAGAAAAPz8APwAAgAAAAAAAPC/Ai6QoPgx5uK/AhODwMqhRaa/AAAAABgAAAD8/AD8AAIAAAAAAADwvwJseHqlLEPQvwIcDeAtkKD4PwAAAAAcAAAA/PwA/AACAAAAAAAA8L8C0pFc/kP6878CoyO5/If09j8AAAAAGAAAAPz8APwAAgAAAAAAAPC/AlmoNc07Tve/Ap7vp8ZLN90/AAAAABgAAAD8/AD8AAIAAAAAAADwvwJMN4lBYOXivwIZBFYOLbLwvwAAAAAYAAAA/PwA/AACAAAAAAAA8L8CLGUZ4lgX8j8CBTQRNjy92j8AAAAAIAAAAPz8APwAAgAAAAAAAPC/AqjGSzeJQQRAAih+jLlrCdm/AAAAACQAAAD8/AD8AAIAAAAAAADwvwJvEoPAyqHRPwIZBFYOLbL4vwAAAAAYAAAA/PwA/AACAAAAAAAA8L8CmpmZmZmZ+D8C0NVW7C+7378AAAAAGAAAAPz8APwAAgAAAAAAAPC/Ak2EDU+vlALAAqhXyjLEsfC/AAAAABgAAAD8/AD8AAIAAAAAAADwvwJNhA1Pr5QCwAITg8DKoUWmvwAAAAAYAAAA/PwA/AACAAAAAAAA8L8CWag1zTtO978CqFfKMsSx+L8AAAAAGAAAAPz8APwAAgAAAAAAAPC/ArN78rBQ6wVAAoC3QILix+I/AAAAABgAAAD8/AD8AAIAAAAAAADwvwIll/+Qfvv9PwLAWyBB8WPxPwAAAAABEQQAAWUEAAAAAAAAAAAIAAFlCAgAAAAAAAAADAgBZQQAAAAAAAAAABAEAWUIDAAAAAAAAAAUBAFlBAAAAAAAAAAAGAABZQQAAAAAAAAAABwkAWUEAAAAAAAAAAAgFAFlBAAAAAAAAAAAJBgBZQQAAAAAAAAAACgwAWUEAAAAAAAAAAAsEAFlBAAAAAAAAAAAMBQBZQgIAAAAAAAAADQ4AWUEAAAAAAAAAAA4GAFlBAAAAAAAAAAAEAwBZQQAAAAAAAAAABw0AWUEAAAAAAAAAAAsKAFlCAgAAAAAAAAAAAAAAA==</t>
        </r>
      </text>
    </comment>
    <comment ref="A1248" authorId="0" shapeId="0" xr:uid="{A897EA33-E851-4E44-8C22-F0AE930DE4BD}">
      <text>
        <r>
          <rPr>
            <sz val="9"/>
            <color indexed="81"/>
            <rFont val="MS P ゴシック"/>
            <family val="3"/>
            <charset val="128"/>
          </rPr>
          <t>Insight iXlW00001C0001248R0585476093S00002494P01196LAocjBAQBF1NjaVRlZ2ljLmRhdGEuTW9sZWN1bGUBbwF/ARJTY2lUZWdpYy5Nb2xlY3VsZQAAAQFkAv5qAQAAAAIAAjwYAAAA/PwA/AACAAAAAAAA8L8CJQaBlUOL2L8CwTkjSnuD3z8AAAAAHAAAAPz8APwAAgAAAAAAAPC/Aio6kst/SPA/Avw6cM6I0vQ/AAAAABgAAAD8/AD8AAIAAAAAAADwvwLhnBGlvcGXPwJ1JJf/kH72PwAAAAAYAAAA/PwA/AACAAAAAAAA8L8C+g/pt68D1z8C/mX35GGhxr8AAAAAGAAAAPz8APwAAgAAAAAAAPC/AkCk374OnPM/AgJNhA1Pr9Q/AAAAABgAAAD8/AD8AAIAAAAAAADwvwJ5WKg1zbsAQAL+ZffkYaHGvwAAAAAYAAAA/PwA/AACAAAAAAAA8L8CRWlv8IXJ9b8CpN++Dpwz0j8AAAAAIAAAAPz8APwAAgAAAAAAAPC/AoenV8oyxAfAAmTMXUvIB90/AAAAACQAAAD8/AD8AAIAAAAAAADwvwKaCBueXqkHQAICTYQNT6/UPwAAAAAYAAAA/PwA/AACAAAAAAAA8L8C+g/pt68D1z8CwOyePCzU8r8AAAAAGAAAAPz8APwAAgAAAAAAAPC/Ap/Nqs/V1gDAAjLmriXkg+4/AAAAABgAAAD8/AD8AAIAAAAAAADwvwJApN++DpzzPwLA7J48LNT6vwAAAAAYAAAA/PwA/AACAAAAAAAA8L8CQYLix5i7AEACwOyePCzU8r8AAAAAGAAAAPz8APwAAgAAAAAAAPC/ArXIdr6fGgbAAmMQWDm0yOC/AAAAABgAAAD8/AD8AAIAAAAAAADwvwJC8WPMXUv8vwI2PL1SliHkvwAAAAABEQQIAWUEAAAAAAAAAAAIAAFlCAgAAAAAAAAADAABZQQAAAAAAAAAABAMAWUIDAAAAAAAAAAUEAFlBAAAAAAAAAAAGAABZQQAAAAAAAAAABwoAWUEAAAAAAAAAAAgFAFlBAAAAAAAAAAAJAwBZQQAAAAAAAAAACgYAWUEAAAAAAAAAAAsJAFlCAgAAAAAAAAAMCwBZQQAAAAAAAAAADQ4AWUEAAAAAAAAAAA4GAFlBAAAAAAAAAAAEAQBZQQAAAAAAAAAABw0AWUEAAAAAAAAAAAUMAFlCAgAAAAAAAAAAAAAAA==</t>
        </r>
      </text>
    </comment>
    <comment ref="A1249" authorId="0" shapeId="0" xr:uid="{D42DAF37-0E56-400E-8150-86398E2BDF90}">
      <text>
        <r>
          <rPr>
            <sz val="9"/>
            <color indexed="81"/>
            <rFont val="MS P ゴシック"/>
            <family val="3"/>
            <charset val="128"/>
          </rPr>
          <t>Insight iXlW00001C0001249R0585476093S00002496P01320LAocjBAQBF1NjaVRlZ2ljLmRhdGEuTW9sZWN1bGUBbwF/ARJTY2lUZWdpYy5Nb2xlY3VsZQAAAQFkAv5qAQAAAAIAAgERJAAAAPz8APwAAgAAAAAAAPC/AlHaG3xhMglAAo9TdCSX/9Q/AAAAABgAAAD8/AD8AAIAAAAAAADwvwL4U+Olm0QCQALiWBe30QDGvwAAAAAYAAAA/PwA/AACAAAAAAAA8L8C+FPjpZtEAkACqz5XW7G/8r8AAAAAGAAAAPz8APwAAgAAAAAAAPC/Aq5H4XoUrvY/Aqw+V1uxv/q/AAAAABgAAAD8/AD8AAIAAAAAAADwvwLZzvdT46XhPwId6+I2GsDyvwAAAAAYAAAA/PwA/AACAAAAAAAA8L8C2c73U+Ol4T8C4lgXt9EAxr8AAAAAGAAAAPz8APwAAgAAAAAAAPC/AmFUUiegici/Ak9AE2HD098/AAAAABgAAAD8/AD8AAIAAAAAAADwvwIOT6+UZYjLPwIYJlMFo5L2PwAAAAAcAAAA/PwA/AACAAAAAAAA8L8CmN2Th4Va8z8Cnzws1Jrm9D8AAAAAGAAAAPz8APwAAgAAAAAAAPC/Aq5H4XoUrvY/Ao9TdCSX/9Q/AAAAABgAAAD8/AD8AAIAAAAAAADwvwLWxW00gLfyvwL2l92Th4XSPwAAAAAYAAAA/PwA/AACAAAAAAAA8L8CldQJaCJs/b8ChetRuB6F8D8AAAAAGAAAAPz8APwAAgAAAAAAAPC/AvCnxks3iQbAAt4CCYofY+o/AAAAABgAAAD8/AD8AAIAAAAAAADwvwJuNIC3QAIJwAL+1HjpJjHAvwAAAAAcAAAA/PwA/AACAAAAAAAA8L8C1lbsL7unA8ACT0ATYcPT678AAAAAGAAAAPz8APwAAgAAAAAAAPC/AmIyVTAqqfe/AiNseHqlLOW/AAAAAAERAAAA/PwA/AACAAAAAAAA8L8CuECC4seYD0ACTmIQWDm0wL8AAAAAARIABAFlBAAAAAAAAAAABAgBZQgMAAAAAAAAAAgMAWUEAAAAAAAAAAAMEAFlCAgAAAAAAAAAEBQBZQQAAAAAAAAAABQYAWUEAAAAAAAAAAAYHAFlCAgAAAAAAAAAHCABZQQAAAAAAAAAACAkAWUEAAAAAAAAAAAkBAFlBAAAAAAAAAAAJBQBZQgMAAAAAAAAACgYAWUEAAAAAAAAAAAoLAFlBAAAAAAAAAAALDABZQQAAAAAAAAAADA0AWUEAAAAAAAAAAA0OAFlBAAAAAAAAAAAODwBZQQAAAAAAAAAADwoAWUEAAAAAAAAAAAAAAAA</t>
        </r>
      </text>
    </comment>
    <comment ref="A1250" authorId="0" shapeId="0" xr:uid="{AEDA6B9A-D405-46A6-AC3B-B1FDB5EE7D69}">
      <text>
        <r>
          <rPr>
            <sz val="9"/>
            <color indexed="81"/>
            <rFont val="MS P ゴシック"/>
            <family val="3"/>
            <charset val="128"/>
          </rPr>
          <t>Insight iXlW00001C0001250R0585476093S00002498P00948LAocjBAQBF1NjaVRlZ2ljLmRhdGEuTW9sZWN1bGUBbwF/ARJTY2lUZWdpYy5Nb2xlY3VsZQAAAQFkAv5qAQAAAAIAAjAcAAAA/PwA/AACAAAAAAAA8L8CUrgehevRAcAC3SQGgZVDw78AAAAAGAAAAPz8APwAAgAAAAAAAPC/Ag8tsp3vp/O/Anl6pSxDHLu/AAAAABgAAAD8/AD8AAIAAAAAAADwvwIHgZVDi2ztvwK38/3UeOnwvwAAAAAYAAAA/PwA/AACAAAAAAAA8L8Cz/dT46WbtD8Ct/P91Hjp8L8AAAAAGAAAAPz8APwAAgAAAAAAAPC/AiGwcmiR7dg/Anl6pSxDHLu/AAAAABgAAAD8/AD8AAIAAAAAAADwvwK+MJkqGJW0PwLOqs/VVuzzPwAAAAAYAAAA/PwA/AACAAAAAAAA8L8C6dms+lxt7b8CzqrP1Vbs8z8AAAAAGAAAAPz8APwAAgAAAAAAAPC/Ag0CK4cW2dq/AoSezarP1d4/AAAAABgAAAD8/AD8AAIAAAAAAADwvwKe76fGSzf2PwLdJAaBlUPDvwAAAAAgAAAA/PwA/AACAAAAAAAA8L8C3pOHhVrT/j8CRwN4CyQo5j8AAAAAIAAAAPz8APwAAgAAAAAAAPC/AoPix5i7lv0/Al5LyAc9m/C/AAAAAAERAAAA/PwA/AACAAAAAAAA8L8CVTAqqRPQBUACu7iNBvAWuD8AAAAAMAQAAWUEAAAAAAAAAAAECAFlBAAAAAAAAAAACAwBZQQAAAAAAAAAAAwQAWUEAAAAAAAAAAAQFAFlBAAAAAAAAAAAFBgBZQQAAAAAAAAAABgEAWUEAAAAAAAAAAAQHAFlBAAAAAAAAAAAHAQBZQQAAAAAAAAAABAgAWUEAAAAAAAAAAAgJAFlCAAAAAAAAAAAICgBZQQAAAAAAAAAAAAAAAA=</t>
        </r>
      </text>
    </comment>
    <comment ref="A1251" authorId="0" shapeId="0" xr:uid="{E2F77F6D-E9CA-4B8A-AD72-C5046F6A8AF8}">
      <text>
        <r>
          <rPr>
            <sz val="9"/>
            <color indexed="81"/>
            <rFont val="MS P ゴシック"/>
            <family val="3"/>
            <charset val="128"/>
          </rPr>
          <t>Insight iXlW00001C0001251R0585476093S00002500P01104LAocjBAQBF1NjaVRlZ2ljLmRhdGEuTW9sZWN1bGUBbwF/ARJTY2lUZWdpYy5Nb2xlY3VsZQAAAQFkAv5qAQAAAAIAAjgcAAAA/PwA/AACAAAAAAAA8L8C/0P67evA9z8C6dms+lxt678AAAAAGAAAAPz8APwAAgAAAAAAAPC/AnrHKTqSy+M/AtGzWfW52ta/AAAAABgAAAD8/AD8AAIAAAAAAADwvwIg0m9fB84CQALRs1n1udrWvwAAAAAcAAAA/PwA/AACAAAAAAAA8L8CINJvXwfOAkACGCZTBaOS5D8AAAAAHAAAAPz8APwAAgAAAAAAAPC/Aibkg57Nqs+/AunZrPpcbeu/AAAAABgAAAD8/AD8AAIAAAAAAADwvwJ6xyk6ksvjPwIYJlMFo5LkPwAAAAAcAAAA/PwA/AACAAAAAAAA8L8C3SQGgZXDBsACGCZTBaOS5D8AAAAAGAAAAPz8APwAAgAAAAAAAPC/Av9D+u3rwPc/AgyTqYJRSfI/AAAAABgAAAD8/AD8AAIAAAAAAADwvwLG3LWEfNDxvwLRs1n1udrWvwAAAAAYAAAA/PwA/AACAAAAAAAA8L8COIlBYOXQ8b8CNs07TtGR5D8AAAAAGAAAAPz8APwAAgAAAAAAAPC/AnnpJjEIrP+/AunZrPpcbeu/AAAAABgAAAD8/AD8AAIAAAAAAADwvwLdJAaBlcMGwALRs1n1udrWvwAAAAAYAAAA/PwA/AACAAAAAAAA8L8CeekmMQis/78Cm+Ydp+hI8j8AAAAAGAAAAPz8APwAAgAAAAAAAPC/AkGC4seYuwlAAunZrPpcbeu/AAAAADwEAAFlBAAAAAAAAAAACAABZQgIAAAAAAAAAAwIAWUEAAAAAAAAAAAQBAFlBAAAAAAAAAAAFAQBZQgIAAAAAAAAABgwAWUEAAAAAAAAAAAcDAFlCAgAAAAAAAAAIBABZQQAAAAAAAAAACQgAWUEAAAAAAAAAAAoIAFlBAAAAAAAAAAALCgBZQQAAAAAAAAAADAkAWUEAAAAAAAAAAA0CAFlBAAAAAAAAAAAFBwBZQQAAAAAAAAAABgsAWUEAAAAAAAAAAAAAAAA</t>
        </r>
      </text>
    </comment>
    <comment ref="A1252" authorId="0" shapeId="0" xr:uid="{93CA32F3-74AF-48BD-AFB0-1B2E9972C36E}">
      <text>
        <r>
          <rPr>
            <sz val="9"/>
            <color indexed="81"/>
            <rFont val="MS P ゴシック"/>
            <family val="3"/>
            <charset val="128"/>
          </rPr>
          <t>Insight iXlW00001C0001252R0585476093S00002502P01324LAocjBAQBF1NjaVRlZ2ljLmRhdGEuTW9sZWN1bGUBbwF/ARJTY2lUZWdpYy5Nb2xlY3VsZQAAAQFkAv5qAQAAAAIAAgERGAAAAPz8APwAAgAAAAAAAPC/AtBE2PD0SvG/AphuEoPAysm/AAAAABwAAAD8/AD8AAIAAAAAAADwvwITYcPTK2XRvwLXxW00gLfYPwAAAAAYAAAA/PwA/AACAAAAAAAA8L8C2j15WKg1zT8C4umVsgxx8r8AAAAAHAAAAPz8APwAAgAAAAAAAPC/Ao0o7Q2+MOE/AphuEoPAysm/AAAAABgAAAD8/AD8AAIAAAAAAADwvwKKsOHplbLovwLi6ZWyDHHyvwAAAAAYAAAA/PwA/AACAAAAAAAA8L8CCM4ZUdob6j8CbVZ9rrZi/78AAAAAGAAAAPz8APwAAgAAAAAAAPC/AnDwhclUQQDAApayDHGsi7s/AAAAABgAAAD8/AD8AAIAAAAAAADwvwITYcPTK2XRvwJ2cRsN4C32PwAAAAAgAAAA/PwA/AACAAAAAAAA8L8CbAn5oGczBsACK4cW2c734b8AAAAAJAAAAPz8APwAAgAAAAAAAPC/AgAAAAAAAPo/ArTqc7UV+/W/AAAAACQAAAD8/AD8AAIAAAAAAADwvwK+UpYhjnX2PwJ8YTJVMCoGwAAAAAAkAAAA/PwA/AACAAAAAAAA8L8CbXh6pSxDfD8CFGHD0ytlBMAAAAAAIAAAAPz8APwAAgAAAAAAAPC/AnulLEMc6wHAAnRGlPYGX/E/AAAAABgAAAD8/AD8AAIAAAAAAADwvwL6D+m3rwPjPwJ2cRsN4C3+PwAAAAAYAAAA/PwA/AACAAAAAAAA8L8CRBzr4jYa/T8CArwFEhS/BEAAAAAAGAAAAPz8APwAAgAAAAAAAPC/AmfV52or9vg/ApoqGJXUCfo/AAAAABgAAAD8/AD8AAIAAAAAAADwvwKzne+nxkvrPwKpNc07TtEGQAAAAAABEgQAAWUEAAAAAAAAAAAIEAFlBAAAAAAAAAAADAQBZQQAAAAAAAAAABAAAWUICAAAAAAAAAAUCAFlBAAAAAAAAAAAGAABZQQAAAAAAAAAABwEAWUEAAAAAAAAAAAgGAFlCAAAAAAAAAAAJBQBZQQAAAAAAAAAACgUAWUEAAAAAAAAAAAsFAFlBAAAAAAAAAAAMBgBZQQAAAAAAAAAADQcAWUEAAAAAAAAAAA4PAFlBAAAAAAAAAAAPDQBZQQAAAAAAAAAAAEQNAFlBAAAAAAAAAAACAwBZQgIAAAAAAAAADgBEAFlBAAAAAAAAAAAAAAAAA==</t>
        </r>
      </text>
    </comment>
    <comment ref="A1253" authorId="0" shapeId="0" xr:uid="{F88AE34B-AEAB-4DDD-AB18-C6BB0EB9C94A}">
      <text>
        <r>
          <rPr>
            <sz val="9"/>
            <color indexed="81"/>
            <rFont val="MS P ゴシック"/>
            <family val="3"/>
            <charset val="128"/>
          </rPr>
          <t>Insight iXlW00001C0001253R0585476093S00002504P01248LAocjBAQBF1NjaVRlZ2ljLmRhdGEuTW9sZWN1bGUBbwF/ARJTY2lUZWdpYy5Nb2xlY3VsZQAAAQFkAv5qAQAAAAIAAgEQGAAAAPz8APwAAgAAAAAAAPC/Ahi30QDeAsE/Ao4G8BZIUNQ/AAAAABwAAAD8/AD8AAIAAAAAAADwvwJDrWnecYrGvwL129eBc0bkvwAAAAAYAAAA/PwA/AACAAAAAAAA8L8CNKK0N/jC978CjgbwFkhQ1D8AAAAAHAAAAPz8APwAAgAAAAAAAPC/AjiJQWDl0PK/AvXb14FzRuS/AAAAABgAAAD8/AD8AAIAAAAAAADwvwJRa5p3nKLlvwK62or9ZffsPwAAAAAYAAAA/PwA/AACAAAAAAAA8L8C8tJNYhBY8T8CXtxGA3gL5D8AAAAAGAAAAPz8APwAAgAAAAAAAPC/AiEf9GxWfQPAAkA1XrpJDOQ/AAAAABgAAAD8/AD8AAIAAAAAAADwvwJF2PD0SlnaPwKGWtO84xT3vwAAAAAYAAAA/PwA/AACAAAAAAAA8L8CyCk6kst/9j8CDXGsi9to9b8AAAAAGAAAAPz8APwAAgAAAAAAAPC/AuY/pN++jgJAAgr5oGez6vu/AAAAABgAAAD8/AD8AAIAAAAAAADwvwIqyxDHurgBQAKnCkYldQLovwAAAAAgAAAA/PwA/AACAAAAAAAA8L8C5WGh1jRvCcACBhIUP8bcpb8AAAAAJAAAAPz8APwAAgAAAAAAAPC/As3MzMzMzOg/As1dS8gHPfk/AAAAACQAAAD8/AD8AAIAAAAAAADwvwKAt0CC4kcAQAJ0tRX7y+7tPwAAAAAkAAAA/PwA/AACAAAAAAAA8L8CfT81XrpJ9j8CgLdAguLH1L8AAAAAIAAAAPz8APwAAgAAAAAAAPC/Ai3UmuYdJwXAAuqVsgxxrPk/AAAAAAERBAABZQQAAAAAAAAAAAgQAWUEAAAAAAAAAAAMBAFlBAAAAAAAAAAAEAABZQgIAAAAAAAAABQAAWUEAAAAAAAAAAAYCAFlBAAAAAAAAAAAHAQBZQQAAAAAAAAAACAcAWUEAAAAAAAAAAAkIAFlBAAAAAAAAAAAKCABZQQAAAAAAAAAACwYAWUIAAAAAAAAAAAwFAFlBAAAAAAAAAAANBQBZQQAAAAAAAAAADgUAWUEAAAAAAAAAAA8GAFlBAAAAAAAAAAADAgBZQgIAAAAAAAAACQoAWUEAAAAAAAAAAAAAAAA</t>
        </r>
      </text>
    </comment>
    <comment ref="A1254" authorId="0" shapeId="0" xr:uid="{58296CB6-0222-450A-AFF8-A89F5BD2EBCD}">
      <text>
        <r>
          <rPr>
            <sz val="9"/>
            <color indexed="81"/>
            <rFont val="MS P ゴシック"/>
            <family val="3"/>
            <charset val="128"/>
          </rPr>
          <t>Insight iXlW00001C0001254R0585476093S00002506P01324LAocjBAQBF1NjaVRlZ2ljLmRhdGEuTW9sZWN1bGUBbwF/ARJTY2lUZWdpYy5Nb2xlY3VsZQAAAQFkAv5qAQAAAAIAAgERGAAAAPz8APwAAgAAAAAAAPC/AkT67evAOe2/AgJNhA1Pr9S/AAAAABwAAAD8/AD8AAIAAAAAAADwvwJsCfmgZ7O6vwIhsHJoke3QPwAAAAAYAAAA/PwA/AACAAAAAAAA8L8Cpb3BFyZT2T8CT6+UZYhj9L8AAAAAHAAAAPz8APwAAgAAAAAAAPC/Aum3rwPnjOY/AgJNhA1Pr9S/AAAAABgAAAD8/AD8AAIAAAAAAADwvwIuIR/0bFbjvwJPr5RliGP0vwAAAAAYAAAA/PwA/AACAAAAAAAA8L8CMZkqGJXU/b8CACL99nXgjL8AAAAAGAAAAPz8APwAAgAAAAAAAPC/Aka28/3UeO8/Au0NvjCZqgDAAAAAABgAAAD8/AD8AAIAAAAAAADwvwJsCfmgZ7O6vwIIrBxaZDv0PwAAAAAgAAAA/PwA/AACAAAAAAAA8L8C2s73U+Ol/z8CYjJVMCqp/78AAAAAJAAAAPz8APwAAgAAAAAAAPC/At4CCYofYwHAAqYsQxzr4u6/AAAAACQAAAD8/AD8AAIAAAAAAADwvwJoRGlv8IUGwAIdyeU/pN/SPwAAAAAkAAAA/PwA/AACAAAAAAAA8L8CNYC3QILi+L8CtOpztRX77T8AAAAAIAAAAPz8APwAAgAAAAAAAPC/AmpN845TdOI/AvA4RUdy+QfAAAAAABgAAAD8/AD8AAIAAAAAAADwvwJWn6ut2F/oPwIJrBxaZDv8PwAAAAAYAAAA/PwA/AACAAAAAAAA8L8C8mPMXUvI/z8CS1mGONbFA0AAAAAAGAAAAPz8APwAAgAAAAAAAPC/AhUdyeU/pPs/AixlGeJYF/g/AAAAABgAAAD8/AD8AAIAAAAAAADwvwKHFtnO91PwPwK5/If029cFQAAAAAABEgQAAWUEAAAAAAAAAAAIEAFlBAAAAAAAAAAADAQBZQQAAAAAAAAAABAAAWUICAAAAAAAAAAUAAFlBAAAAAAAAAAAGAgBZQQAAAAAAAAAABwEAWUEAAAAAAAAAAAgGAFlCAAAAAAAAAAAJBQBZQQAAAAAAAAAACgUAWUEAAAAAAAAAAAsFAFlBAAAAAAAAAAAMBgBZQQAAAAAAAAAADQcAWUEAAAAAAAAAAA4ARABZQQAAAAAAAAAADw0AWUEAAAAAAAAAAABEDQBZQQAAAAAAAAAAAwIAWUICAAAAAAAAAA4PAFlBAAAAAAAAAAAAAAAAA==</t>
        </r>
      </text>
    </comment>
    <comment ref="A1255" authorId="0" shapeId="0" xr:uid="{F92BE8F3-ADD4-4596-BB41-21BF1D59A3EC}">
      <text>
        <r>
          <rPr>
            <sz val="9"/>
            <color indexed="81"/>
            <rFont val="MS P ゴシック"/>
            <family val="3"/>
            <charset val="128"/>
          </rPr>
          <t>Insight iXlW00001C0001255R0585476093S00002508P00984LAocjBAQBF1NjaVRlZ2ljLmRhdGEuTW9sZWN1bGUBbwF/ARJTY2lUZWdpYy5Nb2xlY3VsZQAAAQFkAv5qAQAAAAIAAjQYAAAA/PwA/AACAAAAAAAA8L8C1CtlGeJY7T8CB/AWSFD84j8AAAAAGAAAAPz8APwAAgAAAAAAAPC/AuqVsgxxrPY/AvmgZ7Pqc9G/AAAAABgAAAD8/AD8AAIAAAAAAADwvwJO0ZFc/kMCQAIOvjCZKhjNPwAAAAAcAAAA/PwA/AACAAAAAAAA8L8C6pWyDHGs/j8CgEi/fR048r8AAAAAGAAAAPz8APwAAgAAAAAAAPC/AlFrmnecouE/An3Qs1n1uei/AAAAABgAAAD8/AD8AAIAAAAAAADwvwJlqmBUUifUvwL5oGez6nPRvwAAAAAYAAAA/PwA/AACAAAAAAAA8L8CZapgVFIn1L8ChC9MpgpG5z8AAAAAGAAAAPz8APwAAgAAAAAAAPC/AtuK/WX35PK/AlFrmnecovM/AAAAABgAAAD8/AD8AAIAAAAAAADwvwLHSzeJQWAAwAKi1jTvOEXnPwAAAAAcAAAA/PwA/AACAAAAAAAA8L8Cx0s3iUFgAMAC+aBns+pz0b8AAAAAGAAAAPz8APwAAgAAAAAAAPC/AtuK/WX35PK/An3Qs1n1uei/AAAAAAERAAAA/PwA/AACAAAAAAAA8L8CtTf4wmSqCEACDJOpglFJnT8AAAAAAREAAAD8/AD8AAIAAAAAAADwvwJpke18P3UQQAJ2ApoIG56uPwAAAAAsAAQBZQQAAAAAAAAAAAQIAWUEAAAAAAAAAAAEDAFlBAAAAAAAAAAABBABZQQAAAAAAAAAABAUAWUEAAAAAAAAAAAUGAFlCAwAAAAAAAAAGBwBZQQAAAAAAAAAABwgAWUICAAAAAAAAAAgJAFlBAAAAAAAAAAAJCgBZQgIAAAAAAAAACgUAWUEAAAAAAAAAAAAAAAA</t>
        </r>
      </text>
    </comment>
    <comment ref="A1256" authorId="0" shapeId="0" xr:uid="{76E8C1AD-FF14-425E-A64E-7E398345685B}">
      <text>
        <r>
          <rPr>
            <sz val="9"/>
            <color indexed="81"/>
            <rFont val="MS P ゴシック"/>
            <family val="3"/>
            <charset val="128"/>
          </rPr>
          <t>Insight iXlW00001C0001256R0585476093S00002510P00804LAocjBAQBF1NjaVRlZ2ljLmRhdGEuTW9sZWN1bGUBbwF/ARJTY2lUZWdpYy5Nb2xlY3VsZQAAAQFkAv5qAQAAAAIAAigYAAAA/PwA/AACAAAAAAAA8L8C9I5TdCSX4z8Cs3vysFBrij8AAAAAHAAAAPz8APwAAgAAAAAAAPC/ArprCfmgZ9M/Ak0VjErqBO6/AAAAABgAAAD8/AD8AAIAAAAAAADwvwKNKO0NvjDJvwJiodY07zjjPwAAAAAYAAAA/PwA/AACAAAAAAAA8L8CiWNd3EYD+T8Cz/dT46Wb1D8AAAAAHAAAAPz8APwAAgAAAAAAAPC/Ap0Rpb3BF/C/ArN78rBQa4o/AAAAABgAAAD8/AD8AAIAAAAAAADwvwIkSnuDL0zmvwJNFYxK6gTuvwAAAAAgAAAA/PwA/AACAAAAAAAA8L8Cn82qz9VW/D8CPnlYqDXN9D8AAAAAIAAAAPz8APwAAgAAAAAAAPC/Aoj029eBcwJAAvH0SlmGONa/AAAAABgAAAD8/AD8AAIAAAAAAADwvwI7AU2EDU//vwILRiV1AprUPwAAAAAYAAAA/PwA/AACAAAAAAAA8L8CmpmZmZmZBcAC8fRKWYY41r8AAAAAKAQAAWUEAAAAAAAAAAAIAAFlCAgAAAAAAAAADAABZQQAAAAAAAAAABAIAWUEAAAAAAAAAAAUBAFlCAgAAAAAAAAAGAwBZQgAAAAAAAAAABwMAWUEAAAAAAAAAAAgEAFlBAAAAAAAAAAAJCABZQQAAAAAAAAAABQQAWUEAAAAAAAAAAAAAAAA</t>
        </r>
      </text>
    </comment>
    <comment ref="A1257" authorId="0" shapeId="0" xr:uid="{B9867495-018A-4FB6-ADBD-AE00DFA0A56A}">
      <text>
        <r>
          <rPr>
            <sz val="9"/>
            <color indexed="81"/>
            <rFont val="MS P ゴシック"/>
            <family val="3"/>
            <charset val="128"/>
          </rPr>
          <t>Insight iXlW00001C0001257R0585476093S00002512P00804LAocjBAQBF1NjaVRlZ2ljLmRhdGEuTW9sZWN1bGUBbwF/ARJTY2lUZWdpYy5Nb2xlY3VsZQAAAQFkAv5qAQAAAAIAAigYAAAA/PwA/AACAAAAAAAA8L8CJCh+jLlrub8CvsEXJlMF178AAAAAHAAAAPz8APwAAgAAAAAAAPC/AhIUP8bcteY/Asl2vp8aL80/AAAAABwAAAD8/AD8AAIAAAAAAADwvwIJih9j7lrzPwJ+jLlrCfn0vwAAAAAYAAAA/PwA/AACAAAAAAAA8L8CINJvXwfO8L8ChXzQs1n1qb8AAAAAGAAAAPz8APwAAgAAAAAAAPC/AkhQ/Bhz18o/An6MuWsJ+fS/AAAAABgAAAD8/AD8AAIAAAAAAADwvwKV9gZfmEz4PwK+wRcmUwXXvwAAAAAgAAAA/PwA/AACAAAAAAAA8L8CGQRWDi2y/L8CRiV1ApoI578AAAAAIAAAAPz8APwAAgAAAAAAAPC/AjY8vVKWIfS/Aq5H4XoUru0/AAAAABgAAAD8/AD8AAIAAAAAAADwvwISFD/G3LXmPwLZzvdT46XzPwAAAAAYAAAA/PwA/AACAAAAAAAA8L8CxLEubqMBxL8C2c73U+Ol+z8AAAAAKAQAAWUEAAAAAAAAAAAIEAFlBAAAAAAAAAAADAABZQQAAAAAAAAAABAAAWUICAAAAAAAAAAUBAFlBAAAAAAAAAAAGAwBZQgAAAAAAAAAABwMAWUEAAAAAAAAAAAgBAFlBAAAAAAAAAAAJCABZQQAAAAAAAAAAAgUAWUICAAAAAAAAAAAAAAA</t>
        </r>
      </text>
    </comment>
    <comment ref="A1258" authorId="0" shapeId="0" xr:uid="{44D46F7A-95F8-4F75-8644-18C125FA1804}">
      <text>
        <r>
          <rPr>
            <sz val="9"/>
            <color indexed="81"/>
            <rFont val="MS P ゴシック"/>
            <family val="3"/>
            <charset val="128"/>
          </rPr>
          <t>Insight iXlW00001C0001258R0585476093S00002514P00964LAocjBAQBF1NjaVRlZ2ljLmRhdGEuTW9sZWN1bGUBbwF/ARJTY2lUZWdpYy5Nb2xlY3VsZQAAAQFkAv5qAQAAAAIAAjAYAAAA/PwA/AACAAAAAAAA8L8C/Rhz1xLy6b8CDr4wmSoYpT8AAAAAHAAAAPz8APwAAgAAAAAAAPC/AsWPMXctIV+/ApLLf0i/feG/AAAAABgAAAD8/AD8AAIAAAAAAADwvwL9GHPXEvLpvwLxhclUwajwPwAAAAAcAAAA/PwA/AACAAAAAAAA8L8C7zhFR3L59L8CZ9Xnaiv2978AAAAAGAAAAPz8APwAAgAAAAAAAPC/Avkx5q4l5NO/AmfV52or9ve/AAAAABgAAAD8/AD8AAIAAAAAAADwvwJ7pSxDHOv5vwKSy39Iv33hvwAAAAAYAAAA/PwA/AACAAAAAAAA8L8CVp+rrdhf7j8C78nDQq1pzr8AAAAAIAAAAPz8APwAAgAAAAAAAPC/AsDsnjws1Pq/AvGFyVTBqPg/AAAAACAAAAD8/AD8AAIAAAAAAADwvwKOBvAWSFCsPwLxhclUwaj4PwAAAAAYAAAA/PwA/AACAAAAAAAA8L8CmN2Th4VaAkACaERpb/CFyT8AAAAAGAAAAPz8APwAAgAAAAAAAPC/Aoj029eBc/Y/AtSa5h2n6OQ/AAAAABgAAAD8/AD8AAIAAAAAAADwvwJTliGOdXH9PwI2PL1SliHmvwAAAAA0BAABZQQAAAAAAAAAAAgAAWUEAAAAAAAAAAAMFAFlBAAAAAAAAAAAEAQBZQQAAAAAAAAAABQAAWUICAAAAAAAAAAYBAFlBAAAAAAAAAAAHAgBZQgAAAAAAAAAACAIAWUEAAAAAAAAAAAkLAFlBAAAAAAAAAAAKBgBZQQAAAAAAAAAACwYAWUEAAAAAAAAAAAMEAFlCAgAAAAAAAAAJCgBZQQAAAAAAAAAAAAAAAA=</t>
        </r>
      </text>
    </comment>
    <comment ref="A1259" authorId="0" shapeId="0" xr:uid="{BE0252D2-EB90-4E28-B0B1-C8566CAF0339}">
      <text>
        <r>
          <rPr>
            <sz val="9"/>
            <color indexed="81"/>
            <rFont val="MS P ゴシック"/>
            <family val="3"/>
            <charset val="128"/>
          </rPr>
          <t>Insight iXlW00001C0001259R0585476093S00002516P00788LAocjBAQBF1NjaVRlZ2ljLmRhdGEuTW9sZWN1bGUBbwF/ARJTY2lUZWdpYy5Nb2xlY3VsZQAAAQFkAv5qAQAAAAIAAigYAAAA/PwA/AACAAAAAAAA8L8CseHplbKMA8ACxv6ye/Kw2L8AAAAAGAAAAPz8APwAAgAAAAAAAPC/Ato9eVioNfu/Avvt68A5I9I/AAAAABwAAAD8/AD8AAIAAAAAAADwvwKWQ4ts5/vnvwJwXwfOGVGavwAAAAAYAAAA/PwA/AACAAAAAAAA8L8Cw4anV8oy3L8CNxrAWyBB778AAAAAHAAAAPz8APwAAgAAAAAAAPC/AoGVQ4ts5+E/AjcawFsgQe+/AAAAABgAAAD8/AD8AAIAAAAAAADwvwKYbhKDwMrrPwItQxzr4jaavwAAAAAYAAAA/PwA/AACAAAAAAAA8L8C6iYxCKwc/T8C++3rwDkj0j8AAAAAHAAAAPz8APwAAgAAAAAAAPC/AoBIv30dOABAAsl2vp8aL/Q/AAAAABgAAAD8/AD8AAIAAAAAAADwvwLvycNCrWmuPwJ4nKIjufzhPwAAAAABEQAAAPz8APwAAgAAAAAAAPC/AueuJeSDngZAArWmeccpOsI/AAAAACQABAFlBAAAAAAAAAAABAgBZQQAAAAAAAAAAAgMAWUEAAAAAAAAAAAMEAFlCAgAAAAAAAAAEBQBZQQAAAAAAAAAABQYAWUEAAAAAAAAAAAYHAFlBAAAAAAAAAAAFCABZQgIAAAAAAAAACAIAWUEAAAAAAAAAAAAAAAA</t>
        </r>
      </text>
    </comment>
    <comment ref="A1260" authorId="0" shapeId="0" xr:uid="{9A037A27-16CA-422A-A8E5-278A76615D52}">
      <text>
        <r>
          <rPr>
            <sz val="9"/>
            <color indexed="81"/>
            <rFont val="MS P ゴシック"/>
            <family val="3"/>
            <charset val="128"/>
          </rPr>
          <t>Insight iXlW00001C0001260R0585476093S00002518P00948LAocjBAQBF1NjaVRlZ2ljLmRhdGEuTW9sZWN1bGUBbwF/ARJTY2lUZWdpYy5Nb2xlY3VsZQAAAQFkAv5qAQAAAAIAAjAcAAAA/PwA/AACAAAAAAAA8L8CEhQ/xty1BEACy6FFtvP99j8AAAAAGAAAAPz8APwAAgAAAAAAAPC/AgdfmEwVDANAAgOaCBueXt0/AAAAABgAAAD8/AD8AAIAAAAAAADwvwL/If32deD2PwKrz9VW7C/DPwAAAAAYAAAA/PwA/AACAAAAAAAA8L8CBhIUP8bc4z8CfPKwUGua5z8AAAAAHAAAAPz8APwAAgAAAAAAAPC/Aru4jQbwFsi/AiNseHqlLMM/AAAAABgAAAD8/AD8AAIAAAAAAADwvwK1pnnHKTryvwIDmggbnl7dPwAAAAAYAAAA/PwA/AACAAAAAAAA8L8Crthfdk8e/r8Ce6UsQxzryr8AAAAAGAAAAPz8APwAAgAAAAAAAPC/Avyp8dJN4gbAAhb7y+7Jw9q/AAAAABgAAAD8/AD8AAIAAAAAAADwvwKdoiO5/IcBwAJNhA1Pr5TyvwAAAAAYAAAA/PwA/AACAAAAAAAA8L8CP1dbsb/svj8CM8SxLm6j6b8AAAAAHAAAAPz8APwAAgAAAAAAAPC/AnS1FfvL7vE/AjPEsS5uo+m/AAAAAAERAAAA/PwA/AACAAAAAAAA8L8CeXqlLEMcC0ACuycPC7WmwT8AAAAAMAAEAWUEAAAAAAAAAAAECAFlBAAAAAAAAAAACAwBZQgMAAAAAAAAAAwQAWUEAAAAAAAAAAAQFAFlBAAAAAAAAAAAFBgBZQQAAAAAAAAAABgcAWUEAAAAAAAAAAAcIAFlBAAAAAAAAAAAIBgBZQQAAAAAAAAAABAkAWUEAAAAAAAAAAAkKAFlCAgAAAAAAAAAKAgBZQQAAAAAAAAAAAAAAAA=</t>
        </r>
      </text>
    </comment>
    <comment ref="A1261" authorId="0" shapeId="0" xr:uid="{3245C4B0-CDCD-45E3-8700-8E4E98EA732A}">
      <text>
        <r>
          <rPr>
            <sz val="9"/>
            <color indexed="81"/>
            <rFont val="MS P ゴシック"/>
            <family val="3"/>
            <charset val="128"/>
          </rPr>
          <t>Insight iXlW00001C0001261R0585476093S00002520P01020LAocjBAQBF1NjaVRlZ2ljLmRhdGEuTW9sZWN1bGUBbwF/ARJTY2lUZWdpYy5Nb2xlY3VsZQAAAQFkAv5qAQAAAAIAAjQcAAAA/PwA/AACAAAAAAAA8L8CNl66SQyCBkACVcGopE5A+D8AAAAAGAAAAPz8APwAAgAAAAAAAPC/AiqpE9BE2ARAAjMzMzMzM+E/AAAAABgAAAD8/AD8AAIAAAAAAADwvwK3Yn/ZPXn6PwJzaJHtfD/NPwAAAAAYAAAA/PwA/AACAAAAAAAA8L8CdZMYBFYO6z8CkDF3LSEf6j8AAAAAHAAAAPz8APwAAgAAAAAAAPC/AgU0ETY8vaI/AnNoke18P80/AAAAABgAAAD8/AD8AAIAAAAAAADwvwLeJAaBlUPtvwIzMzMzMzPhPwAAAAAYAAAA/PwA/AACAAAAAAAA8L8C95fdk4eF+r8CKqkT0ETYwL8AAAAAGAAAAPz8APwAAgAAAAAAAPC/Al2PwvUoXPu/AvcGX5hMFfK/AAAAABgAAAD8/AD8AAIAAAAAAADwvwKXkA96NqsFwAICvAUSFD/xvwAAAAAYAAAA/PwA/AACAAAAAAAA8L8CHeviNhpABcACBqOSOgFNtL8AAAAAGAAAAPz8APwAAgAAAAAAAPC/AuomMQisHNY/Ah+F61G4Hue/AAAAABwAAAD8/AD8AAIAAAAAAADwvwIs9pfdk4f1PwIfhetRuB7nvwAAAAABEQAAAPz8APwAAgAAAAAAAPC/ApzEILBy6AxAAj2bVZ+rrcg/AAAAADQABAFlBAAAAAAAAAAABAgBZQQAAAAAAAAAAAgMAWUIDAAAAAAAAAAMEAFlBAAAAAAAAAAAEBQBZQQAAAAAAAAAABQYAWUEAAAAAAAAAAAYHAFlBAAAAAAAAAAAHCABZQQAAAAAAAAAACAkAWUEAAAAAAAAAAAkGAFlBAAAAAAAAAAAECgBZQQAAAAAAAAAACgsAWUICAAAAAAAAAAsCAFlBAAAAAAAAAAAAAAAAA==</t>
        </r>
      </text>
    </comment>
    <comment ref="A1262" authorId="0" shapeId="0" xr:uid="{FF002A7B-C460-4E8C-B298-0FCECB6FC37C}">
      <text>
        <r>
          <rPr>
            <sz val="9"/>
            <color indexed="81"/>
            <rFont val="MS P ゴシック"/>
            <family val="3"/>
            <charset val="128"/>
          </rPr>
          <t>Insight iXlW00001C0001262R0585476093S00002522P00948LAocjBAQBF1NjaVRlZ2ljLmRhdGEuTW9sZWN1bGUBbwF/ARJTY2lUZWdpYy5Nb2xlY3VsZQAAAQFkAv5qAQAAAAIAAjAcAAAA/PwA/AACAAAAAAAA8L8CCM4ZUdobBEACzH9Iv30d8T8AAAAAGAAAAPz8APwAAgAAAAAAAPC/Av0Yc9cScgJAAhdIUPwYc7c/AAAAABgAAAD8/AD8AAIAAAAAAADwvwJbQj7o2az1PwJPQBNhw9PLvwAAAAAYAAAA/PwA/AACAAAAAAAA8L8CvVKWIY514T8C+1xtxf6y1z8AAAAAHAAAAPz8APwAAgAAAAAAAPC/Au9aQj7o2dC/AtejcD0K18u/AAAAABgAAAD8/AD8AAIAAAAAAADwvwLUK2UZ4linPwIZBFYOLbLyvwAAAAAcAAAA/PwA/AACAAAAAAAA8L8CXynLEMe68D8CGQRWDi2y8r8AAAAAGAAAAPz8APwAAgAAAAAAAPC/AssyxLEubvO/AhdIUPwYc7c/AAAAABgAAAD8/AD8AAIAAAAAAADwvwK5/If029cAwAJvgQTFjzHXvwAAAAAYAAAA/PwA/AACAAAAAAAA8L8CKA8LtaZ5BMACmUwVjErq4D8AAAAAGAAAAPz8APwAAgAAAAAAAPC/AqhXyjLEsfq/AlOWIY51ce8/AAAAAAERAAAA/PwA/AACAAAAAAAA8L8CbjSAt0CCCkAC0ETY8PRKqb8AAAAAMAAEAWUEAAAAAAAAAAAECAFlBAAAAAAAAAAACAwBZQgMAAAAAAAAAAwQAWUEAAAAAAAAAAAQFAFlBAAAAAAAAAAAFBgBZQgIAAAAAAAAABgIAWUEAAAAAAAAAAAQHAFlBAAAAAAAAAAAHCABZQQAAAAAAAAAACAkAWUEAAAAAAAAAAAkKAFlBAAAAAAAAAAAKBwBZQQAAAAAAAAAAAAAAAA=</t>
        </r>
      </text>
    </comment>
    <comment ref="A1263" authorId="0" shapeId="0" xr:uid="{9523386C-9C4F-4B1C-8AD3-2AB53665B3D8}">
      <text>
        <r>
          <rPr>
            <sz val="9"/>
            <color indexed="81"/>
            <rFont val="MS P ゴシック"/>
            <family val="3"/>
            <charset val="128"/>
          </rPr>
          <t>Insight iXlW00001C0001263R0585476093S00002524P01104LAocjBAQBF1NjaVRlZ2ljLmRhdGEuTW9sZWN1bGUBbwF/ARJTY2lUZWdpYy5Nb2xlY3VsZQAAAQFkAv5qAQAAAAIAAjgcAAAA/PwA/AACAAAAAAAA8L8C7FG4HoXr4z8CAJF++zpwxr8AAAAAHAAAAPz8APwAAgAAAAAAAPC/AuxRuB6F6+M/AvcGX5hMFfc/AAAAABgAAAD8/AD8AAIAAAAAAADwvwKwlGWIY13zPwLXNO84RUfkPwAAAAAYAAAA/PwA/AACAAAAAAAA8L8CZMxdS8gH1b8CW9O84xQdwT8AAAAAGAAAAPz8APwAAgAAAAAAAPC/AmTMXUvIB9W/Amyad5yiI/I/AAAAABgAAAD8/AD8AAIAAAAAAADwvwICK4cW2c7tPwIvbqMBvAXyvwAAAAAYAAAA/PwA/AACAAAAAAAA8L8CW9O84xQd878CU5YhjnVx178AAAAAGAAAAPz8APwAAgAAAAAAAPC/Aj29UpYhjv4/AkXY8PRKWfW/AAAAACAAAAD8/AD8AAIAAAAAAADwvwL+ZffkYaEEQAKZTBWMSurivwAAAAAYAAAA/PwA/AACAAAAAAAA8L8CW9O84xQd878CbJp3nKIj+j8AAAAAGAAAAPz8APwAAgAAAAAAAPC/As4ZUdobfADAAlvTvOMUHcE/AAAAACAAAAD8/AD8AAIAAAAAAADwvwLkFB3J5b8BQALyY8xdS0gCwAAAAAAYAAAA/PwA/AACAAAAAAAA8L8CzhlR2ht8AMACbJp3nKIj8j8AAAAAJAAAAPz8APwAAgAAAAAAAPC/Au/Jw0KtaQfAAlOWIY51cde/AAAAADwECAFlCAgAAAAAAAAACAABZQQAAAAAAAAAAAwAAWUEAAAAAAAAAAAQDAFlBAAAAAAAAAAAFAABZQQAAAAAAAAAABgMAWUIDAAAAAAAAAAcFAFlBAAAAAAAAAAAIBwBZQgAAAAAAAAAACQQAWUICAAAAAAAAAAoGAFlBAAAAAAAAAAALBwBZQQAAAAAAAAAADAkAWUEAAAAAAAAAAA0KAFlBAAAAAAAAAAAEAQBZQQAAAAAAAAAACgwAWUICAAAAAAAAAAAAAAA</t>
        </r>
      </text>
    </comment>
    <comment ref="A1264" authorId="0" shapeId="0" xr:uid="{E1140686-FE07-4C06-9588-9A80B1EA450E}">
      <text>
        <r>
          <rPr>
            <sz val="9"/>
            <color indexed="81"/>
            <rFont val="MS P ゴシック"/>
            <family val="3"/>
            <charset val="128"/>
          </rPr>
          <t>Insight iXlW00001C0001264R0585476093S00002526P01196LAocjBAQBF1NjaVRlZ2ljLmRhdGEuTW9sZWN1bGUBbwF/ARJTY2lUZWdpYy5Nb2xlY3VsZQAAAQFkAv5qAQAAAAIAAjwYAAAA/PwA/AACAAAAAAAA8L8CDk+vlGWIwz8CL26jAbwF5D8AAAAAGAAAAPz8APwAAgAAAAAAAPC/Ai6QoPgx5uK/AhODwMqhRaa/AAAAABgAAAD8/AD8AAIAAAAAAADwvwJseHqlLEPQvwIcDeAtkKD4PwAAAAAcAAAA/PwA/AACAAAAAAAA8L8C0pFc/kP6878CoyO5/If09j8AAAAAGAAAAPz8APwAAgAAAAAAAPC/AlmoNc07Tve/Ap7vp8ZLN90/AAAAABgAAAD8/AD8AAIAAAAAAADwvwJMN4lBYOXivwIZBFYOLbLwvwAAAAAcAAAA/PwA/AACAAAAAAAA8L8CqMZLN4lBBEACKH6MuWsJ2b8AAAAAGAAAAPz8APwAAgAAAAAAAPC/AixlGeJYF/I/AgU0ETY8vdo/AAAAACQAAAD8/AD8AAIAAAAAAADwvwJvEoPAyqHRPwIZBFYOLbL4vwAAAAAYAAAA/PwA/AACAAAAAAAA8L8CmpmZmZmZ+D8C0NVW7C+7378AAAAAGAAAAPz8APwAAgAAAAAAAPC/Ak2EDU+vlALAAqhXyjLEsfC/AAAAABgAAAD8/AD8AAIAAAAAAADwvwJNhA1Pr5QCwAITg8DKoUWmvwAAAAAYAAAA/PwA/AACAAAAAAAA8L8Cs3vysFDrBUACgLdAguLH4j8AAAAAGAAAAPz8APwAAgAAAAAAAPC/AlmoNc07Tve/AqhXyjLEsfi/AAAAABgAAAD8/AD8AAIAAAAAAADwvwIll/+Qfvv9PwLAWyBB8WPxPwAAAAABEQQAAWUEAAAAAAAAAAAIAAFlCAgAAAAAAAAADAgBZQQAAAAAAAAAABAEAWUIDAAAAAAAAAAUBAFlBAAAAAAAAAAAGCQBZQQAAAAAAAAAABwAAWUEAAAAAAAAAAAgFAFlBAAAAAAAAAAAJBwBZQQAAAAAAAAAACgsAWUICAAAAAAAAAAsEAFlBAAAAAAAAAAAMDgBZQQAAAAAAAAAADQUAWUICAAAAAAAAAA4HAFlBAAAAAAAAAAADBABZQQAAAAAAAAAADAYAWUEAAAAAAAAAAAoNAFlBAAAAAAAAAAAAAAAAA==</t>
        </r>
      </text>
    </comment>
    <comment ref="A1265" authorId="0" shapeId="0" xr:uid="{0D9D6A5C-2073-4041-92E5-890559ACD18D}">
      <text>
        <r>
          <rPr>
            <sz val="9"/>
            <color indexed="81"/>
            <rFont val="MS P ゴシック"/>
            <family val="3"/>
            <charset val="128"/>
          </rPr>
          <t>Insight iXlW00001C0001265R0585476093S00002528P01124LAocjBAQBF1NjaVRlZ2ljLmRhdGEuTW9sZWN1bGUBbwF/ARJTY2lUZWdpYy5Nb2xlY3VsZQAAAQFkAv5qAQAAAAIAAjgcAAAA/PwA/AACAAAAAAAA8L8CDJOpglFJ5z8CSOF6FK5H+T8AAAAAGAAAAPz8APwAAgAAAAAAAPC/AlpkO99PjeW/AnnpJjEIrOg/AAAAABgAAAD8/AD8AAIAAAAAAADwvwIbwFsgQfHtPwIZc9cS8kHjPwAAAAAYAAAA/PwA/AACAAAAAAAA8L8CqTXNO07RsT8CyJi7lpAPuj8AAAAAGAAAAPz8APwAAgAAAAAAAPC/AsKopE5AE9G/AsHKoUW28/o/AAAAABgAAAD8/AD8AAIAAAAAAADwvwJ0RpT2Bl//vwKiRbbz/dTYvwAAAAAYAAAA/PwA/AACAAAAAAAA8L8C6dms+lxt+r8CTRWMSuoE4j8AAAAAGAAAAPz8APwAAgAAAAAAAPC/Av5l9+RhoQXAAiigibDh6fC/AAAAABgAAAD8/AD8AAIAAAAAAADwvwJe3EYDeAv8vwKzDHGsi9v1vwAAAAAYAAAA/PwA/AACAAAAAAAA8L8CT0ATYcPT/D8CyJi7lpAPuj8AAAAAJAAAAPz8APwAAgAAAAAAAPC/AkhQ/BhzVwVAAhlz1xLyQeM/AAAAABgAAAD8/AD8AAIAAAAAAADwvwKpNc07TtGxPwLnjCjtDb7svwAAAAAYAAAA/PwA/AACAAAAAAAA8L8COWdEaW/w7T8CdEaU9gZf9r8AAAAAGAAAAPz8APwAAgAAAAAAAPC/Ak9AE2HD0/w/AueMKO0Nvuy/AAAAAAEQBBABZQgMAAAAAAAAAAgAAWUEAAAAAAAAAAAMCAFlBAAAAAAAAAAAEAABZQQAAAAAAAAAABQYAWUEAAAAAAAAAAAYBAFlBAAAAAAAAAAAHBQBZQQAAAAAAAAAACAUAWUEAAAAAAAAAAAkCAFlCAgAAAAAAAAAKCQBZQQAAAAAAAAAACwMAWUICAAAAAAAAAAwLAFlBAAAAAAAAAAANCQBZQQAAAAAAAAAAAwEAWUEAAAAAAAAAAA0MAFlCAgAAAAAAAAAHCABZQQAAAAAAAAAAAAAAAA=</t>
        </r>
      </text>
    </comment>
    <comment ref="A1266" authorId="0" shapeId="0" xr:uid="{D93994C0-45E7-4DD4-B236-A68C288731BF}">
      <text>
        <r>
          <rPr>
            <sz val="9"/>
            <color indexed="81"/>
            <rFont val="MS P ゴシック"/>
            <family val="3"/>
            <charset val="128"/>
          </rPr>
          <t>Insight iXlW00001C0001266R0585476093S00002530P01268LAocjBAQBF1NjaVRlZ2ljLmRhdGEuTW9sZWN1bGUBbwF/ARJTY2lUZWdpYy5Nb2xlY3VsZQAAAQFkAv5qAQAAAAIAAgEQGAAAAPz8APwAAgAAAAAAAPC/Atnw9EpZhsi/Ak9AE2HD098/AAAAABwAAAD8/AD8AAIAAAAAAADwvwKY3ZOHhVrzPwKfPCzUmub0PwAAAAAYAAAA/PwA/AACAAAAAAAA8L8CDk+vlGWIyz8CGCZTBaOS9j8AAAAAGAAAAPz8APwAAgAAAAAAAPC/AtnO91PjpeE/AuJYF7fRAMa/AAAAABgAAAD8/AD8AAIAAAAAAADwvwKuR+F6FK72PwKPU3Qkl//UPwAAAAAYAAAA/PwA/AACAAAAAAAA8L8C+FPjpZtEAkAC4lgXt9EAxr8AAAAAGAAAAPz8APwAAgAAAAAAAPC/AtbFbTSAt/K/AvaX3ZOHhdI/AAAAACAAAAD8/AD8AAIAAAAAAADwvwJuNIC3QAIJwAJ2cRsN4C3AvwAAAAAkAAAA/PwA/AACAAAAAAAA8L8CUdobfGEyCUACj1N0JJf/1D8AAAAAGAAAAPz8APwAAgAAAAAAAPC/AtnO91PjpeE/Ah3r4jYawPK/AAAAABgAAAD8/AD8AAIAAAAAAADwvwKuR+F6FK72PwId6+I2GsD6vwAAAAAYAAAA/PwA/AACAAAAAAAA8L8C+FPjpZtEAkACHeviNhrA8r8AAAAAGAAAAPz8APwAAgAAAAAAAPC/Ag8tsp3vpwPAAk9AE2HD0+u/AAAAABgAAAD8/AD8AAIAAAAAAADwvwIofoy5a4kGwALeAgmKH2PqPwAAAAAYAAAA/PwA/AACAAAAAAAA8L8CYjJVMCqp978CI2x4eqUs5b8AAAAAGAAAAPz8APwAAgAAAAAAAPC/ApXUCWgibP2/AoXrUbgehfA/AAAAAAESBAgBZQQAAAAAAAAAAAgAAWUICAAAAAAAAAAMAAFlBAAAAAAAAAAAEAwBZQgMAAAAAAAAABQQAWUEAAAAAAAAAAAYAAFlBAAAAAAAAAAAHDABZQQAAAAAAAAAACAUAWUEAAAAAAAAAAAkDAFlBAAAAAAAAAAAKCQBZQgIAAAAAAAAACwUAWUICAAAAAAAAAAwOAFlBAAAAAAAAAAANDwBZQQAAAAAAAAAADgYAWUEAAAAAAAAAAA8GAFlBAAAAAAAAAAABBABZQQAAAAAAAAAABw0AWUEAAAAAAAAAAAsKAFlBAAAAAAAAAAAAAAAAA==</t>
        </r>
      </text>
    </comment>
    <comment ref="A1267" authorId="0" shapeId="0" xr:uid="{8D34AA5D-E257-41B2-95A6-98FDEC3BD7D6}">
      <text>
        <r>
          <rPr>
            <sz val="9"/>
            <color indexed="81"/>
            <rFont val="MS P ゴシック"/>
            <family val="3"/>
            <charset val="128"/>
          </rPr>
          <t>Insight iXlW00001C0001267R0585476093S00002532P01288LAocjBAQBF1NjaVRlZ2ljLmRhdGEuTW9sZWN1bGUBbwF/ARJTY2lUZWdpYy5Nb2xlY3VsZQAAAQFkAv5qAQAAAAIAAgERGAAAAPz8APwAAgAAAAAAAPC/AtxoAG+BBAhAAkGC4seYu/u/AAAAACAAAAD8/AD8AAIAAAAAAADwvwLcaABvgQQIQAKCBMWPMXfnvwAAAAAYAAAA/PwA/AACAAAAAAAA8L8Cu7iNBvAWAUACBhIUP8bczb8AAAAAHAAAAPz8APwAAgAAAAAAAPC/Aru4jQbwFgFAAn/7OnDOiOg/AAAAABgAAAD8/AD8AAIAAAAAAADwvwI0ETY8vVL0PwLAfR04Z0T0PwAAAAAYAAAA/PwA/AACAAAAAAAA8L8CysNCrWne2T8Cf/s6cM6I6D8AAAAAGAAAAPz8APwAAgAAAAAAAPC/AsrDQq1p3tk/AgYSFD/G3M2/AAAAABwAAAD8/AD8AAIAAAAAAADwvwIBb4EExY/dvwKCBMWPMXfnvwAAAAAYAAAA/PwA/AACAAAAAAAA8L8CArwFEhQ/9b8CBhIUP8bczb8AAAAAGAAAAPz8APwAAgAAAAAAAPC/AiKOdXEbjQHAAoIExY8xd+e/AAAAABgAAAD8/AD8AAIAAAAAAADwvwJDPujZrHoIwAIGEhQ/xtzNvwAAAAAcAAAA/PwA/AACAAAAAAAA8L8CQz7o2ax6CMACf/s6cM6I6D8AAAAAGAAAAPz8APwAAgAAAAAAAPC/AiKOdXEbjQHAAk/RkVz+Q/Q/AAAAABgAAAD8/AD8AAIAAAAAAADwvwICvAUSFD/1vwKdoiO5/IfoPwAAAAAcAAAA/PwA/AACAAAAAAAA8L8CNBE2PL1S9D8CggTFjzF3578AAAAAAREAAAD8/AD8AAIAAAAAAADwvwJCz2bV52oOQAIkufyH9NvPvwAAAAABEQAAAPz8APwAAgAAAAAAAPC/Ai/dJAaBVRNAAuhqK/aX3cu/AAAAAAEQAAQBZQQAAAAAAAAAAAQIAWUEAAAAAAAAAAAIDAFlCAwAAAAAAAAADBABZQQAAAAAAAAAABAUAWUICAAAAAAAAAAUGAFlBAAAAAAAAAAAGBwBZQQAAAAAAAAAABwgAWUEAAAAAAAAAAAgJAFlBAAAAAAAAAAAJCgBZQQAAAAAAAAAACgsAWUEAAAAAAAAAAAsMAFlBAAAAAAAAAAAMDQBZQQAAAAAAAAAADQgAWUEAAAAAAAAAAAYOAFlCAgAAAAAAAAAOAgBZQQAAAAAAAAAAAAAAAA=</t>
        </r>
      </text>
    </comment>
    <comment ref="A1268" authorId="0" shapeId="0" xr:uid="{1DF3AA9A-063A-4D20-A561-02891F396141}">
      <text>
        <r>
          <rPr>
            <sz val="9"/>
            <color indexed="81"/>
            <rFont val="MS P ゴシック"/>
            <family val="3"/>
            <charset val="128"/>
          </rPr>
          <t>Insight iXlW00001C0001268R0585476093S00002534P01284LAocjBAQBF1NjaVRlZ2ljLmRhdGEuTW9sZWN1bGUBbwF/ARJTY2lUZWdpYy5Nb2xlY3VsZQAAAQFkAv5qAQAAAAIAAgESJAAAAPz8APwAAgAAAAAAAPC/AgAAAAAAgATAAgAAAAAAAPC/AAAAABgAAAD8/AD8AAIAAAAAAADwvwIAAAAAAIAEwAAAAAAAJAAAAPz8APwAAgAAAAAAAPC/AgAAAAAAgAzAAAAAAAAkAAAA/PwA/AACAAAAAAAA8L8CAAAAAACABMABAAAAABgAAAD8/AD8AAIAAAAAAADwvwIAAAAAAAD5vwAAAAAAGAAAAPz8APwAAgAAAAAAAPC/AgAAAAAAAPG/AoPAyqFFtuu/AAAAABwAAAD8/AD8AAIAAAAAAADwvwIAAAAAAACwvwKDwMqhRbbrvwAAAAAYAAAA/PwA/AACAAAAAAAA8L8CAAAAAAAA3D8AAAAAABwAAAD8/AD8AAIAAAAAAADwvwIAAAAAAACwvwKDwMqhRbbrPwAAAAAYAAAA/PwA/AACAAAAAAAA8L8CAAAAAAAA8b8Cg8DKoUW26z8AAAAAHAAAAPz8APwAAgAAAAAAAPC/AgAAAAAAAPc/AAAAAAAYAAAA/PwA/AACAAAAAAAA8L8CAAAAAAAA/z8Cg8DKoUW26z8AAAAAGAAAAPz8APwAAgAAAAAAAPC/AgAAAAAAgAdAAoPAyqFFtus/AAAAABwAAAD8/AD8AAIAAAAAAADwvwIAAAAAAIALQAAAAAAAGAAAAPz8APwAAgAAAAAAAPC/AgAAAAAAgAdAAoPAyqFFtuu/AAAAABgAAAD8/AD8AAIAAAAAAADwvwIAAAAAAAD/PwKDwMqhRbbrvwAAAAABEQAAAPz8APwAAgAAAAAAAPC/AjMzMzMz8xBAAt9xio7k8o+/AAAAAAERAAAA/PwA/AACAAAAAAAA8L8CwqikTkATFUAC33GKjuTyjz8AAAAAAREABAFlBAAAAAAAAAAABAgBZQQAAAAAAAAAAAQMAWUEAAAAAAAAAAAEEAFlBAAAAAAAAAAAEBQBZQgMAAAAAAAAABQYAWUEAAAAAAAAAAAYHAFlCAgAAAAAAAAAHCABZQQAAAAAAAAAACAkAWUICAAAAAAAAAAkEAFlBAAAAAAAAAAAHCgBZQQAAAAAAAAAACgsAWUEAAAAAAAAAAAsMAFlBAAAAAAAAAAAMDQBZQQAAAAAAAAAADQ4AWUEAAAAAAAAAAA4PAFlBAAAAAAAAAAAPCgBZQQAAAAAAAAAAAAAAAA=</t>
        </r>
      </text>
    </comment>
    <comment ref="A1269" authorId="0" shapeId="0" xr:uid="{5C49E030-2A14-4172-BE91-9478E652F908}">
      <text>
        <r>
          <rPr>
            <sz val="9"/>
            <color indexed="81"/>
            <rFont val="MS P ゴシック"/>
            <family val="3"/>
            <charset val="128"/>
          </rPr>
          <t>Insight iXlW00001C0001269R0585476093S00002536P00964LAocjBAQBF1NjaVRlZ2ljLmRhdGEuTW9sZWN1bGUBbwF/ARJTY2lUZWdpYy5Nb2xlY3VsZQAAAQFkAv5qAQAAAAIAAjAYAAAA/PwA/AACAAAAAAAA8L8CAAAAAAAA9D8Cg8DKoUW22z8AAAAAGAAAAPz8APwAAgAAAAAAAPC/AgAAAAAAANA/AoPAyqFFtts/AAAAABgAAAD8/AD8AAIAAAAAAADwvwIAAAAAAADQvwKDwMqhRbbbvwAAAAAcAAAA/PwA/AACAAAAAAAA8L8CAAAAAAAA/D8Cg8DKoUW2278AAAAAGAAAAPz8APwAAgAAAAAAAPC/AgAAAAAAAPS/AoPAyqFFttu/AAAAACAAAAD8/AD8AAIAAAAAAADwvwIAAAAAAAD8PwJjEFg5tMj0PwAAAAAcAAAA/PwA/AACAAAAAAAA8L8CAAAAAAAA/L8CYxBYObTI9L8AAAAAGAAAAPz8APwAAgAAAAAAAPC/AgAAAAAAAPQ/AmMQWDm0yPS/AAAAABgAAAD8/AD8AAIAAAAAAADwvwIAAAAAAADQPwJjEFg5tMj0vwAAAAAYAAAA/PwA/AACAAAAAAAA8L8CAAAAAAAA0L8C1LzjFB3J9D8AAAAAGAAAAPz8APwAAgAAAAAAAPC/AgAAAAAAAPS/AmMQWDm0yPQ/AAAAABgAAAD8/AD8AAIAAAAAAADwvwIAAAAAAAD8vwKDwMqhRbbbPwAAAAA0BAABZQQAAAAAAAAAAAgEAWUIDAAAAAAAAAAMAAFlBAAAAAAAAAAAEAgBZQQAAAAAAAAAABQAAWUIAAAAAAAAAAAYEAFlBAAAAAAAAAAAHAwBZQQAAAAAAAAAACAcAWUEAAAAAAAAAAAkBAFlBAAAAAAAAAAAKCQBZQgIAAAAAAAAACwQAWUICAAAAAAAAAAgCAFlBAAAAAAAAAAALCgBZQQAAAAAAAAAAAAAAAA=</t>
        </r>
      </text>
    </comment>
    <comment ref="A1270" authorId="0" shapeId="0" xr:uid="{4A279526-D674-47E7-BFA4-B143E7FE7755}">
      <text>
        <r>
          <rPr>
            <sz val="9"/>
            <color indexed="81"/>
            <rFont val="MS P ゴシック"/>
            <family val="3"/>
            <charset val="128"/>
          </rPr>
          <t>Insight iXlW00001C0001270R0585476093S00002538P01248LAocjBAQBF1NjaVRlZ2ljLmRhdGEuTW9sZWN1bGUBbwF/ARJTY2lUZWdpYy5Nb2xlY3VsZQAAAQFkAv5qAQAAAAIAAgEQGAAAAPz8APwAAgAAAAAAAPC/AsWxLm6jAf4/AnicoiO5/Le/AAAAABwAAAD8/AD8AAIAAAAAAADwvwKV9gZfmEzzPwKeXinLEMfqvwAAAAAcAAAA/PwA/AACAAAAAAAA8L8CQYLix5i70j8CSp2AJsKG278AAAAAGAAAAPz8APwAAgAAAAAAAPC/AsSxLm6jAfY/AvRsVn2utug/AAAAABgAAAD8/AD8AAIAAAAAAADwvwIkKH6MuWvZPwLImLuWkA/iPwAAAAAYAAAA/PwA/AACAAAAAAAA8L8CvlKWIY71BkACA5oIG55eyb8AAAAAGAAAAPz8APwAAgAAAAAAAPC/AmN/2T15WOK/AqVOQBNhw+2/AAAAACAAAAD8/AD8AAIAAAAAAADwvwKaCBueXqkLQAKWsgxxrIvjPwAAAAAcAAAA/PwA/AACAAAAAAAA8L8CO3DOiNJeCcACSp2AJsKG278AAAAAGAAAAPz8APwAAgAAAAAAAPC/AvMf0m9fB/e/AoXrUbgehdu/AAAAACAAAAD8/AD8AAIAAAAAAADwvwK8lpAPejYKQAK2FfvL7snxvwAAAAAYAAAA/PwA/AACAAAAAAAA8L8Cv58aL90k1r8CI9v5fmq88z8AAAAAGAAAAPz8APwAAgAAAAAAAPC/AhrAWyBBcQLAAsP1KFyPwu2/AAAAABgAAAD8/AD8AAIAAAAAAADwvwI7cM6I0l4JwAJcsb/snjziPwAAAAAYAAAA/PwA/AACAAAAAAAA8L8C8x/Sb18H978CXLG/7J484j8AAAAAGAAAAPz8APwAAgAAAAAAAPC/AhrAWyBBcQLAAq7YX3ZPHvE/AAAAAAERBAABZQgIAAAAAAAAAAgEAWUEAAAAAAAAAAAMAAFlBAAAAAAAAAAAEAwBZQgMAAAAAAAAABQAAWUEAAAAAAAAAAAYCAFlBAAAAAAAAAAAHBQBZQgAAAAAAAAAACAwAWUICAAAAAAAAAAkGAFlBAAAAAAAAAAAKBQBZQQAAAAAAAAAACwQAWUEAAAAAAAAAAAwJAFlBAAAAAAAAAAANDwBZQgIAAAAAAAAADgkAWUIDAAAAAAAAAA8OAFlBAAAAAAAAAAACBABZQQAAAAAAAAAADQgAWUEAAAAAAAAAAAAAAAA</t>
        </r>
      </text>
    </comment>
    <comment ref="A1271" authorId="0" shapeId="0" xr:uid="{C6C8C484-128C-4444-A7B1-1BDA8F198334}">
      <text>
        <r>
          <rPr>
            <sz val="9"/>
            <color indexed="81"/>
            <rFont val="MS P ゴシック"/>
            <family val="3"/>
            <charset val="128"/>
          </rPr>
          <t>Insight iXlW00001C0001271R0585476093S00002540P01320LAocjBAQBF1NjaVRlZ2ljLmRhdGEuTW9sZWN1bGUBbwF/ARJTY2lUZWdpYy5Nb2xlY3VsZQAAAQFkAv5qAQAAAAIAAgERGAAAAPz8APwAAgAAAAAAAPC/Al+6SQwCK+0/At1GA3gLJOq/AAAAABwAAAD8/AD8AAIAAAAAAADwvwJt5/up8dLpPwK5HoXrUbjGPwAAAAAcAAAA/PwA/AACAAAAAAAA8L8Cu0kMAiuH+z8CirDh6ZWy4j8AAAAAGAAAAPz8APwAAgAAAAAAAPC/AusENBE2PP4/Ava52or9ZfC/AAAAABgAAAD8/AD8AAIAAAAAAADwvwK0WfW52orFPwItsp3vp8b3vwAAAAAYAAAA/PwA/AACAAAAAAAA8L8CaZHtfD81rr8CrkfhehSu5T8AAAAAGAAAAPz8APwAAgAAAAAAAPC/AnUCmggbHgNAAhZqTfOOU8S/AAAAABgAAAD8/AD8AAIAAAAAAADwvwKamZmZmZntvwK5HoXrUbjGPwAAAAAgAAAA/PwA/AACAAAAAAAA8L8CM1UwKqkT2D8C9GxWfa62A8AAAAAAGAAAAPz8APwAAgAAAAAAAPC/Ag8tsp3vp/y/Aq5H4XoUruU/AAAAACAAAAD8/AD8AAIAAAAAAADwvwLPiNLe4AvpvwKiRbbz/dTyvwAAAAAYAAAA/PwA/AACAAAAAAAA8L8CaZHtfD81rr8C16NwPQrX+j8AAAAAIAAAAPz8APwAAgAAAAAAAPC/AqjGSzeJQQXAArkehetRuMY/AAAAABgAAAD8/AD8AAIAAAAAAADwvwKamZmZmZntvwLsUbgehWsBQAAAAAAYAAAA/PwA/AACAAAAAAAA8L8CUfwYc9cSC0ACPnlYqDXNq78AAAAAGAAAAPz8APwAAgAAAAAAAPC/Ag8tsp3vp/y/AtejcD0K1/o/AAAAABgAAAD8/AD8AAIAAAAAAADwvwLhnBGlvUEFwAJSuB6F61HqvwAAAAABEgQAAWUEAAAAAAAAAAAIBAFlBAAAAAAAAAAADAABZQgIAAAAAAAAABAAAWUEAAAAAAAAAAAUBAFlBAAAAAAAAAAAGAwBZQQAAAAAAAAAABwUAWUEAAAAAAAAAAAgEAFlCAAAAAAAAAAAJBwBZQgMAAAAAAAAACgQAWUEAAAAAAAAAAAsFAFlCAwAAAAAAAAAMCQBZQQAAAAAAAAAADQsAWUEAAAAAAAAAAA4GAFlBAAAAAAAAAAAPCQBZQQAAAAAAAAAAAEQMAFlBAAAAAAAAAAAGAgBZQgIAAAAAAAAADw0AWUICAAAAAAAAAAAAAAA</t>
        </r>
      </text>
    </comment>
    <comment ref="A1272" authorId="0" shapeId="0" xr:uid="{F135F570-D931-4A78-96C6-FAB50B88F043}">
      <text>
        <r>
          <rPr>
            <sz val="9"/>
            <color indexed="81"/>
            <rFont val="MS P ゴシック"/>
            <family val="3"/>
            <charset val="128"/>
          </rPr>
          <t>Insight iXlW00001C0001272R0585476093S00002542P01396LAocjBAQBF1NjaVRlZ2ljLmRhdGEuTW9sZWN1bGUBbwF/ARJTY2lUZWdpYy5Nb2xlY3VsZQAAAQFkAv5qAQAAAAIAAgESGAAAAPz8APwAAgAAAAAAAPC/AvoP6bevA9s/AvSOU3Qkl+c/AAAAABwAAAD8/AD8AAIAAAAAAADwvwJR2ht8YTLFvwIaUdobfGGyvwAAAAAcAAAA/PwA/AACAAAAAAAA8L8C+g/pt68D2z8COiNKe4Mv7L8AAAAAGAAAAPz8APwAAgAAAAAAAPC/Ag3gLZCg+PU/AiNKe4MvTOK/AAAAABgAAAD8/AD8AAIAAAAAAADwvwIN4C2QoPj1PwK6awn5oGfbPwAAAAAYAAAA/PwA/AACAAAAAAAA8L8CTKYKRiV1AUACyxDHuriN8r8AAAAAGAAAAPz8APwAAgAAAAAAAPC/AjJ3LSEf9Lw/AoljXdxGA/s/AAAAABgAAAD8/AD8AAIAAAAAAADwvwJKe4MvTKbyvwIaUdobfGGyvwAAAAAgAAAA/PwA/AACAAAAAAAA8L8CkaD4Meau678CLiEf9GxW/j8AAAAAJAAAAPz8APwAAgAAAAAAAPC/Ailcj8L1KAZAAgCRfvs6cNa/AAAAACQAAAD8/AD8AAIAAAAAAADwvwLLMsSxLu4HQAKFfNCzWfX7vwAAAAAkAAAA/PwA/AACAAAAAAAA8L8CUI2XbhKD+T8CV32utmJ//78AAAAAIAAAAPz8APwAAgAAAAAAAPC/AmTMXUvIB+k/Aoj029eBcwNAAAAAABgAAAD8/AD8AAIAAAAAAADwvwJKe4MvTKb6vwJgdk8eFmrpPwAAAAAYAAAA/PwA/AACAAAAAAAA8L8CSnuDL0ym+r8CpwpGJXUC7r8AAAAAGAAAAPz8APwAAgAAAAAAAPC/AqW9wRcmUwXAAqcKRiV1Au6/AAAAABgAAAD8/AD8AAIAAAAAAADwvwKlvcEXJlMFwAJgdk8eFmrpPwAAAAAYAAAA/PwA/AACAAAAAAAA8L8Cpb3BFyZTCcACGlHaG3xhsr8AAAAAARMEAAFlBAAAAAAAAAAACAQBZQQAAAAAAAAAAAwQAWUEAAAAAAAAAAAQAAFlCAgAAAAAAAAAFAwBZQQAAAAAAAAAABgAAWUEAAAAAAAAAAAcBAFlBAAAAAAAAAAAIBgBZQgAAAAAAAAAACQUAWUEAAAAAAAAAAAoFAFlBAAAAAAAAAAALBQBZQQAAAAAAAAAADAYAWUEAAAAAAAAAAA0HAFlCAwAAAAAAAAAOBwBZQQAAAAAAAAAADw4AWUICAAAAAAAAAABEDQBZQQAAAAAAAAAAAERARABZQgIAAAAAAAAAAwIAWUICAAAAAAAAAABETwBZQQAAAAAAAAAAAAAAAA=</t>
        </r>
      </text>
    </comment>
    <comment ref="A1273" authorId="0" shapeId="0" xr:uid="{7E03AAB7-AE37-4E2D-8B73-48F99C6B661C}">
      <text>
        <r>
          <rPr>
            <sz val="9"/>
            <color indexed="81"/>
            <rFont val="MS P ゴシック"/>
            <family val="3"/>
            <charset val="128"/>
          </rPr>
          <t>Insight iXlW00001C0001273R0585476093S00002544P00828LAocjBAQBF1NjaVRlZ2ljLmRhdGEuTW9sZWN1bGUBbwF/ARJTY2lUZWdpYy5Nb2xlY3VsZQAAAQFkAv5qAQAAAAIAAiwcAAAA/PwA/AACAAAAAAAA8L8CAAAAAAAA/z8C5BQdyeU/6D8AAAAAHAAAAPz8APwAAgAAAAAAAPC/AgAAAAAAAPc/AgwkKH6Mubu/AAAAABgAAAD8/AD8AAIAAAAAAADwvwIAAAAAAADcPwIMJCh+jLm7vwAAAAAYAAAA/PwA/AACAAAAAAAA8L8CAAAAAAAAsL8CBcWPMXct778AAAAAGAAAAPz8APwAAgAAAAAAAPC/AgAAAAAAAPG/AgXFjzF3Le+/AAAAABwAAAD8/AD8AAIAAAAAAADwvwIAAAAAAAD5vwIMJCh+jLm7vwAAAAAYAAAA/PwA/AACAAAAAAAA8L8CAAAAAAAA8b8CArwFEhQ/6D8AAAAAGAAAAPz8APwAAgAAAAAAAPC/AgAAAAAAALC/AgK8BRIUP+g/AAAAAAERAAAA/PwA/AACAAAAAAAA8L8CZ2ZmZmbmBUACxLEubqMBxL8AAAAAAREAAAD8/AD8AAIAAAAAAADwvwKDUUmdgCYOQAKJY13cRgPAvwAAAAABEQAAAPz8APwAAgAAAAAAAPC/Amsr9pfdUxNAAtqs+lxtxa6/AAAAACAABAFlBAAAAAAAAAAABAgBZQQAAAAAAAAAAAgMAWUIDAAAAAAAAAAMEAFlBAAAAAAAAAAAEBQBZQgIAAAAAAAAABQYAWUEAAAAAAAAAAAYHAFlCAgAAAAAAAAAHAgBZQQAAAAAAAAAAAAAAAA=</t>
        </r>
      </text>
    </comment>
    <comment ref="A1274" authorId="0" shapeId="0" xr:uid="{006D0D72-7CB3-4529-AB61-5FE37E3C2094}">
      <text>
        <r>
          <rPr>
            <sz val="9"/>
            <color indexed="81"/>
            <rFont val="MS P ゴシック"/>
            <family val="3"/>
            <charset val="128"/>
          </rPr>
          <t>Insight iXlW00001C0001274R0585476093S00002546P01340LAocjBAQBF1NjaVRlZ2ljLmRhdGEuTW9sZWN1bGUBbwF/ARJTY2lUZWdpYy5Nb2xlY3VsZQAAAQFkAv5qAQAAAAIAAgERHAAAAPz8APwAAgAAAAAAAPC/Ar4wmSoYleA/Arn8h/Tb19E/AAAAABgAAAD8/AD8AAIAAAAAAADwvwIZBFYOLbLxPwK62or9ZffgvwAAAAAcAAAA/PwA/AACAAAAAAAA8L8CvjCZKhiV4D8C6dms+lxt9b8AAAAAGAAAAPz8APwAAgAAAAAAAPC/Ar8OnDOitNu/Al1txf6ye/C/AAAAABgAAAD8/AD8AAIAAAAAAADwvwK/DpwzorTbvwI/V1uxv+yevwAAAAAYAAAA/PwA/AACAAAAAAAA8L8CDQIrhxbZAEACutqK/WX34L8AAAAAGAAAAPz8APwAAgAAAAAAAPC/AtUJaCJseOo/Aj2bVZ+rrfM/AAAAABgAAAD8/AD8AAIAAAAAAADwvwItsp3vp8YHQALswDkjSnvwvwAAAAAYAAAA/PwA/AACAAAAAAAA8L8CLbKd76fGB0ACP1dbsb/snr8AAAAAGAAAAPz8APwAAgAAAAAAAPC/AvJjzF1LyPS/Al1txf6ye/i/AAAAABgAAAD8/AD8AAIAAAAAAADwvwLyY8xdS8j0vwKMSuoENBHePwAAAAAYAAAA/PwA/AACAAAAAAAA8L8CXLG/7J48xD8CxSCwcmiR/z8AAAAAIAAAAPz8APwAAgAAAAAAAPC/AiBj7lpCPuq/Aq+2Yn/ZPfw/AAAAABgAAAD8/AD8AAIAAAAAAADwvwIa4lgXt1EBwAJdbcX+snvwvwAAAAAYAAAA/PwA/AACAAAAAAAA8L8CGuJYF7dRAcACP1dbsb/snr8AAAAAIAAAAPz8APwAAgAAAAAAAPC/AtuK/WX35N0/AmrecYqOZAdAAAAAACQAAAD8/AD8AAIAAAAAAADwvwJzaJHtfD8IwAJdbcX+snv4vwAAAAABEwQAAWUEAAAAAAAAAAAIBAFlCAgAAAAAAAAADBABZQQAAAAAAAAAABAAAWUEAAAAAAAAAAAUBAFlBAAAAAAAAAAAGAABZQQAAAAAAAAAABwUAWUEAAAAAAAAAAAgFAFlBAAAAAAAAAAAJAwBZQgIAAAAAAAAACgQAWUICAAAAAAAAAAsGAFlBAAAAAAAAAAAMCwBZQgAAAAAAAAAADQkAWUEAAAAAAAAAAA4KAFlBAAAAAAAAAAAPCwBZQQAAAAAAAAAAAEQNAFlBAAAAAAAAAAADAgBZQQAAAAAAAAAABwgAWUEAAAAAAAAAAA4NAFlCAgAAAAAAAAAAAAAAA==</t>
        </r>
      </text>
    </comment>
    <comment ref="A1275" authorId="0" shapeId="0" xr:uid="{69D94F0D-63FB-423F-A36B-E4A43E8394C4}">
      <text>
        <r>
          <rPr>
            <sz val="9"/>
            <color indexed="81"/>
            <rFont val="MS P ゴシック"/>
            <family val="3"/>
            <charset val="128"/>
          </rPr>
          <t>Insight iXlW00001C0001275R0585476093S00002548P01176LAocjBAQBF1NjaVRlZ2ljLmRhdGEuTW9sZWN1bGUBbwF/ARJTY2lUZWdpYy5Nb2xlY3VsZQAAAQFkAv5qAQAAAAIAAjwcAAAA/PwA/AACAAAAAAAA8L8CAJF++zpw6D8COIlBYOXQ9T8AAAAAHAAAAPz8APwAAgAAAAAAAPC/AmdmZmZmZuS/Alg5tMh2vuE/AAAAABgAAAD8/AD8AAIAAAAAAADwvwK0WfW52orNvwIhH/RsVn33PwAAAAAYAAAA/PwA/AACAAAAAAAA8L8CDr4wmSoY7z8C8YXJVMGo2D8AAAAAGAAAAPz8APwAAgAAAAAAAPC/AlfsL7snD7s/Aj/o2az6XL2/AAAAABgAAAD8/AD8AAIAAAAAAADwvwJ+rrZif9n5vwJYyjLEsS7WPwAAAAAYAAAA/PwA/AACAAAAAAAA8L8CCRueXinL/r8CEHo2qz5X478AAAAAGAAAAPz8APwAAgAAAAAAAPC/Akm/fR04Z/0/Ai4hH/RsVr2/AAAAACAAAAD8/AD8AAIAAAAAAADwvwJKDAIrhxb0vwIBb4EExY/1vwAAAAAkAAAA/PwA/AACAAAAAAAA8L8CxY8xdy2hBUACtTf4wmSq2D8AAAAAGAAAAPz8APwAAgAAAAAAAPC/Am1Wfa62Yue/ArK/7J48rAJAAAAAACAAAAD8/AD8AAIAAAAAAADwvwJiodY07zgHwAIep+hILv/pvwAAAAAYAAAA/PwA/AACAAAAAAAA8L8CV+wvuycPuz8CE/JBz2bV8b8AAAAAGAAAAPz8APwAAgAAAAAAAPC/Ag6+MJkqGO8/AhPyQc9m1fm/AAAAABgAAAD8/AD8AAIAAAAAAADwvwJJv30dOGf9PwIT8kHPZtXxvwAAAAABEAQIAWUEAAAAAAAAAAAIAAFlCAgAAAAAAAAADAABZQQAAAAAAAAAABAMAWUEAAAAAAAAAAAUBAFlBAAAAAAAAAAAGBQBZQQAAAAAAAAAABwMAWUICAAAAAAAAAAgGAFlCAAAAAAAAAAAJBwBZQQAAAAAAAAAACgIAWUEAAAAAAAAAAAsGAFlBAAAAAAAAAAAMBABZQgIAAAAAAAAADQwAWUEAAAAAAAAAAA4HAFlBAAAAAAAAAAABBABZQQAAAAAAAAAADQ4AWUICAAAAAAAAAAAAAAA</t>
        </r>
      </text>
    </comment>
    <comment ref="A1276" authorId="0" shapeId="0" xr:uid="{ADEEAE33-46F6-400F-91E3-B2F60DC02893}">
      <text>
        <r>
          <rPr>
            <sz val="9"/>
            <color indexed="81"/>
            <rFont val="MS P ゴシック"/>
            <family val="3"/>
            <charset val="128"/>
          </rPr>
          <t>Insight iXlW00001C0001276R0585476093S00002550P01560LAocjBAQBF1NjaVRlZ2ljLmRhdGEuTW9sZWN1bGUBbwF/ARJTY2lUZWdpYy5Nb2xlY3VsZQAAAQFkAv5qAQAAAAIAAgEUHAAAAPz8APwAAgAAAAAAAPC/Ahi30QDeArm/Avvt68A5I9o/AAAAABwAAAD8/AD8AAIAAAAAAADwvwIYt9EA3gK5vwKY3ZOHhVrzvwAAAAAYAAAA/PwA/AACAAAAAAAA8L8CIUHxY8xd3z8CM8SxLm6j2b8AAAAAGAAAAPz8APwAAgAAAAAAAPC/AoC3QILix/C/AhriWBe30ey/AAAAABgAAAD8/AD8AAIAAAAAAADwvwKAt0CC4sfwvwI17zhFR3K5PwAAAAAYAAAA/PwA/AACAAAAAAAA8L8Cz4jS3uALyz8CHeviNhrA9T8AAAAAGAAAAPz8APwAAgAAAAAAAPC/ApX2Bl+YTN2/AouO5PIf0gBAAAAAABgAAAD8/AD8AAIAAAAAAADwvwLCFyZTBaP+vwINcayL22j2vwAAAAAYAAAA/PwA/AACAAAAAAAA8L8CSFD8GHPX9z8CM8SxLm6j2b8AAAAAIAAAAPz8APwAAgAAAAAAAPC/AmHl0CLb+fa/Av+ye/KwUP4/AAAAACAAAAD8/AD8AAIAAAAAAADwvwIkKH6MuesLQAIzxLEubqPZvwAAAAAkAAAA/PwA/AACAAAAAAAA8L8CwhcmUwWj/r8ChzjWxW00A8AAAAAAIAAAAPz8APwAAgAAAAAAAPC/As+I0t7gC8O/AlqGONbFbQhAAAAAABgAAAD8/AD8AAIAAAAAAADwvwLCFyZTBaP+vwLnHafoSC7jPwAAAAAYAAAA/PwA/AACAAAAAAAA8L8CArwFEhQ/BsACNe84RUdyuT8AAAAAGAAAAPz8APwAAgAAAAAAAPC/AgK8BRIUPwbAAhriWBe30ey/AAAAABgAAAD8/AD8AAIAAAAAAADwvwIkKH6MuesHQALUvOMUHcndPwAAAAAYAAAA/PwA/AACAAAAAAAA8L8CJCh+jLnrB0ACT9GRXP5D9L8AAAAAGAAAAPz8APwAAgAAAAAAAPC/AklQ/Bhz1/8/AtS84xQdyd0/AAAAABgAAAD8/AD8AAIAAAAAAADwvwJJUPwYc9f/PwJP0ZFc/kP0vwAAAAABFgQIAWUICAAAAAAAAAAIAAFlBAAAAAAAAAAADBABZQgMAAAAAAAAABAAAWUEAAAAAAAAAAAUAAFlBAAAAAAAAAAAGBQBZQQAAAAAAAAAABwMAWUEAAAAAAAAAAAgCAFlBAAAAAAAAAAAJBgBZQgAAAAAAAAAACgBEAFlBAAAAAAAAAAALBwBZQQAAAAAAAAAADAYAWUEAAAAAAAAAAA0EAFlBAAAAAAAAAAAODQBZQgIAAAAAAAAADwcAWUICAAAAAAAAAABEAESAWUEAAAAAAAAAAABEQETAWUEAAAAAAAAAAABEiABZQQAAAAAAAAAAAETIAFlBAAAAAAAAAAADAQBZQQAAAAAAAAAACgBEQFlBAAAAAAAAAAAODwBZQQAAAAAAAAAAAAAAAA=</t>
        </r>
      </text>
    </comment>
    <comment ref="A1277" authorId="0" shapeId="0" xr:uid="{61543ABB-D224-4A76-BA92-9B4CC170ABC1}">
      <text>
        <r>
          <rPr>
            <sz val="9"/>
            <color indexed="81"/>
            <rFont val="MS P ゴシック"/>
            <family val="3"/>
            <charset val="128"/>
          </rPr>
          <t>Insight iXlW00001C0001277R0585476093S00002552P00964LAocjBAQBF1NjaVRlZ2ljLmRhdGEuTW9sZWN1bGUBbwF/ARJTY2lUZWdpYy5Nb2xlY3VsZQAAAQFkAv5qAQAAAAIAAjAYAAAA/PwA/AACAAAAAAAA8L8CXW3F/rJ7wr8Cl5APejar2r8AAAAAHAAAAPz8APwAAgAAAAAAAPC/Akm/fR04Z/k/ApeQD3o2q9q/AAAAABgAAAD8/AD8AAIAAAAAAADwvwJdbcX+snvCvwK1N/jCZKriPwAAAAAYAAAA/PwA/AACAAAAAAAA8L8CSb99HThn+T8CtTf4wmSq4j8AAAAAGAAAAPz8APwAAgAAAAAAAPC/Ag6+MJkqGOc/AkzIBz2bVe2/AAAAABgAAAD8/AD8AAIAAAAAAADwvwIOvjCZKhjnPwLbG3xhMlXxPwAAAAAYAAAA/PwA/AACAAAAAAAA8L8C7Q2+MJkq8L8CTMgHPZtV7b8AAAAAIAAAAPz8APwAAgAAAAAAAPC/Av5l9+RhoQNAAtsbfGEyVfE/AAAAAAEjAAAA/PwA/AACAAAAAAAA8L8C7Q2+MJkq8L8CJuSDns2q/r8AAAAAGAAAAPz8APwAAgAAAAAAAPC/Au0NvjCZKvC/AtsbfGEyVfE/AAAAABgAAAD8/AD8AAIAAAAAAADwvwIvbqMBvAX+vwK1N/jCZKriPwAAAAAYAAAA/PwA/AACAAAAAAAA8L8CL26jAbwF/r8Cl5APejar2r8AAAAANAQQAWUEAAAAAAAAAAAIAAFlCAgAAAAAAAAADAQBZQQAAAAAAAAAABAAAWUEAAAAAAAAAAAUCAFlBAAAAAAAAAAAGAABZQQAAAAAAAAAABwMAWUIAAAAAAAAAAAgGAFlBAAAAAAAAAAAJAgBZQQAAAAAAAAAACgkAWUICAAAAAAAAAAsGAFlCAgAAAAAAAAAFAwBZQQAAAAAAAAAACwoAWUEAAAAAAAAAAAAAAAA</t>
        </r>
      </text>
    </comment>
    <comment ref="A1278" authorId="0" shapeId="0" xr:uid="{9C4250FE-3258-4A68-A201-488F83ADD2BA}">
      <text>
        <r>
          <rPr>
            <sz val="9"/>
            <color indexed="81"/>
            <rFont val="MS P ゴシック"/>
            <family val="3"/>
            <charset val="128"/>
          </rPr>
          <t>Insight iXlW00001C0001278R0585476093S00002554P00964LAocjBAQBF1NjaVRlZ2ljLmRhdGEuTW9sZWN1bGUBbwF/ARJTY2lUZWdpYy5Nb2xlY3VsZQAAAQFkAv5qAQAAAAIAAjAYAAAA/PwA/AACAAAAAAAA8L8C7Q2+MJkq8L8CTMgHPZtV7b8AAAAAGAAAAPz8APwAAgAAAAAAAPC/Al1txf6ye8K/ApeQD3o2q9q/AAAAABgAAAD8/AD8AAIAAAAAAADwvwJdbcX+snvCvwK1N/jCZKriPwAAAAAcAAAA/PwA/AACAAAAAAAA8L8CL26jAbwF/r8Cl5APejar2r8AAAAAGAAAAPz8APwAAgAAAAAAAPC/Ag6+MJkqGOc/AkzIBz2bVe2/AAAAABgAAAD8/AD8AAIAAAAAAADwvwIOvjCZKhjnPwLbG3xhMlXxPwAAAAAgAAAA/PwA/AACAAAAAAAA8L8C7Q2+MJkq8L8CJuSDns2q/r8AAAAAGAAAAPz8APwAAgAAAAAAAPC/Akm/fR04Z/k/ArU3+MJkquI/AAAAABgAAAD8/AD8AAIAAAAAAADwvwJJv30dOGf5PwKXkA96NqvavwAAAAAYAAAA/PwA/AACAAAAAAAA8L8CL26jAbwF/r8CtTf4wmSq4j8AAAAAHAAAAPz8APwAAgAAAAAAAPC/Av5l9+RhoQNAAtsbfGEyVfE/AAAAABgAAAD8/AD8AAIAAAAAAADwvwLtDb4wmSrwvwLbG3xhMlXxPwAAAAA0BAABZQQAAAAAAAAAAAgEAWUIDAAAAAAAAAAMAAFlBAAAAAAAAAAAEAQBZQQAAAAAAAAAABQIAWUEAAAAAAAAAAAYAAFlCAAAAAAAAAAAHBQBZQgMAAAAAAAAACAQAWUICAAAAAAAAAAkDAFlBAAAAAAAAAAAKBwBZQQAAAAAAAAAACwkAWUEAAAAAAAAAAAsCAFlBAAAAAAAAAAAHCABZQQAAAAAAAAAAAAAAAA=</t>
        </r>
      </text>
    </comment>
    <comment ref="A1279" authorId="0" shapeId="0" xr:uid="{C0A4C316-E831-4CBB-A578-CC836C0C31D4}">
      <text>
        <r>
          <rPr>
            <sz val="9"/>
            <color indexed="81"/>
            <rFont val="MS P ゴシック"/>
            <family val="3"/>
            <charset val="128"/>
          </rPr>
          <t>Insight iXlW00001C0001279R0585476093S00002556P00804LAocjBAQBF1NjaVRlZ2ljLmRhdGEuTW9sZWN1bGUBbwF/ARJTY2lUZWdpYy5Nb2xlY3VsZQAAAQFkAv5qAQAAAAIAAigYAAAA/PwA/AACAAAAAAAA8L8Cg8DKoUW2278CmpmZmZmZ4T8AAAAAGAAAAPz8APwAAgAAAAAAAPC/AoPAyqFFtts/ApqZmZmZmak/AAAAABgAAAD8/AD8AAIAAAAAAADwvwJjEFg5tMj0vwKamZmZmZmpPwAAAAAcAAAA/PwA/AACAAAAAAAA8L8CYxBYObTI9L8CZ2ZmZmZm7r8AAAAAHAAAAPz8APwAAgAAAAAAAPC/AmMQWDm0yPQ/ApqZmZmZmeE/AAAAABgAAAD8/AD8AAIAAAAAAADwvwKDwMqhRbbbPwJnZmZmZmbuvwAAAAAcAAAA/PwA/AACAAAAAAAA8L8CUrgehetRAcACmpmZmZmZ4T8AAAAAGAAAAPz8APwAAgAAAAAAAPC/AoPAyqFFttu/AjQzMzMzM/e/AAAAABgAAAD8/AD8AAIAAAAAAADwvwJjEFg5tMj0PwLNzMzMzMz4PwAAAAAYAAAA/PwA/AACAAAAAAAA8L8Ci47k8h9SAUACmpmZmZmZqT8AAAAAKAQAAWUIDAAAAAAAAAAIAAFlBAAAAAAAAAAADAgBZQgIAAAAAAAAABAEAWUEAAAAAAAAAAAUBAFlBAAAAAAAAAAAGAgBZQQAAAAAAAAAABwUAWUICAAAAAAAAAAgEAFlBAAAAAAAAAAAJBABZQQAAAAAAAAAAAwcAWUEAAAAAAAAAAAAAAAA</t>
        </r>
      </text>
    </comment>
    <comment ref="A1280" authorId="0" shapeId="0" xr:uid="{D1D66F1B-9C82-4221-80D7-4F08ECFEA77B}">
      <text>
        <r>
          <rPr>
            <sz val="9"/>
            <color indexed="81"/>
            <rFont val="MS P ゴシック"/>
            <family val="3"/>
            <charset val="128"/>
          </rPr>
          <t>Insight iXlW00001C0001280R0585476093S00002558P00948LAocjBAQBF1NjaVRlZ2ljLmRhdGEuTW9sZWN1bGUBbwF/ARJTY2lUZWdpYy5Nb2xlY3VsZQAAAQFkAv5qAQAAAAIAAjAYAAAA/PwA/AACAAAAAAAA8L8CYxBYObTI5L8C097gC5Opyr8AAAAAGAAAAPz8APwAAgAAAAAAAPC/AmMQWDm0yOS/AtsbfGEyVfO/AAAAABgAAAD8/AD8AAIAAAAAAADwvwKDwMqhRbbLPwKXkA96NqvSPwAAAAAgAAAA/PwA/AACAAAAAAAA8L8Cg8DKoUW2yz8C2xt8YTJV+78AAAAAHAAAAPz8APwAAgAAAAAAAPC/AmMQWDm0yOS/Aibkg57Nqvw/AAAAACAAAAD8/AD8AAIAAAAAAADwvwJzaJHtfD/4vwLbG3xhMlX7vwAAAAAYAAAA/PwA/AACAAAAAAAA8L8Cc2iR7Xw/+L8Cl5APejar0j8AAAAAIAAAAPz8APwAAgAAAAAAAPC/AlK4HoXrUfE/AtPe4AuTqcq/AAAAABgAAAD8/AD8AAIAAAAAAADwvwKDwMqhRbbLPwIm5IOezar0PwAAAAAYAAAA/PwA/AACAAAAAAAA8L8Cc2iR7Xw/+L8CJuSDns2q9D8AAAAAGAAAAPz8APwAAgAAAAAAAPC/ApQYBFYOLf8/ApeQD3o2q9I/AAAAABgAAAD8/AD8AAIAAAAAAADwvwKjkjoBTYQGQALT3uALk6nKvwAAAAAwBAABZQQAAAAAAAAAAAgAAWUICAAAAAAAAAAMBAFlCAAAAAAAAAAAECQBZQQAAAAAAAAAABQEAWUEAAAAAAAAAAAYAAFlBAAAAAAAAAAAHAgBZQQAAAAAAAAAACAIAWUEAAAAAAAAAAAkGAFlCAgAAAAAAAAAKBwBZQQAAAAAAAAAACwoAWUEAAAAAAAAAAAgEAFlCAgAAAAAAAAAAAAAAA==</t>
        </r>
      </text>
    </comment>
    <comment ref="A1281" authorId="0" shapeId="0" xr:uid="{CDC7AFE1-EAFF-492D-B350-DAAAAAED5659}">
      <text>
        <r>
          <rPr>
            <sz val="9"/>
            <color indexed="81"/>
            <rFont val="MS P ゴシック"/>
            <family val="3"/>
            <charset val="128"/>
          </rPr>
          <t>Insight iXlW00001C0001281R0585476093S00002560P01248LAocjBAQBF1NjaVRlZ2ljLmRhdGEuTW9sZWN1bGUBbwF/ARJTY2lUZWdpYy5Nb2xlY3VsZQAAAQFkAv5qAQAAAAIAAgEQGAAAAPz8APwAAgAAAAAAAPC/AqO0N/jCZPc/Ap2iI7n8h9A/AAAAABwAAAD8/AD8AAIAAAAAAADwvwKwA+eMKO3dPwJz+Q/pt6/DPwAAAAAcAAAA/PwA/AACAAAAAAAA8L8C5x2n6Egurz8CM1UwKqkT8T8AAAAAGAAAAPz8APwAAgAAAAAAAPC/ArkehetRuPo/AmMQWDm0yPM/AAAAABgAAAD8/AD8AAIAAAAAAADwvwKx4emVsgwBQAJGJXUCmgjfvwAAAAAYAAAA/PwA/AACAAAAAAAA8L8C7nw/NV666T8CYxBYObTI+z8AAAAAGAAAAPz8APwAAgAAAAAAAPC/AoLix5i7lqC/AifChqdXyua/AAAAACAAAAD8/AD8AAIAAAAAAADwvwJWn6ut2N8IQALufD81XrrRvwAAAAAcAAAA/PwA/AACAAAAAAAA8L8Cih9j7lpCCMACJ8KGp1fK5r8AAAAAIAAAAPz8APwAAgAAAAAAAPC/AmWqYFRSJ/0/AvA4RUdy+fa/AAAAABgAAAD8/AD8AAIAAAAAAADwvwIUP8bctYTwvwInwoanV8rmvwAAAAAYAAAA/PwA/AACAAAAAAAA8L8C/Knx0k1i5j8CDQIrhxbZBUAAAAAAGAAAAPz8APwAAgAAAAAAAPC/AoofY+5aQgTAAlXBqKROQPm/AAAAABgAAAD8/AD8AAIAAAAAAADwvwKKH2PuWkIEwAJz+Q/pt6/DPwAAAAAYAAAA/PwA/AACAAAAAAAA8L8CFD/G3LWE+L8CVcGopE5A+b8AAAAAGAAAAPz8APwAAgAAAAAAAPC/AhQ/xty1hPi/AnP5D+m3r8M/AAAAAAERBAABZQQAAAAAAAAAAAgEAWUEAAAAAAAAAAAMAAFlCAgAAAAAAAAAEAABZQQAAAAAAAAAABQMAWUEAAAAAAAAAAAYBAFlBAAAAAAAAAAAHBABZQgAAAAAAAAAACA0AWUEAAAAAAAAAAAkEAFlBAAAAAAAAAAAKBgBZQQAAAAAAAAAACwUAWUEAAAAAAAAAAAwOAFlBAAAAAAAAAAANDwBZQgIAAAAAAAAADgoAWUIDAAAAAAAAAA8KAFlBAAAAAAAAAAAFAgBZQgIAAAAAAAAACAwAWUICAAAAAAAAAAAAAAA</t>
        </r>
      </text>
    </comment>
    <comment ref="A1282" authorId="0" shapeId="0" xr:uid="{2CACA8E0-1D35-4A9E-B5DF-582820B8C8CD}">
      <text>
        <r>
          <rPr>
            <sz val="9"/>
            <color indexed="81"/>
            <rFont val="MS P ゴシック"/>
            <family val="3"/>
            <charset val="128"/>
          </rPr>
          <t>Insight iXlW00001C0001282R0585476093S00002562P01468LAocjBAQBF1NjaVRlZ2ljLmRhdGEuTW9sZWN1bGUBbwF/ARJTY2lUZWdpYy5Nb2xlY3VsZQAAAQFkAv5qAQAAAAIAAgETGAAAAPz8APwAAgAAAAAAAPC/Ato9eVioNfK/AhTQRNjw9OK/AAAAABwAAAD8/AD8AAIAAAAAAADwvwI5RUdy+Q/VvwJVwaikTkBzvwAAAAAYAAAA/PwA/AACAAAAAAAA8L8CjnVxGw3gxT8CGQRWDi2y+L8AAAAAHAAAAPz8APwAAgAAAAAAAPC/AvVsVn2utt4/AhTQRNjw9OK/AAAAABgAAAD8/AD8AAIAAAAAAADwvwKdoiO5/IfqvwIZBFYOLbL4vwAAAAAYAAAA/PwA/AACAAAAAAAA8L8CvJaQD3q2AMACNjy9UpYh0r8AAAAAGAAAAPz8APwAAgAAAAAAAPC/Atc07zhFR+g/AlK4HoXr0QLAAAAAABgAAAD8/AD8AAIAAAAAAADwvwI5RUdy+Q/VvwJ+rrZif9nvPwAAAAAgAAAA/PwA/AACAAAAAAAA8L8CIo51cRsN/D8ClkOLbOf7AcAAAAAAHAAAAPz8APwAAgAAAAAAAPC/AqabxCCwcvY/AqCrrdhf9gdAAAAAABgAAAD8/AD8AAIAAAAAAADwvwLJdr6fGi/hPwI/V1uxv+z3PwAAAAAkAAAA/PwA/AACAAAAAAAA8L8COiNKe4MvA8ACHeviNhrA878AAAAAJAAAAPz8APwAAgAAAAAAAPC/AouO5PIfUgjAAnBfB84ZUZo/AAAAACQAAAD8/AD8AAIAAAAAAADwvwJ7FK5H4Xr8vwIhQfFjzF3lPwAAAAAgAAAA/PwA/AACAAAAAAAA8L8Cu0kMAiuH1j8CjblrCfkgCsAAAAAAGAAAAPz8APwAAgAAAAAAAPC/Asl2vp8aL+E/AqCrrdhf9gNAAAAAABgAAAD8/AD8AAIAAAAAAADwvwL0/dR46SYCQAKgq63YX/YDQAAAAAAYAAAA/PwA/AACAAAAAAAA8L8CppvEILBy9j8Cfq62Yn/Z7z8AAAAAGAAAAPz8APwAAgAAAAAAAPC/AvT91HjpJgJAAj9XW7G/7Pc/AAAAAAEUBAABZQQAAAAAAAAAAAgQAWUEAAAAAAAAAAAMBAFlBAAAAAAAAAAAEAABZQgIAAAAAAAAABQAAWUEAAAAAAAAAAAYCAFlBAAAAAAAAAAAHAQBZQQAAAAAAAAAACAYAWUIAAAAAAAAAAAkPAFlBAAAAAAAAAAAKBwBZQQAAAAAAAAAACwUAWUEAAAAAAAAAAAwFAFlBAAAAAAAAAAANBQBZQQAAAAAAAAAADgYAWUEAAAAAAAAAAA8KAFlCAwAAAAAAAAAARAkAWUICAAAAAAAAAABESgBZQQAAAAAAAAAAAESAREBZQgIAAAAAAAAAAwIAWUICAAAAAAAAAABEAESAWUEAAAAAAAAAAAAAAAA</t>
        </r>
      </text>
    </comment>
    <comment ref="A1283" authorId="0" shapeId="0" xr:uid="{70E04229-CCA6-4A63-BE0B-6256FAC59728}">
      <text>
        <r>
          <rPr>
            <sz val="9"/>
            <color indexed="81"/>
            <rFont val="MS P ゴシック"/>
            <family val="3"/>
            <charset val="128"/>
          </rPr>
          <t>Insight iXlW00001C0001283R0585476093S00002564P00876LAocjBAQBF1NjaVRlZ2ljLmRhdGEuTW9sZWN1bGUBbwF/ARJTY2lUZWdpYy5Nb2xlY3VsZQAAAQFkAv5qAQAAAAIAAiwYAAAA/PwA/AACAAAAAAAA8L8C8BZIUPwY678Crthfdk8e0r8AAAAAHAAAAPz8APwAAgAAAAAAAPC/Apjdk4eFWqO/AjnWxW00gNM/AAAAABgAAAD8/AD8AAIAAAAAAADwvwLaPXlYqDXhvwI6kst/SL/zvwAAAAAcAAAA/PwA/AACAAAAAAAA8L8CPZtVn6ut6D8Crthfdk8e0r8AAAAAGAAAAPz8APwAAgAAAAAAAPC/AoenV8oyxPy/AveX3ZOHhZo/AAAAABgAAAD8/AD8AAIAAAAAAADwvwJNhA1Pr5TdPwLJ5T+k377zvwAAAAAgAAAA/PwA/AACAAAAAAAA8L8ChxbZzvdTBMACvjCZKhiV5L8AAAAAGAAAAPz8APwAAgAAAAAAAPC/Aj29UpYhjvs/AveX3ZOHhZo/AAAAACAAAAD8/AD8AAIAAAAAAADwvwLPiNLe4AsAwAIbnl4pyxDwPwAAAAAkAAAA/PwA/AACAAAAAAAA8L8CseHplbIMB0ACpwpGJXUC9T8AAAAAGAAAAPz8APwAAgAAAAAAAPC/AlMnoImw4f4/Aqrx0k1iEPA/AAAAACwEAAFlCAgAAAAAAAAACAABZQQAAAAAAAAAAAwEAWUEAAAAAAAAAAAQAAFlBAAAAAAAAAAAFAgBZQgIAAAAAAAAABgQAWUIAAAAAAAAAAAcDAFlBAAAAAAAAAAAIBABZQQAAAAAAAAAACQoAWUEAAAAAAAAAAAoHAFlBAAAAAAAAAAAFAwBZQQAAAAAAAAAAAAAAAA=</t>
        </r>
      </text>
    </comment>
    <comment ref="A1284" authorId="0" shapeId="0" xr:uid="{308EAE99-40DA-40CB-8B73-80AF7FA762E1}">
      <text>
        <r>
          <rPr>
            <sz val="9"/>
            <color indexed="81"/>
            <rFont val="MS P ゴシック"/>
            <family val="3"/>
            <charset val="128"/>
          </rPr>
          <t>Insight iXlW00001C0001284R0585476093S00002566P01104LAocjBAQBF1NjaVRlZ2ljLmRhdGEuTW9sZWN1bGUBbwF/ARJTY2lUZWdpYy5Nb2xlY3VsZQAAAQFkAv5qAQAAAAIAAjgYAAAA/PwA/AACAAAAAAAA8L8COdbFbTSA+L8CRWlv8IXJzL8AAAAAHAAAAPz8APwAAgAAAAAAAPC/ArkehetRuH4/Al5LyAc9m9E/AAAAABwAAAD8/AD8AAIAAAAAAADwvwI51sVtNID4vwKvJeSDns3oPwAAAAAYAAAA/PwA/AACAAAAAAAA8L8CVHQkl/+Q4r8CaLPqc7UV4b8AAAAAGAAAAPz8APwAAgAAAAAAAPC/AlR0JJf/kOK/AmN/2T15WPE/AAAAABgAAAD8/AD8AAIAAAAAAADwvwJiodY077gCwALFsS5uowHqvwAAAAAYAAAA/PwA/AACAAAAAAAA8L8CH4XrUbge8D8CXkvIBz2b0T8AAAAAHAAAAPz8APwAAgAAAAAAAPC/Ah+F61G4Hvg/AtSa5h2n6OK/AAAAACAAAAD8/AD8AAIAAAAAAADwvwJtVn2utuIBwAKZTBWMSur8vwAAAAAgAAAA/PwA/AACAAAAAAAA8L8CZMxdS8gHCsAClkOLbOf72b8AAAAAGAAAAPz8APwAAgAAAAAAAPC/Ah+F61G4Hvg/Ahlz1xLyQfI/AAAAABgAAAD8/AD8AAIAAAAAAADwvwKQwvUoXA8EQALUmuYdp+jivwAAAAAYAAAA/PwA/AACAAAAAAAA8L8CkML1KFwPBEACGXPXEvJB8j8AAAAAGAAAAPz8APwAAgAAAAAAAPC/ApDC9ShcDwhAAl5LyAc9m9E/AAAAADwEDAFlBAAAAAAAAAAACAABZQQAAAAAAAAAAAwAAWUICAAAAAAAAAAQCAFlCAgAAAAAAAAAFAABZQQAAAAAAAAAABgEAWUEAAAAAAAAAAAcGAFlCAwAAAAAAAAAIBQBZQgAAAAAAAAAACQUAWUEAAAAAAAAAAAoGAFlBAAAAAAAAAAALBwBZQQAAAAAAAAAADAoAWUICAAAAAAAAAA0LAFlCAgAAAAAAAAAEAQBZQQAAAAAAAAAADQwAWUEAAAAAAAAAAAAAAAA</t>
        </r>
      </text>
    </comment>
    <comment ref="A1285" authorId="0" shapeId="0" xr:uid="{B36B3682-1F32-4E7F-9553-1C794ABF99F7}">
      <text>
        <r>
          <rPr>
            <sz val="9"/>
            <color indexed="81"/>
            <rFont val="MS P ゴシック"/>
            <family val="3"/>
            <charset val="128"/>
          </rPr>
          <t>Insight iXlW00001C0001285R0585476093S00002568P01108LAocjBAQBF1NjaVRlZ2ljLmRhdGEuTW9sZWN1bGUBbwF/ARJTY2lUZWdpYy5Nb2xlY3VsZQAAAQFkAv5qAQAAAAIAAjgYAAAA/PwA/AACAAAAAAAA8L8CbqMBvAUS5r8CvCcPC7Wm6z8AAAAAHAAAAPz8APwAAgAAAAAAAPC/Atqs+lxtxeY/AmkAb4EExfo/AAAAABgAAAD8/AD8AAIAAAAAAADwvwIHgZVDi2ztPwJcsb/snjzmPwAAAAAYAAAA/PwA/AACAAAAAAAA8L8CMgisHFpkqz8CbsX+snvyyD8AAAAAGAAAAPz8APwAAgAAAAAAAPC/AuomMQisHNK/AuLplbIMcfw/AAAAABgAAAD8/AD8AAIAAAAAAADwvwLFILByaJH8PwJuxf6ye/LIPwAAAAAYAAAA/PwA/AACAAAAAAAA8L8CAk2EDU+v+r8Cj1N0JJf/5D8AAAAAGAAAAPz8APwAAgAAAAAAAPC/Ao25awn5oP+/Ah3J5T+k39K/AAAAABgAAAD8/AD8AAIAAAAAAADwvwIyCKwcWmSrPwKlTkATYcPpvwAAAAAgAAAA/PwA/AACAAAAAAAA8L8CzqrP1Vbs9L8Cz/dT46Wb8L8AAAAAGAAAAPz8APwAAgAAAAAAAPC/AsUgsHJokfw/AsP1KFyPwum/AAAAABgAAAD8/AD8AAIAAAAAAADwvwIHgZVDi2ztPwLiehSuR+H0vwAAAAAgAAAA/PwA/AACAAAAAAAA8L8CpHA9CtejB8ACu7iNBvAW4L8AAAAAASMAAAD8/AD8AAIAAAAAAADwvwKDwMqhRTYFQALiehSuR+H0vwAAAAA8BBABZQQAAAAAAAAAAAgMAWUEAAAAAAAAAAAMAAFlBAAAAAAAAAAAEAABZQgIAAAAAAAAABQIAWUICAAAAAAAAAAYAAFlBAAAAAAAAAAAHBgBZQQAAAAAAAAAACAMAWUICAAAAAAAAAAkHAFlCAAAAAAAAAAAKBQBZQQAAAAAAAAAACwgAWUEAAAAAAAAAAAwHAFlBAAAAAAAAAAANCgBZQQAAAAAAAAAAAQIAWUEAAAAAAAAAAAoLAFlCAgAAAAAAAAAAAAAAA==</t>
        </r>
      </text>
    </comment>
    <comment ref="A1286" authorId="0" shapeId="0" xr:uid="{F6FDFFBB-E841-469C-AB49-C6FB4C72F4E3}">
      <text>
        <r>
          <rPr>
            <sz val="9"/>
            <color indexed="81"/>
            <rFont val="MS P ゴシック"/>
            <family val="3"/>
            <charset val="128"/>
          </rPr>
          <t>Insight iXlW00001C0001286R0585476093S00002570P00964LAocjBAQBF1NjaVRlZ2ljLmRhdGEuTW9sZWN1bGUBbwF/ARJTY2lUZWdpYy5Nb2xlY3VsZQAAAQFkAv5qAQAAAAIAAjAYAAAA/PwA/AACAAAAAAAA8L8C7Q2+MJkq8L8CAAAAAAAA6L8AAAAAGAAAAPz8APwAAgAAAAAAAPC/Al1txf6ye8K/AgAAAAAAANC/AAAAABwAAAD8/AD8AAIAAAAAAADwvwIvbqMBvAX+vwIAAAAAAADQvwAAAAAYAAAA/PwA/AACAAAAAAAA8L8CXW3F/rJ7wr8CAAAAAAAA6D8AAAAAGAAAAPz8APwAAgAAAAAAAPC/Ag6+MJkqGOc/AgAAAAAAAOi/AAAAACAAAAD8/AD8AAIAAAAAAADwvwLtDb4wmSrwvwIAAAAAAAD8vwAAAAAYAAAA/PwA/AACAAAAAAAA8L8CDr4wmSoY5z8CAAAAAAAA9D8AAAAAGAAAAPz8APwAAgAAAAAAAPC/Akm/fR04Z/k/AgAAAAAAANC/AAAAABgAAAD8/AD8AAIAAAAAAADwvwIvbqMBvAX+vwIAAAAAAADoPwAAAAAcAAAA/PwA/AACAAAAAAAA8L8C/mX35GGhA0ACAAAAAAAA6L8AAAAAGAAAAPz8APwAAgAAAAAAAPC/Akm/fR04Z/k/AgAAAAAAAOg/AAAAABgAAAD8/AD8AAIAAAAAAADwvwLtDb4wmSrwvwIAAAAAAAD0PwAAAAA0BAABZQQAAAAAAAAAAAgAAWUEAAAAAAAAAAAMBAFlCAwAAAAAAAAAEAQBZQQAAAAAAAAAABQAAWUIAAAAAAAAAAAYDAFlBAAAAAAAAAAAHBABZQgMAAAAAAAAACAIAWUEAAAAAAAAAAAkHAFlBAAAAAAAAAAAKBgBZQgIAAAAAAAAACwgAWUEAAAAAAAAAAAsDAFlBAAAAAAAAAAAKBwBZQQAAAAAAAAAAAAAAAA=</t>
        </r>
      </text>
    </comment>
    <comment ref="A1287" authorId="0" shapeId="0" xr:uid="{6C2B87FC-F2C1-4B36-AA8E-C50FD6BBFEEC}">
      <text>
        <r>
          <rPr>
            <sz val="9"/>
            <color indexed="81"/>
            <rFont val="MS P ゴシック"/>
            <family val="3"/>
            <charset val="128"/>
          </rPr>
          <t>Insight iXlW00001C0001287R0585476093S00002572P01104LAocjBAQBF1NjaVRlZ2ljLmRhdGEuTW9sZWN1bGUBbwF/ARJTY2lUZWdpYy5Nb2xlY3VsZQAAAQFkAv5qAQAAAAIAAjgYAAAA/PwA/AACAAAAAAAA8L8C/0P67evA5z8CejarPldb478AAAAAGAAAAPz8APwAAgAAAAAAAPC/AjerPldbsb+/AtGzWfW52rq/AAAAABgAAAD8/AD8AAIAAAAAAADwvwJBguLHmLv5PwLRs1n1udq6vwAAAAAcAAAA/PwA/AACAAAAAAAA8L8CQYLix5i7+T8ChslUwaik7D8AAAAAGAAAAPz8APwAAgAAAAAAAPC/AjerPldbsb+/AobJVMGopOw/AAAAABgAAAD8/AD8AAIAAAAAAADwvwLqlbIMcazvvwJ6Nqs+V1vjvwAAAAAYAAAA/PwA/AACAAAAAAAA8L8C/0P67evA5z8Cw2SqYFRS9j8AAAAAIAAAAPz8APwAAgAAAAAAAPC/AnrHKTqSywNAApjdk4eFWuO/AAAAABgAAAD8/AD8AAIAAAAAAADwvwLqlbIMcazvvwLDZKpgVFL2PwAAAAAYAAAA/PwA/AACAAAAAAAA8L8CN6s+V1ux/b8C0bNZ9bnaur8AAAAAHAAAAPz8APwAAgAAAAAAAPC/ArwFEhQ/xgXAApjdk4eFWuO/AAAAABgAAAD8/AD8AAIAAAAAAADwvwI3qz5XW7H9vwKGyVTBqKTsPwAAAAAYAAAA/PwA/AACAAAAAAAA8L8Cmggbnl4p9j8C5WGh1jTv9b8AAAAAGAAAAPz8APwAAgAAAAAAAPC/Ald9rrZif7k/AuVhodY07/W/AAAAADwEAAFlBAAAAAAAAAAACAABZQQAAAAAAAAAAAwIAWUEAAAAAAAAAAAQBAFlCAwAAAAAAAAAFAQBZQQAAAAAAAAAABgMAWUEAAAAAAAAAAAcCAFlCAAAAAAAAAAAIBABZQQAAAAAAAAAACQUAWUIDAAAAAAAAAAoJAFlBAAAAAAAAAAALCABZQgIAAAAAAAAADAAAWUEAAAAAAAAAAA0AAFlBAAAAAAAAAAAGBABZQQAAAAAAAAAACwkAWUEAAAAAAAAAAAAAAAA</t>
        </r>
      </text>
    </comment>
    <comment ref="A1288" authorId="0" shapeId="0" xr:uid="{D63E5B7D-6E18-4651-ADDF-FB9CC0F7B385}">
      <text>
        <r>
          <rPr>
            <sz val="9"/>
            <color indexed="81"/>
            <rFont val="MS P ゴシック"/>
            <family val="3"/>
            <charset val="128"/>
          </rPr>
          <t>Insight iXlW00001C0001288R0585476093S00002574P01324LAocjBAQBF1NjaVRlZ2ljLmRhdGEuTW9sZWN1bGUBbwF/ARJTY2lUZWdpYy5Nb2xlY3VsZQAAAQFkAv5qAQAAAAIAAgERGAAAAPz8APwAAgAAAAAAAPC/ArtJDAIrh/w/AiZ1ApoIG56/AAAAABgAAAD8/AD8AAIAAAAAAADwvwK7SQwCK4f8PwJX7C+7Jw/vPwAAAAAYAAAA/PwA/AACAAAAAAAA8L8C8tJNYhBY7T8CqRPQRNjw4L8AAAAAIAAAAPz8APwAAgAAAAAAAPC/AuomMQisHKo/AiZ1ApoIG56/AAAAACAAAAD8/AD8AAIAAAAAAADwvwLy0k1iEFjtPwIs9pfdk4f3PwAAAAAcAAAA/PwA/AACAAAAAAAA8L8Cu0kMAiuH/D8C6wQ0ETY8AMAAAAAAIAAAAPz8APwAAgAAAAAAAPC/AiDSb18HTgvAAlfsL7snD+8/AAAAACAAAAD8/AD8AAIAAAAAAADwvwL+1HjpJjEFQAIs9pfdk4f3PwAAAAAYAAAA/PwA/AACAAAAAAAA8L8C9wZfmEwV6r8CqRPQRNjw4L8AAAAAGAAAAPz8APwAAgAAAAAAAPC/Av7UeOkmMQVAAqkT0ETY8OC/AAAAABgAAAD8/AD8AAIAAAAAAADwvwLy0k1iEFjtPwLVCWgibHj4vwAAAAAYAAAA/PwA/AACAAAAAAAA8L8CveMUHcnl+r8CJnUCmggbnr8AAAAAGAAAAPz8APwAAgAAAAAAAPC/Av7UeOkmMQVAAtUJaCJsePi/AAAAABgAAAD8/AD8AAIAAAAAAADwvwIg0m9fB04LwAImdQKaCBuevwAAAAAYAAAA/PwA/AACAAAAAAAA8L8C/yH99nVgBMACLPaX3ZOH9z8AAAAAGAAAAPz8APwAAgAAAAAAAPC/Av8h/fZ1YATAAqkT0ETY8OC/AAAAABgAAAD8/AD8AAIAAAAAAADwvwK94xQdyeX6vwJX7C+7Jw/vPwAAAAABEgQAAWUEAAAAAAAAAAAIAAFlCAgAAAAAAAAADAgBZQQAAAAAAAAAABAEAWUIAAAAAAAAAAAUMAFlBAAAAAAAAAAAGDgBZQQAAAAAAAAAABwEAWUEAAAAAAAAAAAgDAFlBAAAAAAAAAAAJAABZQQAAAAAAAAAACgIAWUEAAAAAAAAAAAsIAFlBAAAAAAAAAAAMCQBZQgIAAAAAAAAADQ8AWUEAAAAAAAAAAA4ARABZQQAAAAAAAAAADwsAWUEAAAAAAAAAAABECwBZQQAAAAAAAAAACgUAWUICAAAAAAAAAAYNAFlBAAAAAAAAAAAAAAAAA==</t>
        </r>
      </text>
    </comment>
    <comment ref="A1289" authorId="0" shapeId="0" xr:uid="{FDB0C926-4405-4F2F-8D00-EB020A6C386B}">
      <text>
        <r>
          <rPr>
            <sz val="9"/>
            <color indexed="81"/>
            <rFont val="MS P ゴシック"/>
            <family val="3"/>
            <charset val="128"/>
          </rPr>
          <t>Insight iXlW00001C0001289R0585476093S00002576P01104LAocjBAQBF1NjaVRlZ2ljLmRhdGEuTW9sZWN1bGUBbwF/ARJTY2lUZWdpYy5Nb2xlY3VsZQAAAQFkAv5qAQAAAAIAAjgYAAAA/PwA/AACAAAAAAAA8L8CDy2yne+n8L8CrD5XW7G/2L8AAAAAGAAAAPz8APwAAgAAAAAAAPC/Ag8tsp3vp/C/AqvP1VbsL/a/AAAAABgAAAD8/AD8AAIAAAAAAADwvwJnZmZmZmbGvwJUBaOSOgG9PwAAAAAgAAAA/PwA/AACAAAAAAAA8L8C6iYxCKwc5j8CrD5XW7G/2L8AAAAAIAAAAPz8APwAAgAAAAAAAPC/AmdmZmZmZsa/AqvP1VbsL/6/AAAAABwAAAD8/AD8AAIAAAAAAADwvwIPLbKd76fwvwJWMCqpE9D5PwAAAAAgAAAA/PwA/AACAAAAAAAA8L8CUI2XbhKD/r8Cq8/VVuwv/r8AAAAAGAAAAPz8APwAAgAAAAAAAPC/AmdmZmZmZsa/AlUwKqkT0PE/AAAAABgAAAD8/AD8AAIAAAAAAADwvwJQjZduEoP+vwJUBaOSOgG9PwAAAAAYAAAA/PwA/AACAAAAAAAA8L8CKKCJsOHp+D8CVAWjkjoBvT8AAAAAGAAAAPz8APwAAgAAAAAAAPC/AlCNl24Sg/6/AlUwKqkT0PE/AAAAABgAAAD8/AD8AAIAAAAAAADwvwI3GsBbIEEGQALGbTSAt0DqPwAAAAAYAAAA/PwA/AACAAAAAAAA8L8CBOeMKO0N/T8CwH0dOGdE8T8AAAAAGAAAAPz8APwAAgAAAAAAAPC/Asl2vp8aLwRAAjq0yHa+n8K/AAAAADwEAAFlBAAAAAAAAAAACAABZQgIAAAAAAAAAAwIAWUEAAAAAAAAAAAQBAFlCAAAAAAAAAAAFCgBZQQAAAAAAAAAABgEAWUEAAAAAAAAAAAcCAFlBAAAAAAAAAAAIAABZQQAAAAAAAAAACQMAWUEAAAAAAAAAAAoIAFlCAgAAAAAAAAALDQBZQQAAAAAAAAAADAkAWUEAAAAAAAAAAA0JAFlBAAAAAAAAAAAHBQBZQgIAAAAAAAAACwwAWUEAAAAAAAAAAAAAAAA</t>
        </r>
      </text>
    </comment>
    <comment ref="A1290" authorId="0" shapeId="0" xr:uid="{D4DFE563-F3F3-4EB9-BD62-362B0FB8A6B9}">
      <text>
        <r>
          <rPr>
            <sz val="9"/>
            <color indexed="81"/>
            <rFont val="MS P ゴシック"/>
            <family val="3"/>
            <charset val="128"/>
          </rPr>
          <t>Insight iXlW00001C0001290R0585476093S00002578P01248LAocjBAQBF1NjaVRlZ2ljLmRhdGEuTW9sZWN1bGUBbwF/ARJTY2lUZWdpYy5Nb2xlY3VsZQAAAQFkAv5qAQAAAAIAAgEQGAAAAPz8APwAAgAAAAAAAPC/AsgpOpLLf/c/AuELk6mCUdG/AAAAABgAAAD8/AD8AAIAAAAAAADwvwLIKTqSy3//PwKTOgFNhA3jPwAAAAAYAAAA/PwA/AACAAAAAAAA8L8C41gXt9EA3j8C4QuTqYJR0b8AAAAAIAAAAPz8APwAAgAAAAAAAPC/At9xio7k8p+/ApM6AU2EDeM/AAAAACAAAAD8/AD8AAIAAAAAAADwvwI51sVtNID3PwKL/WX35GH3PwAAAAAcAAAA/PwA/AACAAAAAAAA8L8CHqfoSC7/3T8C9pfdk4cFAMAAAAAAIAAAAPz8APwAAgAAAAAAAPC/AuQUHcnlPwjAApM6AU2EDeM/AAAAABgAAAD8/AD8AAIAAAAAAADwvwLIKTqSy3/wvwKTOgFNhA3jPwAAAAAgAAAA/PwA/AACAAAAAAAA8L8C5BQdyeW/B0ACkzoBTYQN4z8AAAAAGAAAAPz8APwAAgAAAAAAAPC/At9xio7k8p+/AqvP1VbsL/K/AAAAABgAAAD8/AD8AAIAAAAAAADwvwLIKTqSy3//PwI6I0p7gy/yvwAAAAAYAAAA/PwA/AACAAAAAAAA8L8CyCk6kst/+L8Ci/1l9+Rh9z8AAAAAGAAAAPz8APwAAgAAAAAAAPC/AsgpOpLLf/i/AuELk6mCUdG/AAAAABgAAAD8/AD8AAIAAAAAAADwvwLkFB3J5T8EwALhC5OpglHRvwAAAAAYAAAA/PwA/AACAAAAAAAA8L8C5BQdyeU/BMACi/1l9+Rh9z8AAAAAGAAAAPz8APwAAgAAAAAAAPC/AsgpOpLLf/c/AvaX3ZOHBQDAAAAAAAERBAABZQQAAAAAAAAAAAgAAWUEAAAAAAAAAAAMCAFlBAAAAAAAAAAAEAQBZQgAAAAAAAAAABQ8AWUICAAAAAAAAAAYNAFlBAAAAAAAAAAAHAwBZQQAAAAAAAAAACAEAWUEAAAAAAAAAAAkCAFlCAgAAAAAAAAAKAABZQgMAAAAAAAAACwcAWUEAAAAAAAAAAAwHAFlBAAAAAAAAAAANDABZQQAAAAAAAAAADgsAWUEAAAAAAAAAAA8KAFlBAAAAAAAAAAAJBQBZQQAAAAAAAAAABg4AWUEAAAAAAAAAAAAAAAA</t>
        </r>
      </text>
    </comment>
    <comment ref="A1291" authorId="0" shapeId="0" xr:uid="{D2F0009D-841B-4CAB-A5BB-492CA56B6E55}">
      <text>
        <r>
          <rPr>
            <sz val="9"/>
            <color indexed="81"/>
            <rFont val="MS P ゴシック"/>
            <family val="3"/>
            <charset val="128"/>
          </rPr>
          <t>Insight iXlW00001C0001291R0585476093S00002580P01016LAocjBAQBF1NjaVRlZ2ljLmRhdGEuTW9sZWN1bGUBbwF/ARJTY2lUZWdpYy5Nb2xlY3VsZQAAAQFkAv5qAQAAAAIAAjQcAAAA/PwA/AACAAAAAAAA8L8C9GxWfa62wr8Cnl4pyxDHyr8AAAAAGAAAAPz8APwAAgAAAAAAAPC/Ato9eVioNeU/AjnWxW00gOm/AAAAABgAAAD8/AD8AAIAAAAAAADwvwL0bFZ9rrbCvwJZqDXNO07pPwAAAAAYAAAA/PwA/AACAAAAAAAA8L8CUdobfGEy8L8CLdSa5h2n9D8AAAAAHAAAAPz8APwAAgAAAAAAAPC/AlR0JJf/kO6/AjnWxW00gOm/AAAAABgAAAD8/AD8AAIAAAAAAADwvwKLjuTyH9L5PwJE+u3rwDnfvwAAAAAYAAAA/PwA/AACAAAAAAAA8L8ChslUwaik1j8CK4cW2c73+78AAAAAGAAAAPz8APwAAgAAAAAAAPC/Aj2bVZ+rreS/AiuHFtnO9/u/AAAAACAAAAD8/AD8AAIAAAAAAADwvwKh+DHmriX9PwKppE5AE2HfPwAAAAAkAAAA/PwA/AACAAAAAAAA8L8CUdobfGEy+L8C5x2n6Egu2z8AAAAAJAAAAPz8APwAAgAAAAAAAPC/ApM6AU2EDf6/Ai3UmuYdp/w/AAAAACQAAAD8/AD8AAIAAAAAAADwvwKitDf4wmTgvwI3GsBbIEEBQAAAAAAgAAAA/PwA/AACAAAAAAAA8L8CQmDl0CLbAkACUI2XbhKD8r8AAAAANAQAAWUEAAAAAAAAAAAIAAFlBAAAAAAAAAAADAgBZQQAAAAAAAAAABAAAWUEAAAAAAAAAAAUBAFlBAAAAAAAAAAAGAQBZQgIAAAAAAAAABwQAWUICAAAAAAAAAAgFAFlCAAAAAAAAAAAJAwBZQQAAAAAAAAAACgMAWUEAAAAAAAAAAAsDAFlBAAAAAAAAAAAMBQBZQQAAAAAAAAAABgcAWUEAAAAAAAAAAAAAAAA</t>
        </r>
      </text>
    </comment>
    <comment ref="A1292" authorId="0" shapeId="0" xr:uid="{DB53CC6F-BE9E-4AAA-A5D4-AC76FAE6E3C2}">
      <text>
        <r>
          <rPr>
            <sz val="9"/>
            <color indexed="81"/>
            <rFont val="MS P ゴシック"/>
            <family val="3"/>
            <charset val="128"/>
          </rPr>
          <t>Insight iXlW00001C0001292R0585476093S00002582P01104LAocjBAQBF1NjaVRlZ2ljLmRhdGEuTW9sZWN1bGUBbwF/ARJTY2lUZWdpYy5Nb2xlY3VsZQAAAQFkAv5qAQAAAAIAAjgYAAAA/PwA/AACAAAAAAAA8L8CzqrP1Vbs3z8CKe0NvjCZur8AAAAAGAAAAPz8APwAAgAAAAAAAPC/Am7F/rJ78ty/AsZtNIC3QMo/AAAAABgAAAD8/AD8AAIAAAAAAADwvwJtVn2utmLxPwJyGw3gLZDmPwAAAAAcAAAA/PwA/AACAAAAAAAA8L8CzqrP1Vbs3z8CRPrt68A5+D8AAAAAGAAAAPz8APwAAgAAAAAAAPC/An6utmJ/2ek/AnDOiNLe4PC/AAAAABgAAAD8/AD8AAIAAAAAAADwvwJuxf6ye/LcvwK5jQbwFkjzPwAAAAAYAAAA/PwA/AACAAAAAAAA8L8C+n5qvHST/D8ChzjWxW009L8AAAAAGAAAAPz8APwAAgAAAAAAAPC/Ap0Rpb3BF/W/Ah3J5T+k39K/AAAAACAAAAD8/AD8AAIAAAAAAADwvwLdRgN4C6QDQAL+ZffkYaHgvwAAAAAkAAAA/PwA/AACAAAAAAAA8L8CnRGlvcEX9b8CSHL5D+m39L8AAAAAIAAAAPz8APwAAgAAAAAAAPC/AsP1KFyPwgBAAkvqBDQRtgHAAAAAABgAAAD8/AD8AAIAAAAAAADwvwLvOEVHcnkBwAK5jQbwFkjzPwAAAAAYAAAA/PwA/AACAAAAAAAA8L8CnRGlvcEX9b8CuY0G8BZI+z8AAAAAGAAAAPz8APwAAgAAAAAAAPC/Au84RUdyeQHAAsZtNIC3QMo/AAAAADwEAAFlBAAAAAAAAAAACAABZQgIAAAAAAAAAAwIAWUEAAAAAAAAAAAQAAFlBAAAAAAAAAAAFAQBZQQAAAAAAAAAABgQAWUEAAAAAAAAAAAcBAFlCAgAAAAAAAAAIBgBZQgAAAAAAAAAACQcAWUEAAAAAAAAAAAoGAFlBAAAAAAAAAAALDABZQQAAAAAAAAAADAUAWUICAAAAAAAAAA0HAFlBAAAAAAAAAAADBQBZQQAAAAAAAAAACw0AWUICAAAAAAAAAAAAAAA</t>
        </r>
      </text>
    </comment>
    <comment ref="A1293" authorId="0" shapeId="0" xr:uid="{A700A660-409A-4827-AECA-D511EF42D55C}">
      <text>
        <r>
          <rPr>
            <sz val="9"/>
            <color indexed="81"/>
            <rFont val="MS P ゴシック"/>
            <family val="3"/>
            <charset val="128"/>
          </rPr>
          <t>Insight iXlW00001C0001293R0585476093S00002584P01252LAocjBAQBF1NjaVRlZ2ljLmRhdGEuTW9sZWN1bGUBbwF/ARJTY2lUZWdpYy5Nb2xlY3VsZQAAAQFkAv5qAQAAAAIAAgEQHAAAAPz8APwAAgAAAAAAAPC/AuQUHcnlP+g/AgAAAAAAANw/AAAAABgAAAD8/AD8AAIAAAAAAADwvwLkFB3J5T/oPwIAAAAAAADivwAAAAAYAAAA/PwA/AACAAAAAAAA8L8CtOpztRX7+T8CAAAAAAAA8b8AAAAAGAAAAPz8APwAAgAAAAAAAPC/ArTqc7UV+/k/AgAAAAAAAO4/AAAAABgAAAD8/AD8AAIAAAAAAADwvwJ7pSxDHOsDQAIAAAAAAADivwAAAAAYAAAA/PwA/AACAAAAAAAA8L8Ce6UsQxzrA0ACAAAAAAAA3D8AAAAAGAAAAPz8APwAAgAAAAAAAPC/AgwkKH6Mubu/AgAAAAAAAO4/AAAAABgAAAD8/AD8AAIAAAAAAADwvwIFxY8xdy3vvwIAAAAAAADcPwAAAAAgAAAA/PwA/AACAAAAAAAA8L8C+1xtxf6yu78CAAAAAAAA8b8AAAAAGAAAAPz8APwAAgAAAAAAAPC/AsRCrWnecf2/AgAAAAAAAO4/AAAAAAEjAAAA/PwA/AACAAAAAAAA8L8CnFWfq63YCkACAAAAAAAA8b8AAAAAJAAAAPz8APwAAgAAAAAAAPC/AsRCrWnecf2/AgAAAAAAAP8/AAAAABgAAAD8/AD8AAIAAAAAAADwvwIFxY8xdy3vvwIAAAAAAADivwAAAAAYAAAA/PwA/AACAAAAAAAA8L8Cg1FJnYCmBcACAAAAAAAA3D8AAAAAGAAAAPz8APwAAgAAAAAAAPC/AsRCrWnecf2/AgAAAAAAAPG/AAAAABgAAAD8/AD8AAIAAAAAAADwvwKDUUmdgKYFwAIAAAAAAADivwAAAAABEQQAAWUEAAAAAAAAAAAIBAFlBAAAAAAAAAAADAABZQQAAAAAAAAAABAIAWUIDAAAAAAAAAAUDAFlCAgAAAAAAAAAGAABZQQAAAAAAAAAABwYAWUEAAAAAAAAAAAgBAFlCAAAAAAAAAAAJBwBZQgIAAAAAAAAACgQAWUEAAAAAAAAAAAsJAFlBAAAAAAAAAAAMBwBZQQAAAAAAAAAADQkAWUEAAAAAAAAAAA4MAFlCAgAAAAAAAAAPDQBZQgIAAAAAAAAABAUAWUEAAAAAAAAAAA8OAFlBAAAAAAAAAAAAAAAAA==</t>
        </r>
      </text>
    </comment>
    <comment ref="A1294" authorId="0" shapeId="0" xr:uid="{2B3135D0-4DE6-4908-B666-8C0DAF1A1C55}">
      <text>
        <r>
          <rPr>
            <sz val="9"/>
            <color indexed="81"/>
            <rFont val="MS P ゴシック"/>
            <family val="3"/>
            <charset val="128"/>
          </rPr>
          <t>Insight iXlW00001C0001294R0585476093S00002586P01188LAocjBAQBF1NjaVRlZ2ljLmRhdGEuTW9sZWN1bGUBbwF/ARJTY2lUZWdpYy5Nb2xlY3VsZQAAAQFkAv5qAQAAAAIAAgEQHAAAAPz8APwAAgAAAAAAAPC/AoPAyqFFtus/AgAAAAAAAOA/AAAAABgAAAD8/AD8AAIAAAAAAADwvwKDwMqhRbbrPwIAAAAAAADgvwAAAAAYAAAA/PwA/AACAAAAAAAA8L8Cg8DKoUW2+z8BAAAAABgAAAD8/AD8AAIAAAAAAADwvwKDwMqhRbb7PwIAAAAAAADwvwAAAAAYAAAA/PwA/AACAAAAAAAA8L8CYxBYObTIBEACAAAAAAAA4D8AAAAAGAAAAPz8APwAAgAAAAAAAPC/ApvmHafoyARAAgAAAAAAAOC/AAAAABgAAAD8/AD8AAIAAAAAAADwvwABAAAAACAAAAD8/AD8AAIAAAAAAADwvwACAAAAAAAA8L8AAAAAGAAAAPz8APwAAgAAAAAAAPC/AoPAyqFFtuu/AgAAAAAAAOA/AAAAAAEjAAAA/PwA/AACAAAAAAAA8L8CvJaQD3q2C0ABAAAAABgAAAD8/AD8AAIAAAAAAADwvwJjEFg5tMgEwAIAAAAAAADgvwAAAAAkAAAA/PwA/AACAAAAAAAA8L8CvJaQD3q2C8ACAAAAAAAA8L8AAAAAGAAAAPz8APwAAgAAAAAAAPC/AoPAyqFFtvu/AQAAAAAYAAAA/PwA/AACAAAAAAAA8L8Cg8DKoUW2678CAAAAAAAA4L8AAAAAGAAAAPz8APwAAgAAAAAAAPC/AoPAyqFFtvu/AgAAAAAAAPC/AAAAABgAAAD8/AD8AAIAAAAAAADwvwJjEFg5tMgEwAIAAAAAAADgPwAAAAABEQQAAWUEAAAAAAAAAAAIAAFlBAAAAAAAAAAADAQBZQQAAAAAAAAAABAIAWUIDAAAAAAAAAAUDAFlCAgAAAAAAAAAGAABZQQAAAAAAAAAABwEAWUIAAAAAAAAAAAgGAFlBAAAAAAAAAAAJBABZQQAAAAAAAAAACg8AWUIDAAAAAAAAAAsKAFlBAAAAAAAAAAAMCABZQgMAAAAAAAAADQgAWUEAAAAAAAAAAA4NAFlCAgAAAAAAAAAPDABZQQAAAAAAAAAABQQAWUEAAAAAAAAAAAoOAFlBAAAAAAAAAAAAAAAAA==</t>
        </r>
      </text>
    </comment>
    <comment ref="A1295" authorId="0" shapeId="0" xr:uid="{646BCE15-D3B9-4D3C-A62C-441B26B13BD5}">
      <text>
        <r>
          <rPr>
            <sz val="9"/>
            <color indexed="81"/>
            <rFont val="MS P ゴシック"/>
            <family val="3"/>
            <charset val="128"/>
          </rPr>
          <t>Insight iXlW00001C0001295R0585476093S00002588P00876LAocjBAQBF1NjaVRlZ2ljLmRhdGEuTW9sZWN1bGUBbwF/ARJTY2lUZWdpYy5Nb2xlY3VsZQAAAQFkAv5qAQAAAAIAAiwYAAAA/PwA/AACAAAAAAAA8L8CjSjtDb4w2b8CDr4wmSoYzb8AAAAAGAAAAPz8APwAAgAAAAAAAPC/Ao0o7Q2+MNm/AsIXJlMFo/O/AAAAABgAAAD8/AD8AAIAAAAAAADwvwJ6WKg1zTvePwL5oGez6nPRPwAAAAAgAAAA/PwA/AACAAAAAAAA8L8CelioNc073j8CwhcmUwWj+78AAAAAHAAAAPz8APwAAgAAAAAAAPC/Ao0o7Q2+MNm/Aj/o2az6XPw/AAAAACAAAAD8/AD8AAIAAAAAAADwvwLWVuwvuyf0vwLCFyZTBaP7vwAAAAAYAAAA/PwA/AACAAAAAAAA8L8CZapgVFIn9L8C+aBns+pz0T8AAAAAIAAAAPz8APwAAgAAAAAAAPC/AmB2Tx4WavU/Ag6+MJkqGM2/AAAAABgAAAD8/AD8AAIAAAAAAADwvwJ6WKg1zTvePwI/6Nms+lz0PwAAAAAYAAAA/PwA/AACAAAAAAAA8L8CZapgVFIn9L8CP+jZrPpc9D8AAAAAGAAAAPz8APwAAgAAAAAAAPC/AlFrmnecogFAAvmgZ7Pqc9E/AAAAACwEAAFlBAAAAAAAAAAACAABZQgIAAAAAAAAAAwEAWUIAAAAAAAAAAAQJAFlBAAAAAAAAAAAFAQBZQQAAAAAAAAAABgAAWUEAAAAAAAAAAAcCAFlBAAAAAAAAAAAIAgBZQQAAAAAAAAAACQYAWUICAAAAAAAAAAoHAFlBAAAAAAAAAAAIBABZQgIAAAAAAAAAAAAAAA=</t>
        </r>
      </text>
    </comment>
    <comment ref="A1296" authorId="0" shapeId="0" xr:uid="{ED43E782-5C68-4918-8FA5-A4FCCC4D269C}">
      <text>
        <r>
          <rPr>
            <sz val="9"/>
            <color indexed="81"/>
            <rFont val="MS P ゴシック"/>
            <family val="3"/>
            <charset val="128"/>
          </rPr>
          <t>Insight iXlW00001C0001296R0585476093S00002590P01104LAocjBAQBF1NjaVRlZ2ljLmRhdGEuTW9sZWN1bGUBbwF/ARJTY2lUZWdpYy5Nb2xlY3VsZQAAAQFkAv5qAQAAAAIAAjgYAAAA/PwA/AACAAAAAAAA8L8CkDF3LSEf+78CJuSDns2qz78AAAAAHAAAAPz8APwAAgAAAAAAAPC/ApAxdy0hH/O/AnrHKTqSy+M/AAAAABgAAAD8/AD8AAIAAAAAAADwvwLImLuWkI8FwAIm5IOezarPvwAAAAAcAAAA/PwA/AACAAAAAAAA8L8Cfoy5awn5yL8COIlBYOXQ8b8AAAAAGAAAAPz8APwAAgAAAAAAAPC/Av2H9NvXgdM/Aq9H4XoUrs+/AAAAABgAAAD8/AD8AAIAAAAAAADwvwIAkX77OnAGQAJ6xyk6ksvjPwAAAAAYAAAA/PwA/AACAAAAAAAA8L8CkDF3LSEf878COIlBYOXQ8b8AAAAAGAAAAPz8APwAAgAAAAAAAPC/AiFB8WPMXQ1AAs47TtGRXL4/AAAAABgAAAD8/AD8AAIAAAAAAADwvwJZF7fRAF4NQAK94xQdyeXxPwAAAAAgAAAA/PwA/AACAAAAAAAA8L8CyJi7lpCPCcACOIlBYOXQ8b8AAAAAGAAAAPz8APwAAgAAAAAAAPC/AgfwFkhQ/Mi/AnrHKTqSy+M/AAAAACAAAAD8/AD8AAIAAAAAAADwvwL/If32deD0PwIm5IOezarPvwAAAAAYAAAA/PwA/AACAAAAAAAA8L8CACL99nXg/D8CescpOpLL4z8AAAAAIAAAAPz8APwAAgAAAAAAAPC/AsiYu5aQjwnAAnrHKTqSy+M/AAAAADwEAAFlCAwAAAAAAAAACAABZQQAAAAAAAAAAAwYAWUICAAAAAAAAAAQKAFlCAwAAAAAAAAAFDABZQQAAAAAAAAAABgAAWUEAAAAAAAAAAAcFAFlBAAAAAAAAAAAIBQBZQQAAAAAAAAAACQIAWUIAAAAAAAAAAAoBAFlBAAAAAAAAAAALBABZQQAAAAAAAAAADAsAWUEAAAAAAAAAAA0CAFlBAAAAAAAAAAAEAwBZQQAAAAAAAAAABwgAWUEAAAAAAAAAAAAAAAA</t>
        </r>
      </text>
    </comment>
    <comment ref="A1297" authorId="0" shapeId="0" xr:uid="{9B2CA718-4816-47EF-B6BA-0840F7863C44}">
      <text>
        <r>
          <rPr>
            <sz val="9"/>
            <color indexed="81"/>
            <rFont val="MS P ゴシック"/>
            <family val="3"/>
            <charset val="128"/>
          </rPr>
          <t>Insight iXlW00001C0001297R0585476093S00002592P01016LAocjBAQBF1NjaVRlZ2ljLmRhdGEuTW9sZWN1bGUBbwF/ARJTY2lUZWdpYy5Nb2xlY3VsZQAAAQFkAv5qAQAAAAIAAjQYAAAA/PwA/AACAAAAAAAA8L8COiNKe4Mv878Ck6mCUUmd2D8AAAAAHAAAAPz8APwAAgAAAAAAAPC/AuELk6mCUdW/AspUwaikTuw/AAAAABgAAAD8/AD8AAIAAAAAAADwvwK+wRcmU4UAwALKVMGopE7sPwAAAAAcAAAA/PwA/AACAAAAAAAA8L8C4QuTqYJR1b8Cm1Wfq63Y8b8AAAAAGAAAAPz8APwAAgAAAAAAAPC/ApM6AU2EDeE/AjerPldbseO/AAAAABgAAAD8/AD8AAIAAAAAAADwvwI6I0p7gy/zvwI3qz5XW7HjvwAAAAAgAAAA/PwA/AACAAAAAAAA8L8C33GKjuRyB8ACk6mCUUmd2D8AAAAAGAAAAPz8APwAAgAAAAAAAPC/ApM6AU2EDeE/ApOpglFJndg/AAAAACAAAAD8/AD8AAIAAAAAAADwvwKL/WX35GH2PwKbVZ+rrdjxvwAAAAAgAAAA/PwA/AACAAAAAAAA8L8CvsEXJlOFAMACZapgVFIn/j8AAAAAGAAAAPz8APwAAgAAAAAAAPC/Ah+F61G4HgJAAjerPldbseO/AAAAABgAAAD8/AD8AAIAAAAAAADwvwIfhetRuB4CQAKTqYJRSZ3YPwAAAAAYAAAA/PwA/AACAAAAAAAA8L8CQDVeukkMCUACm1Wfq63Y8b8AAAAANAQAAWUIDAAAAAAAAAAIAAFlBAAAAAAAAAAADBQBZQgIAAAAAAAAABAcAWUIDAAAAAAAAAAUAAFlBAAAAAAAAAAAGAgBZQgAAAAAAAAAABwEAWUEAAAAAAAAAAAgEAFlBAAAAAAAAAAAJAgBZQQAAAAAAAAAACggAWUEAAAAAAAAAAAsKAFlBAAAAAAAAAAAMCgBZQQAAAAAAAAAABAMAWUEAAAAAAAAAAAAAAAA</t>
        </r>
      </text>
    </comment>
    <comment ref="A1298" authorId="0" shapeId="0" xr:uid="{082F3433-149B-46CF-99C1-BCFBC1EC985A}">
      <text>
        <r>
          <rPr>
            <sz val="9"/>
            <color indexed="81"/>
            <rFont val="MS P ゴシック"/>
            <family val="3"/>
            <charset val="128"/>
          </rPr>
          <t>Insight iXlW00001C0001298R0585476093S00002594P01468LAocjBAQBF1NjaVRlZ2ljLmRhdGEuTW9sZWN1bGUBbwF/ARJTY2lUZWdpYy5Nb2xlY3VsZQAAAQFkAv5qAQAAAAIAAgETGAAAAPz8APwAAgAAAAAAAPC/Amb35GGh1sy/AvRsVn2utvW/AAAAABwAAAD8/AD8AAIAAAAAAADwvwLSb18HzhnVvwK8lpAPejbXvwAAAAAYAAAA/PwA/AACAAAAAAAA8L8Cz4jS3uAL9D8CdEaU9gZf5r8AAAAAHAAAAPz8APwAAgAAAAAAAPC/Aj2bVZ+rreI/AtzXgXNGlKY/AAAAABgAAAD8/AD8AAIAAAAAAADwvwKdEaW9wRfoPwJ8gy9Mpgr5vwAAAAAYAAAA/PwA/AACAAAAAAAA8L8CQz7o2az6AUACoBov3SQG478AAAAAGAAAAPz8APwAAgAAAAAAAPC/AulILv8h/e6/Ato9eVioNQDAAAAAABgAAAD8/AD8AAIAAAAAAADwvwKn6Egu/yHzvwKJ0t7gC5PBPwAAAAAgAAAA/PwA/AACAAAAAAAA8L8Cn82qz9VW6L8Ct9EA3gIJCMAAAAAAHAAAAPz8APwAAgAAAAAAAPC/AqfoSC7/IfO/AintDb4wGQlAAAAAACQAAAD8/AD8AAIAAAAAAADwvwKGyVTBqCQBQAKamZmZmZnZPwAAAAAkAAAA/PwA/AACAAAAAAAA8L8CHjhnRGnvCUACXY/C9Shc378AAAAAJAAAAPz8APwAAgAAAAAAAPC/AjiJQWDl0AJAAgaBlUOLbPm/AAAAACAAAAD8/AD8AAIAAAAAAADwvwKDwMqhRbb+vwIoDwu1pnn7vwAAAAAYAAAA/PwA/AACAAAAAAAA8L8Cp+hILv8h878CUdobfGEy8j8AAAAAGAAAAPz8APwAAgAAAAAAAPC/AnUkl/+QfgDAAintDb4wGQVAAAAAABgAAAD8/AD8AAIAAAAAAADwvwKXIY51cRvVvwIp7Q2+MBkFQAAAAAAYAAAA/PwA/AACAAAAAAAA8L8CdSSX/5B+AMACUdobfGEy+j8AAAAAGAAAAPz8APwAAgAAAAAAAPC/ApchjnVxG9W/AlHaG3xhMvo/AAAAAAEUBAABZQQAAAAAAAAAAAgQAWUEAAAAAAAAAAAMBAFlBAAAAAAAAAAAEAABZQgIAAAAAAAAABQIAWUEAAAAAAAAAAAYAAFlBAAAAAAAAAAAHAQBZQQAAAAAAAAAACAYAWUIAAAAAAAAAAAkPAFlCAgAAAAAAAAAKBQBZQQAAAAAAAAAACwUAWUEAAAAAAAAAAAwFAFlBAAAAAAAAAAANBgBZQQAAAAAAAAAADgcAWUEAAAAAAAAAAA8AREBZQQAAAAAAAAAAAEQARIBZQgIAAAAAAAAAAEROAFlCAwAAAAAAAAAARI4AWUEAAAAAAAAAAAIDAFlCAgAAAAAAAAAJAEQAWUEAAAAAAAAAAAAAAAA</t>
        </r>
      </text>
    </comment>
    <comment ref="A1299" authorId="0" shapeId="0" xr:uid="{57450D3E-5B2F-4B4D-8C03-CF95952E9F3F}">
      <text>
        <r>
          <rPr>
            <sz val="9"/>
            <color indexed="81"/>
            <rFont val="MS P ゴシック"/>
            <family val="3"/>
            <charset val="128"/>
          </rPr>
          <t>Insight iXlW00001C0001299R0585476093S00002596P01088LAocjBAQBF1NjaVRlZ2ljLmRhdGEuTW9sZWN1bGUBbwF/ARJTY2lUZWdpYy5Nb2xlY3VsZQAAAQFkAv5qAQAAAAIAAjgYAAAA/PwA/AACAAAAAAAA8L8Cr7Zif9k93T8CqTXNO07RwT8AAAAAGAAAAPz8APwAAgAAAAAAAPC/AtzXgXNGlPK/Aqk1zTtO0cE/AAAAABgAAAD8/AD8AAIAAAAAAADwvwJDrWnecYrWvwLdJAaBlUPnPwAAAAAcAAAA/PwA/AACAAAAAAAA8L8CwH0dOGdE678CtOpztRX76b8AAAAAHAAAAPz8APwAAgAAAAAAAPC/AnulLEMc68I/AtKRXP5D+um/AAAAABgAAAD8/AD8AAIAAAAAAADwvwJKnYAmwob2PwICTYQNT6/cPwAAAAAYAAAA/PwA/AACAAAAAAAA8L8CveMUHcnlAMACAk2EDU+v3D8AAAAAIAAAAPz8APwAAgAAAAAAAPC/Arn8h/Tb1wbAAvXb14FzRsy/AAAAACQAAAD8/AD8AAIAAAAAAADwvwIv3SQGgZXxPwLeAgmKH2P2PwAAAAAkAAAA/PwA/AACAAAAAAAA8L8CrBxaZDvfAkACtaZ5xyk66D8AAAAAJAAAAPz8APwAAgAAAAAAAPC/AtUJaCJsePs/Ap0Rpb3BF+C/AAAAACAAAAD8/AD8AAIAAAAAAADwvwIBb4EExY8CwAL8OnDOiNL2PwAAAAAYAAAA/PwA/AACAAAAAAAA8L8C0gDeAgmK5z8CdLUV+8vu+b8AAAAAGAAAAPz8APwAAgAAAAAAAPC/AiD0bFZ9rvs/AvvL7snDQvi/AAAAADgECAFlBAAAAAAAAAAACAABZQgIAAAAAAAAAAwQAWUEAAAAAAAAAAAQAAFlBAAAAAAAAAAAFAABZQQAAAAAAAAAABgEAWUEAAAAAAAAAAAcGAFlCAAAAAAAAAAAIBQBZQQAAAAAAAAAACQUAWUEAAAAAAAAAAAoFAFlBAAAAAAAAAAALBgBZQQAAAAAAAAAADAQAWUEAAAAAAAAAAA0MAFlBAAAAAAAAAAADAQBZQgIAAAAAAAAAAAAAAA=</t>
        </r>
      </text>
    </comment>
    <comment ref="A1300" authorId="0" shapeId="0" xr:uid="{1C37BABB-026A-4AC3-B35A-3D5252352556}">
      <text>
        <r>
          <rPr>
            <sz val="9"/>
            <color indexed="81"/>
            <rFont val="MS P ゴシック"/>
            <family val="3"/>
            <charset val="128"/>
          </rPr>
          <t>Insight iXlW00001C0001300R0585476093S00002598P00860LAocjBAQBF1NjaVRlZ2ljLmRhdGEuTW9sZWN1bGUBbwF/ARJTY2lUZWdpYy5Nb2xlY3VsZQAAAQFkAv5qAQAAAAIAAiwYAAAA/PwA/AACAAAAAAAA8L8CZ0Rpb/AFAsACGlHaG3xh4L8AAAAAGAAAAPz8APwAAgAAAAAAAPC/AtZW7C+7J/i/ApAxdy0hH8Q/AAAAABgAAAD8/AD8AAIAAAAAAADwvwLswDkjSnv7vwLtDb4wmSryPwAAAAAcAAAA/PwA/AACAAAAAAAA8L8CcM6I0t7g4b8CyzLEsS5uw78AAAAAGAAAAPz8APwAAgAAAAAAAPC/AmfV52or9s+/Avd14JwRpfG/AAAAABwAAAD8/AD8AAIAAAAAAADwvwKnCkYldQLoPwL3deCcEaXxvwAAAAAYAAAA/PwA/AACAAAAAAAA8L8C33GKjuTy8D8CyzLEsS5uw78AAAAAGAAAAPz8APwAAgAAAAAAAPC/AvcGX5hMFQBAApAxdy0hH8Q/AAAAABwAAAD8/AD8AAIAAAAAAADwvwICvAUSFL8BQALtDb4wmSryPwAAAAAYAAAA/PwA/AACAAAAAAAA8L8CTRWMSuoE0D8CgZVDi2zn2z8AAAAAAREAAAD8/AD8AAIAAAAAAADwvwJoImx4eiUIQALG/rJ78rCQPwAAAAAoAAQBZQQAAAAAAAAAAAQIAWUEAAAAAAAAAAAEDAFlBAAAAAAAAAAADBABZQQAAAAAAAAAABAUAWUICAAAAAAAAAAUGAFlBAAAAAAAAAAAGBwBZQQAAAAAAAAAABwgAWUEAAAAAAAAAAAYJAFlCAgAAAAAAAAAJAwBZQQAAAAAAAAAAAAAAAA=</t>
        </r>
      </text>
    </comment>
    <comment ref="A1301" authorId="0" shapeId="0" xr:uid="{0DFC0CAE-704C-4FD1-A34B-96411A55A300}">
      <text>
        <r>
          <rPr>
            <sz val="9"/>
            <color indexed="81"/>
            <rFont val="MS P ゴシック"/>
            <family val="3"/>
            <charset val="128"/>
          </rPr>
          <t>Insight iXlW00001C0001301R0585476093S00002600P01104LAocjBAQBF1NjaVRlZ2ljLmRhdGEuTW9sZWN1bGUBbwF/ARJTY2lUZWdpYy5Nb2xlY3VsZQAAAQFkAv5qAQAAAAIAAjgYAAAA/PwA/AACAAAAAAAA8L8C3NeBc0aU8j8C1XjpJjEI6j8AAAAAGAAAAPz8APwAAgAAAAAAAPC/AmrecYqO5P0/As1dS8gHPbs/AAAAABgAAAD8/AD8AAIAAAAAAADwvwKjkjoBTQQBQAJHA3gLJCjxPwAAAAAYAAAA/PwA/AACAAAAAAAA8L8COPjCZKpg4L8C5fIf0m9f1z8AAAAAHAAAAPz8APwAAgAAAAAAAPC/Ao9TdCSX/8g/AkcDeAskKPE/AAAAACAAAAD8/AD8AAIAAAAAAADwvwKGyVTBqKT3vwIrhxbZzvfjPwAAAAAgAAAA/PwA/AACAAAAAAAA8L8C/tR46SYx0L8CRPrt68A5478AAAAAGAAAAPz8APwAAgAAAAAAAPC/AgpoImx4egHAAoQvTKYKRrW/AAAAABgAAAD8/AD8AAIAAAAAAADwvwJWn6ut2N8FQAKNKO0NvjDZvwAAAAAYAAAA/PwA/AACAAAAAAAA8L8Cat5xio7k9T8CrK3YX3ZP6L8AAAAAGAAAAPz8APwAAgAAAAAAAPC/Alafq63Y3wFAAtZW7C+7J/S/AAAAABgAAAD8/AD8AAIAAAAAAADwvwKGyVTBqKT3vwLu68A5I0rpvwAAAAAYAAAA/PwA/AACAAAAAAAA8L8CUWuad5wiB8AC7uvAOSNK6b8AAAAAGAAAAPz8APwAAgAAAAAAAPC/AlFrmnecIgfAAiuHFtnO9+M/AAAAADwEAAFlBAAAAAAAAAAACAABZQQAAAAAAAAAAAwQAWUEAAAAAAAAAAAAEAFlBAAAAAAAAAAAFAwBZQQAAAAAAAAAABgMAWUIAAAAAAAAAAAcFAFlBAAAAAAAAAAAIAQBZQQAAAAAAAAAACQEAWUEAAAAAAAAAAAoJAFlBAAAAAAAAAAALBwBZQQAAAAAAAAAADAcAWUEAAAAAAAAAAA0HAFlBAAAAAAAAAAACAQBZQQAAAAAAAAAACggAWUEAAAAAAAAAAAAAAAA</t>
        </r>
      </text>
    </comment>
    <comment ref="A1302" authorId="0" shapeId="0" xr:uid="{5E76F9C7-6D9E-422C-81CA-38292DEE23D9}">
      <text>
        <r>
          <rPr>
            <sz val="9"/>
            <color indexed="81"/>
            <rFont val="MS P ゴシック"/>
            <family val="3"/>
            <charset val="128"/>
          </rPr>
          <t>Insight iXlW00001C0001302R0585476093S00002602P01248LAocjBAQBF1NjaVRlZ2ljLmRhdGEuTW9sZWN1bGUBbwF/ARJTY2lUZWdpYy5Nb2xlY3VsZQAAAQFkAv5qAQAAAAIAAgEQGAAAAPz8APwAAgAAAAAAAPC/AgAAAAAAALC/AgwkKH6Mubs/AAAAABgAAAD8/AD8AAIAAAAAAADwvwIAAAAAAAD/PwL7XG3F/rK7PwAAAAAcAAAA/PwA/AACAAAAAAAA8L8CAAAAAAAA3D8CBcWPMXct7z8AAAAAHAAAAPz8APwAAgAAAAAAAPC/AgAAAAAAANw/AuQUHcnlP+i/AAAAABgAAAD8/AD8AAIAAAAAAADwvwIAAAAAAIAHQAL7XG3F/rK7PwAAAAAYAAAA/PwA/AACAAAAAAAA8L8CAAAAAAAA8b8CDCQofoy5uz8AAAAAGAAAAPz8APwAAgAAAAAAAPC/AgAAAAAAAPc/AgXFjzF3Le8/AAAAABgAAAD8/AD8AAIAAAAAAADwvwIAAAAAAAD3PwLkFB3J5T/ovwAAAAAYAAAA/PwA/AACAAAAAAAA8L8CAAAAAAAA+b8C5BQdyeU/6L8AAAAAIAAAAPz8APwAAgAAAAAAAPC/AgAAAAAAgAtAAgXFjzF3Le8/AAAAACAAAAD8/AD8AAIAAAAAAADwvwIAAAAAAIALQALkFB3J5T/ovwAAAAAYAAAA/PwA/AACAAAAAAAA8L8CyCk6kst/BMACArwFEhQ/6L8AAAAAJAAAAPz8APwAAgAAAAAAAPC/AgAAAAAAgAjAArTqc7UV+/m/AAAAABgAAAD8/AD8AAIAAAAAAADwvwIAAAAAAAD5vwIFxY8xdy3vPwAAAAAYAAAA/PwA/AACAAAAAAAA8L8CAAAAAACABMACBcWPMXct7z8AAAAAGAAAAPz8APwAAgAAAAAAAPC/AgAAAAAAgAjAAgwkKH6Mubs/AAAAAAERBBwBZQQAAAAAAAAAAAgAAWUICAAAAAAAAAAMAAFlBAAAAAAAAAAAEAQBZQQAAAAAAAAAABQAAWUEAAAAAAAAAAAYCAFlBAAAAAAAAAAAHAwBZQgIAAAAAAAAACAUAWUIDAAAAAAAAAAkEAFlCAAAAAAAAAAAKBABZQQAAAAAAAAAACwgAWUEAAAAAAAAAAAwLAFlBAAAAAAAAAAANBQBZQQAAAAAAAAAADg0AWUICAAAAAAAAAA8LAFlCAgAAAAAAAAAGAQBZQgIAAAAAAAAADw4AWUEAAAAAAAAAAAAAAAA</t>
        </r>
      </text>
    </comment>
    <comment ref="A1303" authorId="0" shapeId="0" xr:uid="{75302A2A-4FC0-489C-8E0B-A7F15B7DD844}">
      <text>
        <r>
          <rPr>
            <sz val="9"/>
            <color indexed="81"/>
            <rFont val="MS P ゴシック"/>
            <family val="3"/>
            <charset val="128"/>
          </rPr>
          <t>Insight iXlW00001C0001303R0585476093S00002604P01104LAocjBAQBF1NjaVRlZ2ljLmRhdGEuTW9sZWN1bGUBbwF/ARJTY2lUZWdpYy5Nb2xlY3VsZQAAAQFkAv5qAQAAAAIAAjgYAAAA/PwA/AACAAAAAAAA8L8C0gDeAgmK8r8Cj3VxGw3gvb8AAAAAGAAAAPz8APwAAgAAAAAAAPC/AtIA3gIJivK/AlkXt9EA3vG/AAAAABgAAAD8/AD8AAIAAAAAAADwvwJBguLHmLvSvwKdoiO5/IfYPwAAAAAYAAAA/PwA/AACAAAAAAAA8L8CGsBbIEFxAkACj3VxGw3gvb8AAAAAGAAAAPz8APwAAgAAAAAAAPC/AhvAWyBBcQZAAjXvOEVHcu+/AAAAABgAAAD8/AD8AAIAAAAAAADwvwIbwFsgQXEKQAKPdXEbDeC9vwAAAAAgAAAA/PwA/AACAAAAAAAA8L8CY3/ZPXlY4j8Cj3VxGw3gvb8AAAAAIAAAAPz8APwAAgAAAAAAAPC/AkGC4seYu9K/AlkXt9EA3vm/AAAAABwAAAD8/AD8AAIAAAAAAADwvwLSAN4CCYryvwKo6Egu/yH+PwAAAAAYAAAA/PwA/AACAAAAAAAA8L8C8x/Sb18H9z8CnaIjufyH2D8AAAAAIAAAAPz8APwAAgAAAAAAAPC/AsKGp1fKMgDAAlkXt9EA3vm/AAAAABgAAAD8/AD8AAIAAAAAAADwvwKKsOHplTIAwAKdoiO5/IfYPwAAAAAYAAAA/PwA/AACAAAAAAAA8L8CQYLix5i70r8Cp+hILv8h9j8AAAAAGAAAAPz8APwAAgAAAAAAAPC/Aoqw4emVMgDAAqfoSC7/IfY/AAAAADwEAAFlBAAAAAAAAAAACAABZQQAAAAAAAAAAAwkAWUEAAAAAAAAAAAQDAFlBAAAAAAAAAAAFAwBZQQAAAAAAAAAABgIAWUEAAAAAAAAAAAcBAFlCAAAAAAAAAAAIDQBZQgIAAAAAAAAACQYAWUEAAAAAAAAAAAoBAFlBAAAAAAAAAAALAABZQgMAAAAAAAAADAIAWUICAAAAAAAAAA0LAFlBAAAAAAAAAAAMCABZQQAAAAAAAAAABAUAWUEAAAAAAAAAAAAAAAA</t>
        </r>
      </text>
    </comment>
    <comment ref="A1304" authorId="0" shapeId="0" xr:uid="{D9231809-B488-42CE-8152-01636456C686}">
      <text>
        <r>
          <rPr>
            <sz val="9"/>
            <color indexed="81"/>
            <rFont val="MS P ゴシック"/>
            <family val="3"/>
            <charset val="128"/>
          </rPr>
          <t>Insight iXlW00001C0001304R0585476093S00002606P01016LAocjBAQBF1NjaVRlZ2ljLmRhdGEuTW9sZWN1bGUBbwF/ARJTY2lUZWdpYy5Nb2xlY3VsZQAAAQFkAv5qAQAAAAIAAjQYAAAA/PwA/AACAAAAAAAA8L8CTYQNT6+U6b8CN6s+V1ux078AAAAAGAAAAPz8APwAAgAAAAAAAPC/Ak2EDU+vlOm/As6qz9VW7PS/AAAAABgAAAD8/AD8AAIAAAAAAADwvwKx4emVsgyxPwKTqYJRSZ3IPwAAAAAgAAAA/PwA/AACAAAAAAAA8L8CuvyH9NvX7T8CN6s+V1ux078AAAAAIAAAAPz8APwAAgAAAAAAAPC/ArHh6ZWyDLE/As6qz9VW7Py/AAAAABwAAAD8/AD8AAIAAAAAAADwvwJNhA1Pr5TpvwIzVTAqqRP7PwAAAAAgAAAA/PwA/AACAAAAAAAA8L8CaCJseHql+r8CzqrP1Vbs/L8AAAAAGAAAAPz8APwAAgAAAAAAAPC/ArHh6ZWyDLE/AjNVMCqpE/M/AAAAABgAAAD8/AD8AAIAAAAAAADwvwJoImx4eqX6vwKTqYJRSZ3IPwAAAAAYAAAA/PwA/AACAAAAAAAA8L8CEAu1pnnH/D8Ck6mCUUmdyD8AAAAAGAAAAPz8APwAAgAAAAAAAPC/AmgibHh6pfq/AjNVMCqpE/M/AAAAABgAAAD8/AD8AAIAAAAAAADwvwKeXinLEMf8PwIzVTAqqRPzPwAAAAAYAAAA/PwA/AACAAAAAAAA8L8CqTXNO05RBUACN6s+V1ux078AAAAANAQAAWUEAAAAAAAAAAAIAAFlCAgAAAAAAAAADAgBZQQAAAAAAAAAABAEAWUIAAAAAAAAAAAUKAFlBAAAAAAAAAAAGAQBZQQAAAAAAAAAABwIAWUEAAAAAAAAAAAgAAFlBAAAAAAAAAAAJAwBZQQAAAAAAAAAACggAWUICAAAAAAAAAAsJAFlBAAAAAAAAAAAMCQBZQQAAAAAAAAAABwUAWUICAAAAAAAAAAAAAAA</t>
        </r>
      </text>
    </comment>
    <comment ref="A1305" authorId="0" shapeId="0" xr:uid="{DE3E466A-2875-47C4-B52D-891D6089E63E}">
      <text>
        <r>
          <rPr>
            <sz val="9"/>
            <color indexed="81"/>
            <rFont val="MS P ゴシック"/>
            <family val="3"/>
            <charset val="128"/>
          </rPr>
          <t>Insight iXlW00001C0001305R0585476093S00002608P01136LAocjBAQBF1NjaVRlZ2ljLmRhdGEuTW9sZWN1bGUBbwF/ARJTY2lUZWdpYy5Nb2xlY3VsZQAAAQFkAv5qAQAAAAIAAjwYAAAA/PwA/AACAAAAAAAA8L8Cg8DKoUW2+78CTMgHPZtV5T8AAAAAHAAAAPz8APwAAgAAAAAAAPC/AoPAyqFFtuu/Aibkg57NqvI/AAAAABgAAAD8/AD8AAIAAAAAAADwvwKb5h2n6MgEQAK1N/jCZKrqvwAAAAAYAAAA/PwA/AACAAAAAAAA8L8CYxBYObTIBMACJuSDns2q8j8AAAAAHAAAAPz8APwAAgAAAAAAAPC/AoPAyqFFtuu/ArU3+MJkquq/AAAAABgAAAD8/AD8AAIAAAAAAADwvwACam/whclU1b8AAAAAGAAAAPz8APwAAgAAAAAAAPC/AoPAyqFFtvu/Ampv8IXJVNW/AAAAACAAAAD8/AD8AAIAAAAAAADwvwK8lpAPerYLwAJMyAc9m1XlPwAAAAAYAAAA/PwA/AACAAAAAAAA8L8AAkzIBz2bVeU/AAAAACAAAAD8/AD8AAIAAAAAAADwvwKDwMqhRbbrPwK1N/jCZKrqvwAAAAAYAAAA/PwA/AACAAAAAAAA8L8Cg8DKoUW2+z8Cam/whclU1b8AAAAAJAAAAPz8APwAAgAAAAAAAPC/ApvmHafoyAhAAueMKO0NvqA/AAAAACQAAAD8/AD8AAIAAAAAAADwvwK8lpAPerYLQALbG3xhMlX1vwAAAAAkAAAA/PwA/AACAAAAAAAA8L8Cm+Ydp+jIAEACHHxhMlUw+78AAAAAIAAAAPz8APwAAgAAAAAAAPC/ApvmHafoyATAAhPyQc9mVQFAAAAAADwEAAFlCAwAAAAAAAAACCgBZQQAAAAAAAAAAAwAAWUEAAAAAAAAAAAQGAFlCAgAAAAAAAAAFCABZQgMAAAAAAAAABgAAWUEAAAAAAAAAAAcDAFlCAAAAAAAAAAAIAQBZQQAAAAAAAAAACQUAWUEAAAAAAAAAAAoJAFlBAAAAAAAAAAALAgBZQQAAAAAAAAAADAIAWUEAAAAAAAAAAA0CAFlBAAAAAAAAAAAOAwBZQQAAAAAAAAAABQQAWUEAAAAAAAAAAAAAAAA</t>
        </r>
      </text>
    </comment>
    <comment ref="A1306" authorId="0" shapeId="0" xr:uid="{D8F9778D-FF60-4213-88FA-F8B55E79F601}">
      <text>
        <r>
          <rPr>
            <sz val="9"/>
            <color indexed="81"/>
            <rFont val="MS P ゴシック"/>
            <family val="3"/>
            <charset val="128"/>
          </rPr>
          <t>Insight iXlW00001C0001306R0585476093S00002610P01252LAocjBAQBF1NjaVRlZ2ljLmRhdGEuTW9sZWN1bGUBbwF/ARJTY2lUZWdpYy5Nb2xlY3VsZQAAAQFkAv5qAQAAAAIAAgEQGAAAAPz8APwAAgAAAAAAAPC/AtSa5h2n6AFAArfz/dR46fm/AAAAABgAAAD8/AD8AAIAAAAAAADwvwKpNc07TtH7PwLqJjEIrBzovwAAAAAYAAAA/PwA/AACAAAAAAAA8L8C1JrmHafoAUACzczMzMzMvD8AAAAAGAAAAPz8APwAAgAAAAAAAPC/Aqk1zTtO0fs/Ah1aZDvfT+8/AAAAABgAAAD8/AD8AAIAAAAAAADwvwJRa5p3nKLnPwIdWmQ730/vPwAAAAAgAAAA/PwA/AACAAAAAAAA8L8CmG4Sg8DKsT8CB1+YTBWM+z8AAAAAGAAAAPz8APwAAgAAAAAAAPC/Ahi30QDeAuu/ApkqGJXUCfU/AAAAABgAAAD8/AD8AAIAAAAAAADwvwJEi2zn+6nnvwKM22gAb4HUPwAAAAAYAAAA/PwA/AACAAAAAAAA8L8CGLfRAN4C4b8Cz4jS3uAL5b8AAAAAGAAAAPz8APwAAgAAAAAAAPC/AhRhw9MrZfS/AiZTBaOSOvW/AAAAABwAAAD8/AD8AAIAAAAAAADwvwJZqDXNO84BwAIMk6mCUUnwvwAAAAAYAAAA/PwA/AACAAAAAAAA8L8CnDOitDd4A8ACFmpN845TpL8AAAAAGAAAAPz8APwAAgAAAAAAAPC/AkA1XrpJDPu/At1GA3gLJOQ/AAAAABgAAAD8/AD8AAIAAAAAAADwvwJDrWnecYrOPwLNzMzMzMy8PwAAAAAYAAAA/PwA/AACAAAAAAAA8L8CUWuad5yi5z8C6iYxCKwc6L8AAAAAAREAAAD8/AD8AAIAAAAAAADwvwI7AU2EDU8IQAILtaZ5xymqPwAAAAABEQAEAWUEAAAAAAAAAAAECAFlCAwAAAAAAAAACAwBZQQAAAAAAAAAAAwQAWUIDAAAAAAAAAAQFAFlBAAAAAAAAAAAFBgBZQQAAAAAAAAAABgcAWUEAAAAAAAAAAAcIAFlBAAAAAAAAAAAICQBZQQAAAAAAAAAACQoAWUEAAAAAAAAAAAoLAFlBAAAAAAAAAAALDABZQQAAAAAAAAAADAcAWUEAAAAAAAAAAAcNAFlBAAAAAAAAAAANBABZQQAAAAAAAAAADQ4AWUIDAAAAAAAAAA4BAFlBAAAAAAAAAAAAAAAAA==</t>
        </r>
      </text>
    </comment>
    <comment ref="A1307" authorId="0" shapeId="0" xr:uid="{5FABB593-3CEB-46C1-817A-3048C1B38F99}">
      <text>
        <r>
          <rPr>
            <sz val="9"/>
            <color indexed="81"/>
            <rFont val="MS P ゴシック"/>
            <family val="3"/>
            <charset val="128"/>
          </rPr>
          <t>Insight iXlW00001C0001307R0585476093S00002612P01320LAocjBAQBF1NjaVRlZ2ljLmRhdGEuTW9sZWN1bGUBbwF/ARJTY2lUZWdpYy5Nb2xlY3VsZQAAAQFkAv5qAQAAAAIAAgERGAAAAPz8APwAAgAAAAAAAPC/Au7rwDkjSghAAtBE2PD0Svi/AAAAACAAAAD8/AD8AAIAAAAAAADwvwLu68A5I0oAQALQRNjw9Er4vwAAAAAYAAAA/PwA/AACAAAAAAAA8L8C3NeBc0aU+D8CHcnlP6Tf5L8AAAAAGAAAAPz8APwAAgAAAAAAAPC/Au7rwDkjSgBAApjdk4eFWss/AAAAABgAAAD8/AD8AAIAAAAAAADwvwLc14FzRpT4PwL129eBc0bxPwAAAAAYAAAA/PwA/AACAAAAAAAA8L8CuK8D54wo4T8C9dvXgXNG8T8AAAAAIAAAAPz8APwAAgAAAAAAAPC/Ahi30QDeAsG/Au4NvjCZKv0/AAAAABgAAAD8/AD8AAIAAAAAAADwvwJYObTIdr7wvwKA2T15WKj2PwAAAAAYAAAA/PwA/AACAAAAAAAA8L8C3UYDeAsk7r8C6Ugu/yH92j8AAAAAGAAAAPz8APwAAgAAAAAAAPC/ArByaJHtfOe/AgIrhxbZzuG/AAAAABgAAAD8/AD8AAIAAAAAAADwvwLgvg6cM6L3vwJApN++DpzzvwAAAAAcAAAA/PwA/AACAAAAAAAA8L8CP1dbsb9sA8ACam/whclU7b8AAAAAGAAAAPz8APwAAgAAAAAAAPC/AoPix5i7FgXAArFyaJHtfK8/AAAAABgAAAD8/AD8AAIAAAAAAADwvwIMk6mCUUn+vwKppE5AE2HnPwAAAAAYAAAA/PwA/AACAAAAAAAA8L8Cf/s6cM6Ioj8CmN2Th4Vayz8AAAAAGAAAAPz8APwAAgAAAAAAAPC/ArivA+eMKOE/Ah3J5T+k3+S/AAAAAAERAAAA/PwA/AACAAAAAAAA8L8CVVInoImwDkACdSSX/5B+wz8AAAAAARIABAFlBAAAAAAAAAAABAgBZQQAAAAAAAAAAAgMAWUIDAAAAAAAAAAMEAFlBAAAAAAAAAAAEBQBZQgMAAAAAAAAABQYAWUEAAAAAAAAAAAYHAFlBAAAAAAAAAAAHCABZQQAAAAAAAAAACAkAWUEAAAAAAAAAAAkKAFlBAAAAAAAAAAAKCwBZQQAAAAAAAAAACwwAWUEAAAAAAAAAAAwNAFlBAAAAAAAAAAANCABZQQAAAAAAAAAACA4AWUEAAAAAAAAAAA4FAFlBAAAAAAAAAAAODwBZQgMAAAAAAAAADwIAWUEAAAAAAAAAAAAAAAA</t>
        </r>
      </text>
    </comment>
    <comment ref="A1308" authorId="0" shapeId="0" xr:uid="{A0E14B15-4071-4C1C-9D66-2B7E4E122BAD}">
      <text>
        <r>
          <rPr>
            <sz val="9"/>
            <color indexed="81"/>
            <rFont val="MS P ゴシック"/>
            <family val="3"/>
            <charset val="128"/>
          </rPr>
          <t>Insight iXlW00001C0001308R0585476093S00002614P01468LAocjBAQBF1NjaVRlZ2ljLmRhdGEuTW9sZWN1bGUBbwF/ARJTY2lUZWdpYy5Nb2xlY3VsZQAAAQFkAv5qAQAAAAIAAgETJAAAAPz8APwAAgAAAAAAAPC/AgCRfvs68AVAArHh6ZWyDOU/AAAAABgAAAD8/AD8AAIAAAAAAADwvwIAkX77OvABQAJKe4MvTKbKvwAAAAAkAAAA/PwA/AACAAAAAAAA8L8CIUHxY8zdCEAC097gC5Op5r8AAAAAJAAAAPz8APwAAgAAAAAAAPC/Ao91cRsN4Ps/Ahx8YTJVMPG/AAAAABgAAAD8/AD8AAIAAAAAAADwvwJNFYxK6gT2PwJbQj7o2azSPwAAAAAYAAAA/PwA/AACAAAAAAAA8L8CTRWMSuoE9j8CJuSDns2q9D8AAAAAGAAAAPz8APwAAgAAAAAAAPC/AhZqTfOOU+A/Aibkg57Nqvw/AAAAABgAAAD8/AD8AAIAAAAAAADwvwLarPpcbcXWvwIm5IOezar0PwAAAAAgAAAA/PwA/AACAAAAAAAA8L8CRkdy+Q/p9L8CsVBrmnec+T8AAAAAGAAAAPz8APwAAgAAAAAAAPC/Ao4G8BZIUP6/AkzIBz2bVek/AAAAABgAAAD8/AD8AAIAAAAAAADwvwLUmuYdp+j0vwIi/fZ14JyRvwAAAAAYAAAA/PwA/AACAAAAAAAA8L8CKxiV1Alo5L8C2xt8YTJV6L8AAAAAGAAAAPz8APwAAgAAAAAAAPC/AkLxY8xdS+6/Aov9ZffkYfu/AAAAABwAAAD8/AD8AAIAAAAAAADwvwLrc7UV+8v+vwISFD/G3LX+vwAAAAAYAAAA/PwA/AACAAAAAAAA8L8CVcGopE7ABMACi47k8h/S8r8AAAAAGAAAAPz8APwAAgAAAAAAAPC/Ag8LtaZ5RwLAAt6Th4Va08y/AAAAABgAAAD8/AD8AAIAAAAAAADwvwLarPpcbcXWvwKXkA96NqvSPwAAAAAYAAAA/PwA/AACAAAAAAAA8L8CFmpN845T4D8CSnuDL0ymyr8AAAAAAREAAAD8/AD8AAIAAAAAAADwvwKHp1fKMkQPQALr4jYawFuwvwAAAAABFAAEAWUEAAAAAAAAAAAECAFlBAAAAAAAAAAABAwBZQQAAAAAAAAAAAQQAWUEAAAAAAAAAAAQFAFlCAwAAAAAAAAAFBgBZQQAAAAAAAAAABgcAWUIDAAAAAAAAAAcIAFlBAAAAAAAAAAAICQBZQQAAAAAAAAAACQoAWUEAAAAAAAAAAAoLAFlBAAAAAAAAAAALDABZQQAAAAAAAAAADA0AWUEAAAAAAAAAAA0OAFlBAAAAAAAAAAAODwBZQQAAAAAAAAAADwoAWUEAAAAAAAAAAAoARABZQQAAAAAAAAAAAEQHAFlBAAAAAAAAAAAARABEQFlCAwAAAAAAAAAAREQAWUEAAAAAAAAAAAAAAAA</t>
        </r>
      </text>
    </comment>
    <comment ref="A1309" authorId="0" shapeId="0" xr:uid="{919B0CA8-DD68-4292-A416-D0BF2025DA39}">
      <text>
        <r>
          <rPr>
            <sz val="9"/>
            <color indexed="81"/>
            <rFont val="MS P ゴシック"/>
            <family val="3"/>
            <charset val="128"/>
          </rPr>
          <t>Insight iXlW00001C0001309R0585476093S00002616P01324LAocjBAQBF1NjaVRlZ2ljLmRhdGEuTW9sZWN1bGUBbwF/ARJTY2lUZWdpYy5Nb2xlY3VsZQAAAQFkAv5qAQAAAAIAAgERGAAAAPz8APwAAgAAAAAAAPC/Ao0o7Q2+MNU/Ap/Nqs/VVtA/AAAAABgAAAD8/AD8AAIAAAAAAADwvwJdbcX+snvkPwJP0ZFc/kPmvwAAAAAYAAAA/PwA/AACAAAAAAAA8L8Cat5xio7k+T8Ce6UsQxzr7L8AAAAAGAAAAPz8APwAAgAAAAAAAPC/ArprCfmgZ+0/AvMf0m9fB/E/AAAAABwAAAD8/AD8AAIAAAAAAADwvwKNKO0NvjDVPwJ/jLlrCfn9PwAAAAAYAAAA/PwA/AACAAAAAAAA8L8C16NwPQrX478C5j+k374O4j8AAAAAGAAAAPz8APwAAgAAAAAAAPC/AhkEVg4tsp2/Ai9uowG8Bfe/AAAAABgAAAD8/AD8AAIAAAAAAADwvwLXo3A9CtfjvwLzH9JvXwf5PwAAAAAgAAAA/PwA/AACAAAAAAAA8L8C7FG4HoXr0T8CH4XrUbgeA8AAAAAAJAAAAPz8APwAAgAAAAAAAPC/AoBIv30dOP0/At9PjZduErM/AAAAACQAAAD8/AD8AAIAAAAAAADwvwLarPpcbcUEQALUvOMUHcnxvwAAAAAkAAAA/PwA/AACAAAAAAAA8L8C48eYu5aQ9j8CCM4ZUdob/r8AAAAAIAAAAPz8APwAAgAAAAAAAPC/Asx/SL99HfC/AhkEVg4tsvO/AAAAABgAAAD8/AD8AAIAAAAAAADwvwItsp3vp8b3vwIv/yH99nWwPwAAAAAYAAAA/PwA/AACAAAAAAAA8L8CLbKd76fG978C+g/pt6+DAEAAAAAAGAAAAPz8APwAAgAAAAAAAPC/AjiJQWDl0ALAAuY/pN++DuI/AAAAABgAAAD8/AD8AAIAAAAAAADwvwI4iUFg5dACwALzH9JvXwf5PwAAAAABEgQAAWUEAAAAAAAAAAAIBAFlBAAAAAAAAAAADAABZQgMAAAAAAAAABAMAWUEAAAAAAAAAAAUAAFlBAAAAAAAAAAAGAQBZQQAAAAAAAAAABwUAWUEAAAAAAAAAAAgGAFlCAAAAAAAAAAAJAgBZQQAAAAAAAAAACgIAWUEAAAAAAAAAAAsCAFlBAAAAAAAAAAAMBgBZQQAAAAAAAAAADQUAWUIDAAAAAAAAAA4HAFlCAgAAAAAAAAAPDQBZQQAAAAAAAAAAAEQOAFlBAAAAAAAAAAAEBwBZQQAAAAAAAAAAAEQPAFlCAgAAAAAAAAAAAAAAA==</t>
        </r>
      </text>
    </comment>
    <comment ref="A1310" authorId="0" shapeId="0" xr:uid="{2F986F72-9D8E-4A8F-B115-AA254D5507F2}">
      <text>
        <r>
          <rPr>
            <sz val="9"/>
            <color indexed="81"/>
            <rFont val="MS P ゴシック"/>
            <family val="3"/>
            <charset val="128"/>
          </rPr>
          <t>Insight iXlW00001C0001310R0585476093S00002618P01396LAocjBAQBF1NjaVRlZ2ljLmRhdGEuTW9sZWN1bGUBbwF/ARJTY2lUZWdpYy5Nb2xlY3VsZQAAAQFkAv5qAQAAAAIAAgESGAAAAPz8APwAAgAAAAAAAPC/ApEPejarPuM/AlwgQfFjzMW/AAAAABgAAAD8/AD8AAIAAAAAAADwvwKo6Egu/yHtPwIll/+QfvvoPwAAAAAYAAAA/PwA/AACAAAAAAAA8L8CpixDHOvizj8Ci/1l9+Rh+D8AAAAAGAAAAPz8APwAAgAAAAAAAPC/AoJzRpT2BvM/Ai4hH/RsVu+/AAAAABgAAAD8/AD8AAIAAAAAAADwvwIaUdobfGHWvwJbQj7o2azevwAAAAAcAAAA/PwA/AACAAAAAAAA8L8CkQ96Nqs+4z8CIv32deCc/L8AAAAAGAAAAPz8APwAAgAAAAAAAPC/AhpR2ht8Yda/ApeQD3o2q/e/AAAAABgAAAD8/AD8AAIAAAAAAADwvwKe76fGSzf+PwJRa5p3nKLvPwAAAAAYAAAA/PwA/AACAAAAAAAA8L8CiPTb14Fz878CUdobfGEylT8AAAAAGAAAAPz8APwAAgAAAAAAAPC/Aoj029eBc/O/ApeQD3o2q/+/AAAAACAAAAD8/AD8AAIAAAAAAADwvwJNhA1Pr5QBQAK40QDeAgn/PwAAAAAkAAAA/PwA/AACAAAAAAAA8L8CyJi7lpAP4L8CmN2Th4Va6z8AAAAAJAAAAPz8APwAAgAAAAAAAPC/Am1Wfa62Ytu/AolBYOXQIgJAAAAAACQAAAD8/AD8AAIAAAAAAADwvwI51sVtNIDvPwIlBoGVQ4sBQAAAAAAgAAAA/PwA/AACAAAAAAAA8L8CZ9Xnait2BEACB4GVQ4tszz8AAAAAGAAAAPz8APwAAgAAAAAAAPC/AmWqYFRSpwDAAltCPujZrN6/AAAAABgAAAD8/AD8AAIAAAAAAADwvwJlqmBUUqcAwAKXkA96Nqv3vwAAAAAYAAAA/PwA/AACAAAAAAAA8L8CvjCZKhiVB8ACl5APejar/78AAAAAARMEAAFlBAAAAAAAAAAACAQBZQQAAAAAAAAAAAwAAWUIDAAAAAAAAAAQAAFlBAAAAAAAAAAAFAwBZQQAAAAAAAAAABgQAWUEAAAAAAAAAAAcBAFlBAAAAAAAAAAAIBABZQgMAAAAAAAAACQYAWUICAAAAAAAAAAoHAFlCAAAAAAAAAAALAgBZQQAAAAAAAAAADAIAWUEAAAAAAAAAAA0CAFlBAAAAAAAAAAAOBwBZQQAAAAAAAAAADwgAWUEAAAAAAAAAAABECQBZQQAAAAAAAAAAAERARABZQQAAAAAAAAAABQYAWUEAAAAAAAAAAABEDwBZQgIAAAAAAAAAAAAAAA=</t>
        </r>
      </text>
    </comment>
    <comment ref="A1311" authorId="0" shapeId="0" xr:uid="{AAC1623F-9102-42C3-B5F4-15D2FF551BD2}">
      <text>
        <r>
          <rPr>
            <sz val="9"/>
            <color indexed="81"/>
            <rFont val="MS P ゴシック"/>
            <family val="3"/>
            <charset val="128"/>
          </rPr>
          <t>Insight iXlW00001C0001311R0585476093S00002620P00952LAocjBAQBF1NjaVRlZ2ljLmRhdGEuTW9sZWN1bGUBbwF/ARJTY2lUZWdpYy5Nb2xlY3VsZQAAAQFkAv5qAQAAAAIAAjQYAAAA/PwA/AACAAAAAAAA8L8CwqikTkAT678AAAAAABgAAAD8/AD8AAIAAAAAAADwvwIv/yH99nXyPwAAAAAAHAAAAPz8APwAAgAAAAAAAPC/AoNRSZ2AJta/AoPAyqFFtuu/AAAAABwAAAD8/AD8AAIAAAAAAADwvwJHA3gLJCjWvwKDwMqhRbbrPwAAAAAYAAAA/PwA/AACAAAAAAAA8L8Cl/+Qfvs6AUAAAAAAABgAAAD8/AD8AAIAAAAAAADwvwJd/kP67evkPwKDwMqhRbbrPwAAAAAYAAAA/PwA/AACAAAAAAAA8L8CXf5D+u3r5D8Cg8DKoUW2678AAAAAGAAAAPz8APwAAgAAAAAAAPC/AmFUUiegif2/AAAAAAAgAAAA/PwA/AACAAAAAAAA8L8Cl/+Qfvs6BUACg8DKoUW26z8AAAAAIAAAAPz8APwAAgAAAAAAAPC/Apf/kH77OgVAAoPAyqFFtuu/AAAAABgAAAD8/AD8AAIAAAAAAADwvwJhVFInoIn9vwIAAAAAAADwvwAAAAAYAAAA/PwA/AACAAAAAAAA8L8CMSqpE9DEBsAAAAAAABgAAAD8/AD8AAIAAAAAAADwvwJhVFInoIn9vwEAAAAANAQUAWUEAAAAAAAAAAAIAAFlCAgAAAAAAAAADAABZQQAAAAAAAAAABAEAWUEAAAAAAAAAAAUDAFlCAgAAAAAAAAAGAgBZQQAAAAAAAAAABwAAWUEAAAAAAAAAAAgEAFlCAAAAAAAAAAAJBABZQQAAAAAAAAAACgcAWUEAAAAAAAAAAAsHAFlBAAAAAAAAAAAMBwBZQQAAAAAAAAAABgEAWUICAAAAAAAAAAAAAAA</t>
        </r>
      </text>
    </comment>
    <comment ref="A1312" authorId="0" shapeId="0" xr:uid="{1C4E23F3-AE6F-48D1-8742-B4E7AB004843}">
      <text>
        <r>
          <rPr>
            <sz val="9"/>
            <color indexed="81"/>
            <rFont val="MS P ゴシック"/>
            <family val="3"/>
            <charset val="128"/>
          </rPr>
          <t>Insight iXlW00001C0001312R0585476093S00002622P01252LAocjBAQBF1NjaVRlZ2ljLmRhdGEuTW9sZWN1bGUBbwF/ARJTY2lUZWdpYy5Nb2xlY3VsZQAAAQFkAv5qAQAAAAIAAgEQHAAAAPz8APwAAgAAAAAAAPC/AuQUHcnlP+g/AgAAAAAAANQ/AAAAABgAAAD8/AD8AAIAAAAAAADwvwLkFB3J5T/oPwIAAAAAAADmvwAAAAAYAAAA/PwA/AACAAAAAAAA8L8CtOpztRX7+T8CAAAAAAAA6j8AAAAAGAAAAPz8APwAAgAAAAAAAPC/AgwkKH6Mubu/AgAAAAAAAOo/AAAAABgAAAD8/AD8AAIAAAAAAADwvwK06nO1Ffv5PwIAAAAAAADzvwAAAAAYAAAA/PwA/AACAAAAAAAA8L8CBcWPMXct778CAAAAAAAA1D8AAAAAGAAAAPz8APwAAgAAAAAAAPC/AnulLEMc6wNAAgAAAAAAANQ/AAAAABgAAAD8/AD8AAIAAAAAAADwvwJ7pSxDHOsDQAIAAAAAAADmvwAAAAAgAAAA/PwA/AACAAAAAAAA8L8C+1xtxf6yu78CAAAAAAAA878AAAAAGAAAAPz8APwAAgAAAAAAAPC/AsRCrWnecf2/AgAAAAAAAOo/AAAAAAEjAAAA/PwA/AACAAAAAAAA8L8CnFWfq63YCkACAAAAAAAA6j8AAAAAJAAAAPz8APwAAgAAAAAAAPC/AsRCrWnecf2/AgAAAAAAAP0/AAAAABgAAAD8/AD8AAIAAAAAAADwvwIFxY8xdy3vvwIAAAAAAADmvwAAAAAYAAAA/PwA/AACAAAAAAAA8L8Cg1FJnYCmBcACAAAAAAAA1D8AAAAAGAAAAPz8APwAAgAAAAAAAPC/AsRCrWnecf2/AgAAAAAAAPO/AAAAABgAAAD8/AD8AAIAAAAAAADwvwKDUUmdgKYFwAIAAAAAAADmvwAAAAABEQQAAWUEAAAAAAAAAAAIAAFlBAAAAAAAAAAADAABZQQAAAAAAAAAABAEAWUEAAAAAAAAAAAUDAFlBAAAAAAAAAAAGAgBZQgMAAAAAAAAABwQAWUICAAAAAAAAAAgBAFlCAAAAAAAAAAAJBQBZQgIAAAAAAAAACgYAWUEAAAAAAAAAAAsJAFlBAAAAAAAAAAAMBQBZQQAAAAAAAAAADQkAWUEAAAAAAAAAAA4MAFlCAgAAAAAAAAAPDQBZQgIAAAAAAAAABwYAWUEAAAAAAAAAAA8OAFlBAAAAAAAAAAAAAAAAA==</t>
        </r>
      </text>
    </comment>
    <comment ref="A1313" authorId="0" shapeId="0" xr:uid="{26C04B37-04BC-44DB-BC4F-F796E3ADAA8B}">
      <text>
        <r>
          <rPr>
            <sz val="9"/>
            <color indexed="81"/>
            <rFont val="MS P ゴシック"/>
            <family val="3"/>
            <charset val="128"/>
          </rPr>
          <t>Insight iXlW00001C0001313R0585476093S00002624P00860LAocjBAQBF1NjaVRlZ2ljLmRhdGEuTW9sZWN1bGUBbwF/ARJTY2lUZWdpYy5Nb2xlY3VsZQAAAQFkAv5qAQAAAAIAAiwBEAAAAPz8APwAAgAAAAAAAPC/ApPLf0i/ff8/Ag6+MJkqGM2/AAAAACAAAAD8/AD8AAIAAAAAAADwvwKTy39Iv333PwIEeAskKH7xvwAAAAAgAAAA/PwA/AACAAAAAAAA8L8CyeU/pN++A0AC4umVsgxx5D8AAAAAGAAAAPz8APwAAgAAAAAAAPC/AhRhw9Mr5QLAAvmgZ7Pqc9E/AAAAABwAAAD8/AD8AAIAAAAAAADwvwJRa5p3nKLxPwL5oGez6nPRPwAAAAAcAAAA/PwA/AACAAAAAAAA8L8CI2x4eqWsBkAChC9MpgpG578AAAAAIAAAAPz8APwAAgAAAAAAAPC/AjQRNjy90gnAAg6+MJkqGM2/AAAAACAAAAD8/AD8AAIAAAAAAADwvwIUYcPTK+UCwAI/6Nms+lz0PwAAAAAYAAAA/PwA/AACAAAAAAAA8L8C5WGh1jTv978CDr4wmSoYzb8AAAAAGAAAAPz8APwAAgAAAAAAAPC/AnpYqDXNO84/Ag6+MJkqGM2/AAAAABgAAAD8/AD8AAIAAAAAAADwvwJlqmBUUifkvwL5oGez6nPRPwAAAAAoBAABZQgAAAAAAAAAAAgAAWUIAAAAAAAAAAAMIAFlBAAAAAAAAAAAEAABZQQAAAAAAAAAABQAAWUEAAAAAAAAAAAYDAFlCAAAAAAAAAAAHAwBZQQAAAAAAAAAACAoAWUEAAAAAAAAAAAkEAFlBAAAAAAAAAAAKCQBZQQAAAAAAAAAAAAAAAA=</t>
        </r>
      </text>
    </comment>
    <comment ref="A1314" authorId="0" shapeId="0" xr:uid="{EDBC1999-C90B-4B5F-BDAF-27518D4D7CCA}">
      <text>
        <r>
          <rPr>
            <sz val="9"/>
            <color indexed="81"/>
            <rFont val="MS P ゴシック"/>
            <family val="3"/>
            <charset val="128"/>
          </rPr>
          <t>Insight iXlW00001C0001314R0585476093S00002626P00756LAocjBAQBF1NjaVRlZ2ljLmRhdGEuTW9sZWN1bGUBbwF/ARJTY2lUZWdpYy5Nb2xlY3VsZQAAAQFkAv5qAQAAAAIAAigBEAAAAPz8APwAAgAAAAAAAPC/AqoT0ETY8Pg/AAAAAAAYAAAA/PwA/AACAAAAAAAA8L8CzhlR2ht8/r8AAAAAACAAAAD8/AD8AAIAAAAAAADwvwKpE9BE2PDwPwKDwMqhRbbrvwAAAAAgAAAA/PwA/AACAAAAAAAA8L8C1QloImx4AEACg8DKoUW26z8AAAAAHAAAAPz8APwAAgAAAAAAAPC/AtBm1edqK+Y/AgAAAAAAAOA/AAAAABwAAAD8/AD8AAIAAAAAAADwvwIukKD4MWYDQAIAAAAAAADgvwAAAAAYAAAA/PwA/AACAAAAAAAA8L8CHA3gLZCg8L8CAAAAAAAA4D8AAAAAIAAAAPz8APwAAgAAAAAAAPC/As4ZUdobfP6/AgAAAAAAAPC/AAAAABgAAAD8/AD8AAIAAAAAAADwvwLQZtXnaivGvwAAAAAAIAAAAPz8APwAAgAAAAAAAPC/Agg9m1WfKwbAAgAAAAAAAOA/AAAAACQEGAFlBAAAAAAAAAAACAABZQgAAAAAAAAAAAwAAWUIAAAAAAAAAAAQAAFlBAAAAAAAAAAAFAABZQQAAAAAAAAAABggAWUEAAAAAAAAAAAcBAFlCAAAAAAAAAAAIBABZQQAAAAAAAAAACQEAWUEAAAAAAAAAAAAAAAA</t>
        </r>
      </text>
    </comment>
    <comment ref="A1315" authorId="0" shapeId="0" xr:uid="{3E79AC6E-EE30-4D79-B8D0-30C591FCCA3B}">
      <text>
        <r>
          <rPr>
            <sz val="9"/>
            <color indexed="81"/>
            <rFont val="MS P ゴシック"/>
            <family val="3"/>
            <charset val="128"/>
          </rPr>
          <t>Insight iXlW00001C0001315R0585476093S00002628P00812LAocjBAQBF1NjaVRlZ2ljLmRhdGEuTW9sZWN1bGUBbwF/ARJTY2lUZWdpYy5Nb2xlY3VsZQAAAQFkAv5qAQAAAAIAAiwYAAAA/PwA/AACAAAAAAAA8L8CzTtO0ZFcAcAAAAAAABwAAAD8/AD8AAIAAAAAAADwvwKbd5yiI7nyvwAAAAAAGAAAAPz8APwAAgAAAAAAAPC/AjXvOEVHcuW/AoPAyqFFtuu/AAAAABgAAAD8/AD8AAIAAAAAAADwvwKXIY51cRvVPwKDwMqhRbbrvwAAAAAYAAAA/PwA/AACAAAAAAAA8L8CzBDHuriN6j8AAAAAABgAAAD8/AD8AAIAAAAAAADwvwIOT6+UZYj5PwI2zTtO0ZHkPwAAAAAcAAAA/PwA/AACAAAAAAAA8L8CDk+vlGWI+T8CNs07TtGR5L8AAAAAGAAAAPz8APwAAgAAAAAAAPC/ApchjnVxG9U/AoPAyqFFtus/AAAAABgAAAD8/AD8AAIAAAAAAADwvwI17zhFR3LlvwKDwMqhRbbrPwAAAAABEQAAAPz8APwAAgAAAAAAAPC/Au0NvjCZKgNAAt9xio7k8o+/AAAAAAERAAAA/PwA/AACAAAAAAAA8L8CCvmgZ7NqC0AC33GKjuTyjz8AAAAAJAAEAWUEAAAAAAAAAAAECAFlBAAAAAAAAAAACAwBZQQAAAAAAAAAAAwQAWUEAAAAAAAAAAAQFAFlBAAAAAAAAAAAEBgBZQQAAAAAAAAAABAcAWUEAAAAAAAAAAAcIAFlBAAAAAAAAAAAIAQBZQQAAAAAAAAAAAAAAAA=</t>
        </r>
      </text>
    </comment>
    <comment ref="A1316" authorId="0" shapeId="0" xr:uid="{39387B9A-7DB4-449E-8E07-8350C331C3E0}">
      <text>
        <r>
          <rPr>
            <sz val="9"/>
            <color indexed="81"/>
            <rFont val="MS P ゴシック"/>
            <family val="3"/>
            <charset val="128"/>
          </rPr>
          <t>Insight iXlW00001C0001316R0585476093S00002630P01216LAocjBAQBF1NjaVRlZ2ljLmRhdGEuTW9sZWN1bGUBbwF/ARJTY2lUZWdpYy5Nb2xlY3VsZQAAAQFkAv5qAQAAAAIAAgEQGAAAAPz8APwAAgAAAAAAAPC/Agg9m1Wfq80/AlkXt9EA3tK/AAAAABgAAAD8/AD8AAIAAAAAAADwvwIjSnuDL0zkvwKti9toAG/pvwAAAAAcAAAA/PwA/AACAAAAAAAA8L8CUwWjkjoB+L8CWRe30QDe0r8AAAAAGAAAAPz8APwAAgAAAAAAAPC/AssyxLEu7gLAAssyxLEubum/AAAAABgAAAD8/AD8AAIAAAAAAADwvwLr4jYawNsJwAKVZYhjXdzSvwAAAAAgAAAA/PwA/AACAAAAAAAA8L8C6+I2GsDbCcACVHQkl/+Q5j8AAAAAGAAAAPz8APwAAgAAAAAAAPC/AssyxLEu7gLAAio6kst/SPM/AAAAABgAAAD8/AD8AAIAAAAAAADwvwJTBaOSOgH4vwJUdCSX/5DmPwAAAAAgAAAA/PwA/AACAAAAAAAA8L8C48eYu5aQ8T8CrYvbaABv6b8AAAAAGAAAAPz8APwAAgAAAAAAAPC/AiQofoy5a/8/AlkXt9EA3tK/AAAAABgAAAD8/AD8AAIAAAAAAADwvwIHX5hMFYwAQAKjtDf4wmTmPwAAAAAYAAAA/PwA/AACAAAAAAAA8L8CrBxaZDtfCEAC7S+7Jw8L7T8AAAAAHAAAAPz8APwAAgAAAAAAAPC/AqwcWmQ7XwxAApX2Bl+YTKU/AAAAABgAAAD8/AD8AAIAAAAAAADwvwJNFYxK6gQHQAKmm8QgsHLmvwAAAAABEQAAAPz8APwAAgAAAAAAAPC/AolBYOXQYhFAAjEqqRPQRMg/AAAAAAERAAAA/PwA/AACAAAAAAAA8L8CGLfRAN6CFUACbXh6pSxDzD8AAAAAPAAEAWUEAAAAAAAAAAAECAFlBAAAAAAAAAAACAwBZQQAAAAAAAAAAAwQAWUEAAAAAAAAAAAQFAFlBAAAAAAAAAAAFBgBZQQAAAAAAAAAABgcAWUEAAAAAAAAAAAcCAFlBAAAAAAAAAAAACABZQQAAAAAAAAAACQgAWUEAAAAAAAAAAAkKAFlBAAAAAAAAAAAKCwBZQQAAAAAAAAAACwwAWUEAAAAAAAAAAAwNAFlBAAAAAAAAAAANCQBZQQAAAAAAAAAAAAAAAA=</t>
        </r>
      </text>
    </comment>
    <comment ref="A1317" authorId="0" shapeId="0" xr:uid="{95847EB8-7AA7-4DBD-A899-5C506A2D9513}">
      <text>
        <r>
          <rPr>
            <sz val="9"/>
            <color indexed="81"/>
            <rFont val="MS P ゴシック"/>
            <family val="3"/>
            <charset val="128"/>
          </rPr>
          <t>Insight iXlW00001C0001317R0585476093S00002632P00984LAocjBAQBF1NjaVRlZ2ljLmRhdGEuTW9sZWN1bGUBbwF/ARJTY2lUZWdpYy5Nb2xlY3VsZQAAAQFkAv5qAQAAAAIAAjQYAAAA/PwA/AACAAAAAAAA8L8C7Z48LNSaAMACj1N0JJf/9L8AAAAAHAAAAPz8APwAAgAAAAAAAPC/AvhT46WbRALAAk+vlGWIY9W/AAAAABgAAAD8/AD8AAIAAAAAAADwvwIAIv32deAJwAIg0m9fB86ZvwAAAAAYAAAA/PwA/AACAAAAAAAA8L8CaCJseHql+L8CrYvbaABv1T8AAAAAGAAAAPz8APwAAgAAAAAAAPC/ArMMcayL2+K/AveX3ZOHhZo/AAAAACAAAAD8/AD8AAIAAAAAAADwvwJz+Q/pt6/DPwIgY+5aQj7mPwAAAAAYAAAA/PwA/AACAAAAAAAA8L8CPZtVn6ut8T8CEhQ/xty12D8AAAAAGAAAAPz8APwAAgAAAAAAAPC/AskHPZtVn/4/ApoIG55eKe8/AAAAABgAAAD8/AD8AAIAAAAAAADwvwIqOpLLf8gFQAJOYhBYObTYPwAAAAAcAAAA/PwA/AACAAAAAAAA8L8C5IOezapPA0ACFa5H4XoU4r8AAAAAGAAAAPz8APwAAgAAAAAAAPC/AskHPZtVn/Y/AhWuR+F6FOK/AAAAAAERAAAA/PwA/AACAAAAAAAA8L8CkaD4MeYuDEACJuSDns2qx78AAAAAAREAAAD8/AD8AAIAAAAAAADwvwLWxW00gDcSQALqlbIMcazDvwAAAAAsAAQBZQQAAAAAAAAAAAQIAWUEAAAAAAAAAAAEDAFlBAAAAAAAAAAADBABZQQAAAAAAAAAABAUAWUEAAAAAAAAAAAYFAFlBAAAAAAAAAAAGBwBZQQAAAAAAAAAABwgAWUEAAAAAAAAAAAgJAFlBAAAAAAAAAAAJCgBZQQAAAAAAAAAACgYAWUEAAAAAAAAAAAAAAAA</t>
        </r>
      </text>
    </comment>
    <comment ref="A1318" authorId="0" shapeId="0" xr:uid="{E647E289-FCBA-48E4-9DD0-B8C32A4CFE51}">
      <text>
        <r>
          <rPr>
            <sz val="9"/>
            <color indexed="81"/>
            <rFont val="MS P ゴシック"/>
            <family val="3"/>
            <charset val="128"/>
          </rPr>
          <t>Insight iXlW00001C0001318R0585476093S00002634P01072LAocjBAQBF1NjaVRlZ2ljLmRhdGEuTW9sZWN1bGUBbwF/ARJTY2lUZWdpYy5Nb2xlY3VsZQAAAQFkAv5qAQAAAAIAAjgYAAAA/PwA/AACAAAAAAAA8L8CvsEXJlOFAEACl/+Qfvs6+T8AAAAAGAAAAPz8APwAAgAAAAAAAPC/Ar7BFyZThQBAAi//If32deI/AAAAABgAAAD8/AD8AAIAAAAAAADwvwIXSFD8GHMHQAJz+Q/pt6+zPwAAAAAYAAAA/PwA/AACAAAAAAAA8L8COiNKe4Mv8z8Cc/kP6bevsz8AAAAAGAAAAPz8APwAAgAAAAAAAPC/AjojSnuDL/M/AtIA3gIJiu2/AAAAABgAAAD8/AD8AAIAAAAAAADwvwLhC5OpglHVPwJpAG+BBMX2vwAAAAAcAAAA/PwA/AACAAAAAAAA8L8CkzoBTYQN4b8C0gDeAgmK7b8AAAAAGAAAAPz8APwAAgAAAAAAAPC/ApM6AU2EDeG/AnP5D+m3r7M/AAAAABgAAAD8/AD8AAIAAAAAAADwvwL8qfHSTWL2vwIv/yH99nXiPwAAAAAYAAAA/PwA/AACAAAAAAAA8L8CH4XrUbgeAsACc/kP6bevsz8AAAAAIAAAAPz8APwAAgAAAAAAAPC/Ah+F61G4HgLAAtIA3gIJiu2/AAAAACAAAAD8/AD8AAIAAAAAAADwvwJANV66SQwJwAIv/yH99nXiPwAAAAAYAAAA/PwA/AACAAAAAAAA8L8C4QuTqYJR1T8CL/8h/fZ14j8AAAAAAREAAAD8/AD8AAIAAAAAAADwvwJ+rrZif9kNQAJz+Q/pt6+zPwAAAAA0AAQBZQQAAAAAAAAAAAQIAWUEAAAAAAAAAAAEDAFlBAAAAAAAAAAADBABZQgMAAAAAAAAABAUAWUEAAAAAAAAAAAUGAFlCAgAAAAAAAAAGBwBZQQAAAAAAAAAABwgAWUEAAAAAAAAAAAgJAFlBAAAAAAAAAAAJCgBZQgAAAAAAAAAACQsAWUEAAAAAAAAAAAcMAFlCAgAAAAAAAAAMAwBZQQAAAAAAAAAAAAAAAA=</t>
        </r>
      </text>
    </comment>
    <comment ref="A1319" authorId="0" shapeId="0" xr:uid="{D06371D1-84F2-46DC-B39C-C870A3ADB798}">
      <text>
        <r>
          <rPr>
            <sz val="9"/>
            <color indexed="81"/>
            <rFont val="MS P ゴシック"/>
            <family val="3"/>
            <charset val="128"/>
          </rPr>
          <t>Insight iXlW00001C0001319R0585476093S00002636P00936LAocjBAQBF1NjaVRlZ2ljLmRhdGEuTW9sZWN1bGUBbwF/ARJTY2lUZWdpYy5Nb2xlY3VsZQAAAQFkAv5qAQAAAAIAAjQYAAAA/PwA/AACAAAAAAAA8L8CTMgHPZtV5b8CAAAAAAAA8L8AAAAAGAAAAPz8APwAAgAAAAAAAPC/AkzIBz2bVeW/AAAAAAAYAAAA/PwA/AACAAAAAAAA8L8CTMgHPZtV5b8BAAAAABgAAAD8/AD8AAIAAAAAAADwvwIm5IOezar6vwAAAAAAIAAAAPz8APwAAgAAAAAAAPC/AhPyQc9mVQHAAoPAyqFFtuu/AAAAACAAAAD8/AD8AAIAAAAAAADwvwIT8kHPZlUBwAKDwMqhRbbrPwAAAAAYAAAA/PwA/AACAAAAAAAA8L8Cam/whclU1T8AAAAAABgAAAD8/AD8AAIAAAAAAADwvwK1N/jCZKrqPwKDwMqhRbbrPwAAAAAYAAAA/PwA/AACAAAAAAAA8L8C2xt8YTJV/T8Cg8DKoUW26z8AAAAAGAAAAPz8APwAAgAAAAAAAPC/Au0NvjCZqgJAAAAAAAAYAAAA/PwA/AACAAAAAAAA8L8C2xt8YTJV/T8Cg8DKoUW2678AAAAAHAAAAPz8APwAAgAAAAAAAPC/ArU3+MJkquo/AoPAyqFFtuu/AAAAAAERAAAA/PwA/AACAAAAAAAA8L8CVHQkl/8QCUAAAAAAADAABAFlBAAAAAAAAAAABAgBZQQAAAAAAAAAAAQMAWUEAAAAAAAAAAAMEAFlCAAAAAAAAAAADBQBZQQAAAAAAAAAAAQYAWUEAAAAAAAAAAAYHAFlCAwAAAAAAAAAHCABZQQAAAAAAAAAACAkAWUICAAAAAAAAAAkKAFlBAAAAAAAAAAAKCwBZQgIAAAAAAAAACwYAWUEAAAAAAAAAAAAAAAA</t>
        </r>
      </text>
    </comment>
    <comment ref="A1320" authorId="0" shapeId="0" xr:uid="{49F862D4-69F1-49F7-ACB2-2AB95186CDAA}">
      <text>
        <r>
          <rPr>
            <sz val="9"/>
            <color indexed="81"/>
            <rFont val="MS P ゴシック"/>
            <family val="3"/>
            <charset val="128"/>
          </rPr>
          <t>Insight iXlW00001C0001320R0585476093S00002638P01088LAocjBAQBF1NjaVRlZ2ljLmRhdGEuTW9sZWN1bGUBbwF/ARJTY2lUZWdpYy5Nb2xlY3VsZQAAAQFkAv5qAQAAAAIAAjggAAAA/PwA/AACAAAAAAAA8L8CFR3J5T+kBEACFGHD0ytl+T8AAAAAGAAAAPz8APwAAgAAAAAAAPC/AunZrPpcbfs/AhNhw9MrZfE/AAAAACAAAAD8/AD8AAIAAAAAAADwvwJO845TdCTrPwIUYcPTK2X5PwAAAAAYAAAA/PwA/AACAAAAAAAA8L8C6dms+lxt+z8CNBE2PL1Stj8AAAAAGAAAAPz8APwAAgAAAAAAAPC/Amyad5yiI+s/ArN78rBQa9q/AAAAABgAAAD8/AD8AAIAAAAAAADwvwJsmnecoiPrPwLtnjws1Jr2vwAAAAAYAAAA/PwA/AACAAAAAAAA8L8C+MJkqmBUkr8C7Z48LNSa/r8AAAAAGAAAAPz8APwAAgAAAAAAAPC/ApvmHafoSOy/Au2ePCzUmva/AAAAABgAAAD8/AD8AAIAAAAAAADwvwKb5h2n6EjsvwKze/KwUGvavwAAAAAcAAAA/PwA/AACAAAAAAAA8L8C+MJkqmBUkr8CNBE2PL1Stj8AAAAAGAAAAPz8APwAAgAAAAAAAPC/Ao9TdCSX//u/AjQRNjy9UrY/AAAAABgAAAD8/AD8AAIAAAAAAADwvwLIKTqSy/8BwAKqglFJnYDuPwAAAAAYAAAA/PwA/AACAAAAAAAA8L8CyCk6ksv/BcACNBE2PL1Stj8AAAAAAREAAAD8/AD8AAIAAAAAAADwvwJ8gy9MpgoLQAJm9+RhodbEvwAAAAA4AAQBZQQAAAAAAAAAAAQIAWUIAAAAAAAAAAAEDAFlBAAAAAAAAAAADBABZQQAAAAAAAAAABAUAWUEAAAAAAAAAAAUGAFlCAgAAAAAAAAAGBwBZQQAAAAAAAAAABwgAWUICAAAAAAAAAAgJAFlBAAAAAAAAAAAJBABZQgMAAAAAAAAACAoAWUEAAAAAAAAAAAoLAFlBAAAAAAAAAAALDABZQQAAAAAAAAAADAoAWUEAAAAAAAAAAAAAAAA</t>
        </r>
      </text>
    </comment>
    <comment ref="A1321" authorId="0" shapeId="0" xr:uid="{08603A8F-42E9-4A2C-BA41-981D91D8D6EA}">
      <text>
        <r>
          <rPr>
            <sz val="9"/>
            <color indexed="81"/>
            <rFont val="MS P ゴシック"/>
            <family val="3"/>
            <charset val="128"/>
          </rPr>
          <t>Insight iXlW00001C0001321R0585476093S00002640P01072LAocjBAQBF1NjaVRlZ2ljLmRhdGEuTW9sZWN1bGUBbwF/ARJTY2lUZWdpYy5Nb2xlY3VsZQAAAQFkAv5qAQAAAAIAAjgYAAAA/PwA/AACAAAAAAAA8L8CqTXNO05RBcACk6mCUUmd2L8AAAAAHAAAAPz8APwAAgAAAAAAAPC/Ap5eKcsQx/y/ArRZ9bnair0/AAAAABgAAAD8/AD8AAIAAAAAAADwvwIQC7Wmecf8vwKbVZ+rrdjxPwAAAAAYAAAA/PwA/AACAAAAAAAA8L8CuvyH9NvX7b8Ck6mCUUmd2L8AAAAAGAAAAPz8APwAAgAAAAAAAPC/Arr8h/Tb1+2/AmWqYFRSJ/a/AAAAABgAAAD8/AD8AAIAAAAAAADwvwKx4emVsgyxvwJlqmBUUif+vwAAAAAYAAAA/PwA/AACAAAAAAAA8L8CTYQNT6+U6T8CZapgVFIn9r8AAAAAGAAAAPz8APwAAgAAAAAAAPC/Ak2EDU+vlOk/ApOpglFJndi/AAAAABgAAAD8/AD8AAIAAAAAAADwvwJoImx4eqX6PwK0WfW52oq9PwAAAAAYAAAA/PwA/AACAAAAAAAA8L8CaCJseHql+j8Cm1Wfq63Y8T8AAAAAIAAAAPz8APwAAgAAAAAAAPC/Ak2EDU+vlOk/ApxVn6ut2Pk/AAAAACAA/AD8/AD8AAIAAAAAAADwvwJVwaikTkAEQAKcVZ+rrdj5PwAAAAAcAAAA/PwA/AACAAAAAAAA8L8CseHplbIMsb8CtFn1udqKvT8AAAAALAAEAPz8APwAAgAAAAAAAPC/ArwnDwu1pgpAAiZTBaOSOsG/AAAAADQABAFlBAAAAAAAAAAABAgBZQQAAAAAAAAAAAQMAWUEAAAAAAAAAAAMEAFlCAwAAAAAAAAAEBQBZQQAAAAAAAAAABQYAWUICAAAAAAAAAAYHAFlBAAAAAAAAAAAHCABZQQAAAAAAAAAACAkAWUEAAAAAAAAAAAkKAFlCAAAAAAAAAAAJCwBZQQAAAAAAAAAABwwAWUICAAAAAAAAAAwDAFlBAAAAAAAAAAAAAAAAA==</t>
        </r>
      </text>
    </comment>
    <comment ref="A1322" authorId="0" shapeId="0" xr:uid="{B68B0E1C-D3B6-4BB6-8451-CB9E3BDD2783}">
      <text>
        <r>
          <rPr>
            <sz val="9"/>
            <color indexed="81"/>
            <rFont val="MS P ゴシック"/>
            <family val="3"/>
            <charset val="128"/>
          </rPr>
          <t>Insight iXlW00001C0001322R0585476093S00002642P01324LAocjBAQBF1NjaVRlZ2ljLmRhdGEuTW9sZWN1bGUBbwF/ARJTY2lUZWdpYy5Nb2xlY3VsZQAAAQFkAv5qAQAAAAIAAgERGAAAAPz8APwAAgAAAAAAAPC/ArtJDAIrh/w/AiZ1ApoIG56/AAAAABgAAAD8/AD8AAIAAAAAAADwvwLy0k1iEFjtPwKpE9BE2PDgvwAAAAAYAAAA/PwA/AACAAAAAAAA8L8Cu0kMAiuH/D8CV+wvuycP7z8AAAAAHAAAAPz8APwAAgAAAAAAAPC/Av7UeOkmMQVAAqkT0ETY8OC/AAAAABwAAAD8/AD8AAIAAAAAAADwvwLy0k1iEFjtPwLVCWgibHj4vwAAAAAgAAAA/PwA/AACAAAAAAAA8L8CyJi7lpAPqj8CJnUCmggbnr8AAAAAIAAAAPz8APwAAgAAAAAAAPC/AvLSTWIQWO0/Aiz2l92Th/c/AAAAACAAAAD8/AD8AAIAAAAAAADwvwJZqDXNO04LwAJX7C+7Jw/vPwAAAAAgAAAA/PwA/AACAAAAAAAA8L8C/tR46SYxBUACLPaX3ZOH9z8AAAAAGAAAAPz8APwAAgAAAAAAAPC/AvcGX5hMFeq/AqkT0ETY8OC/AAAAABgAAAD8/AD8AAIAAAAAAADwvwK94xQdyeX6vwImdQKaCBuevwAAAAAYAAAA/PwA/AACAAAAAAAA8L8C/tR46SYxBUAC1QloImx4+L8AAAAAGAAAAPz8APwAAgAAAAAAAPC/ArtJDAIrh/w/AusENBE2PADAAAAAABgAAAD8/AD8AAIAAAAAAADwvwIg0m9fB04LwAImdQKaCBuevwAAAAAYAAAA/PwA/AACAAAAAAAA8L8C/yH99nVgBMACLPaX3ZOH9z8AAAAAGAAAAPz8APwAAgAAAAAAAPC/Av8h/fZ1YATAAqkT0ETY8OC/AAAAABgAAAD8/AD8AAIAAAAAAADwvwK94xQdyeX6vwJX7C+7Jw/vPwAAAAABEgQAAWUIDAAAAAAAAAAIAAFlBAAAAAAAAAAADAABZQQAAAAAAAAAABAEAWUEAAAAAAAAAAAUBAFlBAAAAAAAAAAAGAgBZQgAAAAAAAAAABw4AWUEAAAAAAAAAAAgCAFlBAAAAAAAAAAAJBQBZQQAAAAAAAAAACgkAWUEAAAAAAAAAAAsDAFlCAgAAAAAAAAAMCwBZQQAAAAAAAAAADQ8AWUEAAAAAAAAAAA4ARABZQQAAAAAAAAAADwoAWUEAAAAAAAAAAABECgBZQQAAAAAAAAAABAwAWUICAAAAAAAAAAcNAFlBAAAAAAAAAAAAAAAAA==</t>
        </r>
      </text>
    </comment>
    <comment ref="A1323" authorId="0" shapeId="0" xr:uid="{0B53B3BE-7E93-400E-A4F4-0F7FFCB0E6FA}">
      <text>
        <r>
          <rPr>
            <sz val="9"/>
            <color indexed="81"/>
            <rFont val="MS P ゴシック"/>
            <family val="3"/>
            <charset val="128"/>
          </rPr>
          <t>Insight iXlW00001C0001323R0585476093S00002644P01252LAocjBAQBF1NjaVRlZ2ljLmRhdGEuTW9sZWN1bGUBbwF/ARJTY2lUZWdpYy5Nb2xlY3VsZQAAAQFkAv5qAQAAAAIAAgEQGAAAAPz8APwAAgAAAAAAAPC/AhFYObTI9gXAAtEi2/l+avm/AAAAABgAAAD8/AD8AAIAAAAAAADwvwLgT42XbhL+vwLRItv5fmrxvwAAAAAYAAAA/PwA/AACAAAAAAAA8L8Cnu+nxks38L8C0SLb+X5q+b8AAAAAGAAAAPz8APwAAgAAAAAAAPC/AuJ6FK5H4cK/AtEi2/l+avG/AAAAABgAAAD8/AD8AAIAAAAAAADwvwLiehSuR+HCvwIPLbKd76e2vwAAAAAYAAAA/PwA/AACAAAAAAAA8L8Cnu+nxks38L8CvXSTGARW2j8AAAAAIAAAAPz8APwAAgAAAAAAAPC/AhALtaZ5x+m/AgisHFpkO/Y/AAAAABgAAAD8/AD8AAIAAAAAAADwvwJ2cRsN4C3IPwLyQc9m1ef3PwAAAAAYAAAA/PwA/AACAAAAAAAA8L8COUVHcvkP4z8C3NeBc0aU4j8AAAAAGAAAAPz8APwAAgAAAAAAAPC/Alyxv+yePPQ/AnZxGw3gLfU/AAAAABgAAAD8/AD8AAIAAAAAAADwvwJTliGOdfEBQAJgB84ZUdrxPwAAAAAcAAAA/PwA/AACAAAAAAAA8L8C0SLb+X5qBEACDr4wmSoYxT8AAAAAGAAAAPz8APwAAgAAAAAAAPC/AuM2GsBbIP4/AozbaABvgeK/AAAAABgAAAD8/AD8AAIAAAAAAADwvwJQHhZqTfPsPwK/DpwzorTXvwAAAAAYAAAA/PwA/AACAAAAAAAA8L8C4E+Nl24S/r8CDy2yne+ntr8AAAAAAREAAAD8/AD8AAIAAAAAAADwvwI4iUFg5dAKQALtDb4wmSqovwAAAAABEQAEAWUEAAAAAAAAAAAECAFlCAwAAAAAAAAACAwBZQQAAAAAAAAAAAwQAWUICAAAAAAAAAAQFAFlBAAAAAAAAAAAFBgBZQQAAAAAAAAAABgcAWUEAAAAAAAAAAAcIAFlBAAAAAAAAAAAIBABZQQAAAAAAAAAACAkAWUEAAAAAAAAAAAkKAFlBAAAAAAAAAAAKCwBZQQAAAAAAAAAACwwAWUEAAAAAAAAAAAwNAFlBAAAAAAAAAAANCABZQQAAAAAAAAAABQ4AWUICAAAAAAAAAA4BAFlBAAAAAAAAAAAAAAAAA==</t>
        </r>
      </text>
    </comment>
    <comment ref="A1324" authorId="0" shapeId="0" xr:uid="{B22860FA-BEFF-432C-9F37-E68910A22B34}">
      <text>
        <r>
          <rPr>
            <sz val="9"/>
            <color indexed="81"/>
            <rFont val="MS P ゴシック"/>
            <family val="3"/>
            <charset val="128"/>
          </rPr>
          <t>Insight iXlW00001C0001324R0585476093S00002646P01432LAocjBAQBF1NjaVRlZ2ljLmRhdGEuTW9sZWN1bGUBbwF/ARJTY2lUZWdpYy5Nb2xlY3VsZQAAAQFkAv5qAQAAAAIAAgETHAAAAPz8APwAAgAAAAAAAPC/AhKlvcEXJss/AmaIY13cRvg/AAAAABgAAAD8/AD8AAIAAAAAAADwvwLG/rJ78rDYPwIK16NwPQrhPwAAAAAYAAAA/PwA/AACAAAAAAAA8L8Cn82qz9VW2L8CXLG/7J48vL8AAAAAGAAAAPz8APwAAgAAAAAAAPC/AgJNhA1Pr9g/AmHD0ytlGei/AAAAABgAAAD8/AD8AAIAAAAAAADwvwL45GGh1jT1PwKsrdhfdk/avwAAAAAYAAAA/PwA/AACAAAAAAAA8L8CB/AWSFD89z8C6+I2GsBb4j8AAAAAGAAAAPz8APwAAgAAAAAAAPC/At/gC5OpggNAAlmoNc07Tu0/AAAAABgAAAD8/AD8AAIAAAAAAADwvwIzxLEubqMJQAJGtvP91HjRPwAAAAAYAAAA/PwA/AACAAAAAAAA8L8CrD5XW7E/CEACnl4pyxDH5r8AAAAAHAAAAPz8APwAAgAAAAAAAPC/AgisHFpkuwBAApVliGNd3PC/AAAAABgAAAD8/AD8AAIAAAAAAADwvwLQZtXnaivsvwKvtmJ/2T3vvwAAAAAYAAAA/PwA/AACAAAAAAAA8L8CaLPqc7UV/r8Cr7Zif9k9778AAAAAGAAAAPz8APwAAgAAAAAAAPC/ArRZ9bnaCgPAAlyxv+yePLy/AAAAACQAAAD8/AD8AAIAAAAAAADwvwIIPZtVnysJwAJhw9MrZRnovwAAAAAkAAAA/PwA/AACAAAAAAAA8L8CCD2bVZ8rCcACCtejcD0K4T8AAAAAGAAAAPz8APwAAgAAAAAAAPC/Amiz6nO1Ff6/AljKMsSxLug/AAAAABgAAAD8/AD8AAIAAAAAAADwvwLQZtXnaivsvwJYyjLEsS7oPwAAAAABEQAAAPz8APwAAgAAAAAAAPC/Ak0VjErqBBBAAmIyVTAqqcs/AAAAAAERAAAA/PwA/AACAAAAAAAA8L8C24r9ZfckFEACnoAmwoanzz8AAAAAARIABAFlBAAAAAAAAAAABAgBZQQAAAAAAAAAAAgMAWUEAAAAAAAAAAAMEAFlBAAAAAAAAAAAEBQBZQgMAAAAAAAAABQYAWUEAAAAAAAAAAAYHAFlCAgAAAAAAAAAHCABZQQAAAAAAAAAACAkAWUICAAAAAAAAAAkEAFlBAAAAAAAAAAACCgBZQQAAAAAAAAAACgsAWUEAAAAAAAAAAAsMAFlBAAAAAAAAAAAMDQBZQQAAAAAAAAAADA4AWUEAAAAAAAAAAAwPAFlBAAAAAAAAAAAPAEQAWUEAAAAAAAAAAABEAgBZQQAAAAAAAAAAAAAAAA=</t>
        </r>
      </text>
    </comment>
    <comment ref="A1325" authorId="0" shapeId="0" xr:uid="{71652BEB-D832-4C73-9697-7B1405268F52}">
      <text>
        <r>
          <rPr>
            <sz val="9"/>
            <color indexed="81"/>
            <rFont val="MS P ゴシック"/>
            <family val="3"/>
            <charset val="128"/>
          </rPr>
          <t>Insight iXlW00001C0001325R0585476093S00002648P01176LAocjBAQBF1NjaVRlZ2ljLmRhdGEuTW9sZWN1bGUBbwF/ARJTY2lUZWdpYy5Nb2xlY3VsZQAAAQFkAv5qAQAAAAIAAjwYAAAA/PwA/AACAAAAAAAA8L8CIbByaJHt4D8CdnEbDeAtkD8AAAAAGAAAAPz8APwAAgAAAAAAAPC/AvoP6bevA9u/AkVpb/CFydQ/AAAAABgAAAD8/AD8AAIAAAAAAADwvwLKw0Ktad7xPwKjtDf4wmTqPwAAAAAcAAAA/PwA/AACAAAAAAAA8L8CIbByaJHt4D8C3UYDeAsk+j8AAAAAGAAAAPz8APwAAgAAAAAAAPC/AjiJQWDl0Oo/ApJc/kP67e2/AAAAABgAAAD8/AD8AAIAAAAAAADwvwL6D+m3rwPbvwJR2ht8YTL1PwAAAAAYAAAA/PwA/AACAAAAAAAA8L8C5j+k374O/T8CX5hMFYxK8r8AAAAAGAAAAPz8APwAAgAAAAAAAPC/AkCk374OnPS/AnctIR/0bMa/AAAAACAAAAD8/AD8AAIAAAAAAADwvwJTJ6CJsOEDQAKamZmZmZnZvwAAAAAgAAAA/PwA/AACAAAAAAAA8L8COdbFbTQAAUAC/0P67evAAMAAAAAAIAAAAPz8APwAAgAAAAAAAPC/AkCk374OnPS/Aq8l5IOezfK/AAAAABgAAAD8/AD8AAIAAAAAAADwvwJBguLHmDsBwAJR2ht8YTL1PwAAAAAYAAAA/PwA/AACAAAAAAAA8L8CQKTfvg6c9L8CUdobfGEy/T8AAAAAGAAAAPz8APwAAgAAAAAAAPC/AkGC4seYOwHAAkVpb/CFydQ/AAAAABgAAAD8/AD8AAIAAAAAAADwvwL6D+m3rwPbvwKvJeSDns36vwAAAAABEAQAAWUEAAAAAAAAAAAIAAFlCAgAAAAAAAAADAgBZQQAAAAAAAAAABAAAWUEAAAAAAAAAAAUBAFlCAwAAAAAAAAAGBABZQQAAAAAAAAAABwEAWUEAAAAAAAAAAAgGAFlCAAAAAAAAAAAJBgBZQQAAAAAAAAAACgcAWUEAAAAAAAAAAAsMAFlCAgAAAAAAAAAMBQBZQQAAAAAAAAAADQcAWUICAAAAAAAAAA4KAFlBAAAAAAAAAAADBQBZQQAAAAAAAAAACw0AWUEAAAAAAAAAAAAAAAA</t>
        </r>
      </text>
    </comment>
    <comment ref="A1326" authorId="0" shapeId="0" xr:uid="{B9182A90-1EC1-4AEC-B322-2A789E096CC6}">
      <text>
        <r>
          <rPr>
            <sz val="9"/>
            <color indexed="81"/>
            <rFont val="MS P ゴシック"/>
            <family val="3"/>
            <charset val="128"/>
          </rPr>
          <t>Insight iXlW00001C0001326R0585476093S00002650P01396LAocjBAQBF1NjaVRlZ2ljLmRhdGEuTW9sZWN1bGUBbwF/ARJTY2lUZWdpYy5Nb2xlY3VsZQAAAQFkAv5qAQAAAAIAAgESGAAAAPz8APwAAgAAAAAAAPC/AnBfB84ZUeA/AgjOGVHaG9A/AAAAABgAAAD8/AD8AAIAAAAAAADwvwKHONbFbTTqPwIaUdobfGHmvwAAAAAYAAAA/PwA/AACAAAAAAAA8L8CXLG/7J483L8CGsBbIEHx4T8AAAAAGAAAAPz8APwAAgAAAAAAAPC/Ao6XbhKDwPw/AkYldQKaCO2/AAAAABgAAAD8/AD8AAIAAAAAAADwvwJyGw3gLZDxPwIN4C2QoPjwPwAAAAAcAAAA/PwA/AACAAAAAAAA8L8CcF8HzhlR4D8CmUwVjErq/T8AAAAAGAAAAPz8APwAAgAAAAAAAPC/AiNseHqlLMM/AhWuR+F6FPe/AAAAABgAAAD8/AD8AAIAAAAAAADwvwJcsb/snjzcvwIN4C2QoPj4PwAAAAAYAAAA/PwA/AACAAAAAAAA8L8CmUwVjErq9L8CpAG8BRIUrz8AAAAAIAAAAPz8APwAAgAAAAAAAPC/Aj/o2az6XN0/AhKlvcEXJgPAAAAAACQAAAD8/AD8AAIAAAAAAADwvwLSAN4CCQoAQAKDUUmdgCayPwAAAAAkAAAA/PwA/AACAAAAAAAA8L8Cpd++DpwzBkACufyH9NvX8b8AAAAAJAAAAPz8APwAAgAAAAAAAPC/AngtIR/0bPk/Au4NvjCZKv6/AAAAABgAAAD8/AD8AAIAAAAAAADwvwKZTBWMSur0vwIH8BZIUHwAQAAAAAAgAAAA/PwA/AACAAAAAAAA8L8CbjSAt0CC6r8C/0P67evA878AAAAAGAAAAPz8APwAAgAAAAAAAPC/Am1Wfa62YgHAAhrAWyBB8eE/AAAAABgAAAD8/AD8AAIAAAAAAADwvwJtVn2utmIBwAIN4C2QoPj4PwAAAAAYAAAA/PwA/AACAAAAAAAA8L8Cx9y1hHxQCMACpAG8BRIUrz8AAAAAARMEAAFlBAAAAAAAAAAACAABZQQAAAAAAAAAAAwEAWUEAAAAAAAAAAAQAAFlCAwAAAAAAAAAFBABZQQAAAAAAAAAABgEAWUEAAAAAAAAAAAcCAFlBAAAAAAAAAAAIAgBZQgMAAAAAAAAACQYAWUIAAAAAAAAAAAoDAFlBAAAAAAAAAAALAwBZQQAAAAAAAAAADAMAWUEAAAAAAAAAAA0HAFlCAgAAAAAAAAAOBgBZQQAAAAAAAAAADwgAWUEAAAAAAAAAAABEDQBZQQAAAAAAAAAAAERPAFlBAAAAAAAAAAAFBwBZQQAAAAAAAAAAAEQPAFlCAgAAAAAAAAAAAAAAA==</t>
        </r>
      </text>
    </comment>
    <comment ref="A1327" authorId="0" shapeId="0" xr:uid="{A011EF66-D12D-481C-AFB2-6F0D57D8DAEE}">
      <text>
        <r>
          <rPr>
            <sz val="9"/>
            <color indexed="81"/>
            <rFont val="MS P ゴシック"/>
            <family val="3"/>
            <charset val="128"/>
          </rPr>
          <t>Insight iXlW00001C0001327R0585476093S00002652P01468LAocjBAQBF1NjaVRlZ2ljLmRhdGEuTW9sZWN1bGUBbwF/ARJTY2lUZWdpYy5Nb2xlY3VsZQAAAQFkAv5qAQAAAAIAAgETGAAAAPz8APwAAgAAAAAAAPC/Aq2L22gAb+U/AqLWNO84RdM/AAAAABgAAAD8/AD8AAIAAAAAAADwvwLDZKpgVFLvPwLrc7UV+8vkvwAAAAAYAAAA/PwA/AACAAAAAAAA8L8C4lgXt9EA0r8CZ0Rpb/CF4z8AAAAAGAAAAPz8APwAAgAAAAAAAPC/Ah1aZDvfT/8/AhdIUPwYc+u/AAAAABgAAAD8/AD8AAIAAAAAAADwvwKQMXctIR/0PwI0orQ3+MLxPwAAAAAcAAAA/PwA/AACAAAAAAAA8L8CrYvbaABv5T8Cvw6cM6K0/j8AAAAAGAAAAPz8APwAAgAAAAAAAPC/AouO5PIf0tM/Au7rwDkjSva/AAAAABgAAAD8/AD8AAIAAAAAAADwvwLiWBe30QDSvwI0orQ3+ML5PwAAAAAYAAAA/PwA/AACAAAAAAAA8L8CejarPldb8r8COiNKe4MvvD8AAAAAIAAAAPz8APwAAgAAAAAAAPC/AlwgQfFjzOM/AsZtNIC3wALAAAAAACQAAAD8/AD8AAIAAAAAAADwvwIa4lgXt1EBQALrc7UV+8u+PwAAAAAkAAAA/PwA/AACAAAAAAAA8L8CtOpztRV7B0ACIo51cRsN8b8AAAAAJAAAAPz8APwAAgAAAAAAAPC/AgfwFkhQ/Ps/AsdLN4lBYP2/AAAAABgAAAD8/AD8AAIAAAAAAADwvwJ6Nqs+V1vyvwIaUdobfOEAQAAAAAAYAAAA/PwA/AACAAAAAAAA8L8CXkvIBz0bAMACZ0Rpb/CF4z8AAAAAIAAAAPz8APwAAgAAAAAAAPC/Ak+vlGWIY+W/AtiBc0aU9vK/AAAAABgAAAD8/AD8AAIAAAAAAADwvwJeS8gHPRsAwAI0orQ3+ML5PwAAAAAgAAAA/PwA/AACAAAAAAAA8L8Cf/s6cM4IB8ACOiNKe4MvvD8AAAAAGAAAAPz8APwAAgAAAAAAAPC/An/7OnDOCAfAApm7lpAPeuy/AAAAAAEUBAABZQQAAAAAAAAAAAgAAWUEAAAAAAAAAAAMBAFlBAAAAAAAAAAAEAABZQgMAAAAAAAAABQQAWUEAAAAAAAAAAAYBAFlBAAAAAAAAAAAHAgBZQQAAAAAAAAAACAIAWUIDAAAAAAAAAAkGAFlCAAAAAAAAAAAKAwBZQQAAAAAAAAAACwMAWUEAAAAAAAAAAAwDAFlBAAAAAAAAAAANBwBZQgIAAAAAAAAADggAWUEAAAAAAAAAAA8GAFlBAAAAAAAAAAAARA0AWUEAAAAAAAAAAABETgBZQQAAAAAAAAAAAESAREBZQQAAAAAAAAAABQcAWUEAAAAAAAAAAABEDgBZQgIAAAAAAAAAAAAAAA=</t>
        </r>
      </text>
    </comment>
    <comment ref="A1328" authorId="0" shapeId="0" xr:uid="{5C1C7D7E-3812-415B-BC9F-F088551EDF14}">
      <text>
        <r>
          <rPr>
            <sz val="9"/>
            <color indexed="81"/>
            <rFont val="MS P ゴシック"/>
            <family val="3"/>
            <charset val="128"/>
          </rPr>
          <t>Insight iXlW00001C0001328R0585476093S00002654P00844LAocjBAQBF1NjaVRlZ2ljLmRhdGEuTW9sZWN1bGUBbwF/ARJTY2lUZWdpYy5Nb2xlY3VsZQAAAQFkAv5qAQAAAAIBAiwYAAAA/PwA/AACAAAAAAAA8L8C0gDeAgmK9z8CyXa+nxov9D8AAAAAGAAAAPz8APwAAgAAAAAAAPC/AkvqBDQRNvQ/Avvt68A5I9I/AAAAABgAAAD8/AD8AAIAAAAAAADwvwIijnVxGw0AQALG/rJ78rDYvwAAAAAcAAAA/PwA/AACAAAAAAAA8L8CtOpztRX70z8CcF8HzhlRmr8AAAAAGAAAAPz8APwAAgAAAAAAAPC/Ai1DHOviNmo/AjcawFsgQe+/AAAAABgAAAD8/AD8AAIAAAAAAADwvwK94xQdyeXvvwI3GsBbIEHvvwAAAAAYDAAA/PwA/AACAAAAAAAA8L8Cat5xio7k9L8CLUMc6+I2mr8AAAAAHAAAAPz8APwAAgAAAAAAAPC/Ajy9UpYhDgLAAvvt68A5I9I/AAAAABgAAAD8/AD8AAIAAAAAAADwvwK2FfvL7snfvwJ4nKIjufzhPwAAAAABEQAAAPz8APwAAgAAAAAAAPC/Aoj029eBcwZAApf/kH77OsA/AAAAAAERAAAA/PwA/AACAAAAAAAA8L8Cpd++DpyzDkAC001iEFg5xD8AAAAAJAAEAWUEAAAAAAAAAAAECAFlBAAAAAAAAAAABAwBZQQAAAAAAAAAAAwQAWUEAAAAAAAAAAAQFAFlBAAAAAAAAAAAFBgBZQQAAAAAAAAAABgcAWUEFAAAAAAAAAAYIAFlBAAAAAAAAAAAIAwBZQQAAAAAAAAAAAAAAAA=</t>
        </r>
      </text>
    </comment>
    <comment ref="A1329" authorId="0" shapeId="0" xr:uid="{BC75DD99-C718-4A70-8310-51BFE647C826}">
      <text>
        <r>
          <rPr>
            <sz val="9"/>
            <color indexed="81"/>
            <rFont val="MS P ゴシック"/>
            <family val="3"/>
            <charset val="128"/>
          </rPr>
          <t>Insight iXlW00001C0001329R0585476093S00002656P00876LAocjBAQBF1NjaVRlZ2ljLmRhdGEuTW9sZWN1bGUBbwF/ARJTY2lUZWdpYy5Nb2xlY3VsZQAAAQFkAv5qAQAAAAIAAiwYAAAA/PwA/AACAAAAAAAA8L8CnoAmwoan4T8CUdobfGEy0b8AAAAAHAAAAPz8APwAAgAAAAAAAPC/AhueXinLEM8/AhPyQc9m1eU/AAAAABwAAAD8/AD8AAIAAAAAAADwvwLarPpcbcX9PwIT8kHPZtXlPwAAAAAYAAAA/PwA/AACAAAAAAAA8L8CXW3F/rJ7or8CIGPuWkI+8b8AAAAAGAAAAPz8APwAAgAAAAAAAPC/Ak9AE2HD0/g/AlHaG3xhMtG/AAAAABgAAAD8/AD8AAIAAAAAAADwvwJPQBNhw9PwPwLDZKpgVFL0PwAAAAAgAAAA/PwA/AACAAAAAAAA8L8CSHL5D+m31z8ClWWIY13c/78AAAAAIAAAAPz8APwAAgAAAAAAAPC/ApLLf0i/ffC/Amyad5yiI++/AAAAABgAAAD8/AD8AAIAAAAAAADwvwK1N/jCZKrmvwIqyxDHurjvPwAAAAAkAAAA/PwA/AACAAAAAAAA8L8CuR6F61E4A8ACwoanV8oy5D8AAAAAGAAAAPz8APwAAgAAAAAAAPC/AtNNYhBYOfe/Alhbsb/sntQ/AAAAACwEAAFlBAAAAAAAAAAACBABZQQAAAAAAAAAAAwAAWUEAAAAAAAAAAAQAAFlCAgAAAAAAAAAFAQBZQQAAAAAAAAAABgMAWUIAAAAAAAAAAAcDAFlBAAAAAAAAAAAIAQBZQQAAAAAAAAAACQoAWUEAAAAAAAAAAAoIAFlBAAAAAAAAAAACBQBZQgIAAAAAAAAAAAAAAA=</t>
        </r>
      </text>
    </comment>
    <comment ref="A1330" authorId="0" shapeId="0" xr:uid="{C97C3275-C399-4DA7-8086-A19E7BC66079}">
      <text>
        <r>
          <rPr>
            <sz val="9"/>
            <color indexed="81"/>
            <rFont val="MS P ゴシック"/>
            <family val="3"/>
            <charset val="128"/>
          </rPr>
          <t>Insight iXlW00001C0001330R0585476093S00002658P00844LAocjBAQBF1NjaVRlZ2ljLmRhdGEuTW9sZWN1bGUBbwF/ARJTY2lUZWdpYy5Nb2xlY3VsZQAAAQFkAv5qAQAAAAIAAiwcAAAA/PwA/AACAAAAAAAA8L8CKA8LtaZ5AsAC4umVsgxxzD8AAAAAGAAAAPz8APwAAgAAAAAAAPC/Ag6+MJkqGPe/Anl6pSxDHOc/AAAAABgAAAD8/AD8AAIAAAAAAADwvwK3Yn/ZPXnivwLi6ZWyDHHMPwAAAAAYAAAA/PwA/AACAAAAAAAA8L8Ct2J/2T154r8CiIVa07zj6L8AAAAAGAAAAPz8APwAAgAAAAAAAPC/Apm7lpAPetI/AsRCrWnecfS/AAAAABgAAAD8/AD8AAIAAAAAAADwvwIoDwu1pnnyPwKIhVrTvOPovwAAAAAYAAAA/PwA/AACAAAAAAAA8L8CKA8LtaZ58j8C4umVsgxxzD8AAAAAJAAAAPz8APwAAgAAAAAAAPC/ArU3+MJkKgBAAnl6pSxDHOc/AAAAABwAAAD8/AD8AAIAAAAAAADwvwKZu5aQD3rSPwJ5eqUsQxznPwAAAAABEQAAAPz8APwAAgAAAAAAAPC/AhueXinLkAZAAp5eKcsQx9K/AAAAAAERAAAA/PwA/AACAAAAAAAA8L8COIlBYOXQDkACgLdAguLH0L8AAAAAJAAEAWUEAAAAAAAAAAAECAFlBAAAAAAAAAAACAwBZQgMAAAAAAAAAAwQAWUEAAAAAAAAAAAQFAFlCAgAAAAAAAAAFBgBZQQAAAAAAAAAABgcAWUEAAAAAAAAAAAYIAFlCAgAAAAAAAAAIAgBZQQAAAAAAAAAAAAAAAA=</t>
        </r>
      </text>
    </comment>
    <comment ref="A1331" authorId="0" shapeId="0" xr:uid="{862B65A7-C4AE-4D43-9281-20FF671FC44C}">
      <text>
        <r>
          <rPr>
            <sz val="9"/>
            <color indexed="81"/>
            <rFont val="MS P ゴシック"/>
            <family val="3"/>
            <charset val="128"/>
          </rPr>
          <t>Insight iXlW00001C0001331R0585476093S00002660P01704LAocjBAQBF1NjaVRlZ2ljLmRhdGEuTW9sZWN1bGUBbwF/ARJTY2lUZWdpYy5Nb2xlY3VsZQAAAQFkAv5qAQAAAAIAAgEWGAAAAPz8APwAAgAAAAAAAPC/AkETYcPTqwDAAqMjufyH9Ls/AAAAABwAAAD8/AD8AAIAAAAAAADwvwLBOSNKewMCQAJbQj7o2az4PwAAAAAcAAAA/PwA/AACAAAAAAAA8L8CN6s+V1ux8b8CBqOSOgFN1D8AAAAAGAAAAPz8APwAAgAAAAAAAPC/AszuycNCrQNAAkA1XrpJDOI/AAAAABgAAAD8/AD8AAIAAAAAAADwvwJXfa62Yn/5PwL8qfHSTWKwPwAAAAAYAAAA/PwA/AACAAAAAAAA8L8Cnu+nxks36z8CvlKWIY515z8AAAAAIAAAAPz8APwAAgAAAAAAAPC/AobJVMGoJAPAAqoT0ETY8Oq/AAAAABgAAAD8/AD8AAIAAAAAAADwvwJb07zjFB30PwJjf9k9eVj6PwAAAAAgAAAA/PwA/AACAAAAAAAA8L8C2fD0SlkGBsAChC9MpgpG6z8AAAAAGAAAAPz8APwAAgAAAAAAAPC/AhvAWyBB8du/Ahlz1xLyQdu/AAAAABgAAAD8/AD8AAIAAAAAAADwvwJXfa62Yn/pvwJfmEwVjEr0PwAAAAAYAAAA/PwA/AACAAAAAAAA8L8C7Z48LNSaCkAC/Knx0k1isD8AAAAAGAAAAPz8APwAAgAAAAAAAPC/AvjkYaHWNMc/AueuJeSDnvc/AAAAABgAAAD8/AD8AAIAAAAAAADwvwKHFtnO91PhPwL5MeauJeTLvwAAAAAYAAAA/PwA/AACAAAAAAAA8L8CK4cW2c73CsAC63O1FfvL8L8AAAAAJAAAAPz8APwAAgAAAAAAAPC/AoenV8oyxBBAAkA1XrpJDOI/AAAAABgAAAD8/AD8AAIAAAAAAADwvwJXfa62Yn/5PwLByqFFtvPtvwAAAAAYAAAA/PwA/AACAAAAAAAA8L8CzO7Jw0KtA0ACYeXQItv59r8AAAAAGAAAAPz8APwAAgAAAAAAAPC/Au2ePCzUmgpAAsHKoUW28+2/AAAAABgAAAD8/AD8AAIAAAAAAADwvwIg0m9fB04JwALTTWIQWDkAwAAAAAAYAAAA/PwA/AACAAAAAAAA8L8ChQ1Pr5RlEcACcoqO5PIf9L8AAAAAGAAAAPz8APwAAgAAAAAAAPC/Am8Sg8DKoQzAAgmKH2PuWrK/AAAAAAEYBBwBZQQAAAAAAAAAAAgAAWUEAAAAAAAAAAAMEAFlCAwAAAAAAAAAEBQBZQQAAAAAAAAAABQ0AWUEAAAAAAAAAAAYAAFlBAAAAAAAAAAAHBQBZQQAAAAAAAAAACAAAWUIAAAAAAAAAAAkCAFlBAAAAAAAAAAAKAgBZQQAAAAAAAAAACwMAWUEAAAAAAAAAAAwKAFlBAAAAAAAAAAANCQBZQQAAAAAAAAAADgYAWUEAAAAAAAAAAA8LAFlBAAAAAAAAAAAARAQAWUEAAAAAAAAAAABEQEQAWUICAAAAAAAAAABEiwBZQgIAAAAAAAAAAETOAFlBAAAAAAAAAAAARQ4AWUEAAAAAAAAAAABFTgBZQQAAAAAAAAAADAUAWUEAAAAAAAAAAAEDAFlBAAAAAAAAAAAARIBEQFlBAAAAAAAAAAAAAAAAA==</t>
        </r>
      </text>
    </comment>
    <comment ref="A1332" authorId="0" shapeId="0" xr:uid="{6F6A2E61-2430-4074-8742-61F436CEB86A}">
      <text>
        <r>
          <rPr>
            <sz val="9"/>
            <color indexed="81"/>
            <rFont val="MS P ゴシック"/>
            <family val="3"/>
            <charset val="128"/>
          </rPr>
          <t>Insight iXlW00001C0001332R0585476093S00002662P01104LAocjBAQBF1NjaVRlZ2ljLmRhdGEuTW9sZWN1bGUBbwF/ARJTY2lUZWdpYy5Nb2xlY3VsZQAAAQFkAv5qAQAAAAIAAjgYAAAA/PwA/AACAAAAAAAA8L8CXynLEMe60D8Cn14pyxDH3r8AAAAAGAAAAPz8APwAAgAAAAAAAPC/AljKMsSxLvw/Ai3UmuYdp9g/AAAAABgAAAD8/AD8AAIAAAAAAADwvwKwlGWIY13oPwIt1JrmHafYPwAAAAAYAAAA/PwA/AACAAAAAAAA8L8C1CtlGeJY478CHxZqTfOOkz8AAAAAIAAAAPz8APwAAgAAAAAAAPC/AixlGeJYFwJAAk0VjErqBPQ/AAAAACAAAAD8/AD8AAIAAAAAAADwvwIsZRniWBcCQAKfXinLEMfevwAAAAAYAAAA/PwA/AACAAAAAAAA8L8CCtejcD0K8j8CT6+UZYhj778AAAAAGAAAAPz8APwAAgAAAAAAAPC/AkOtad5xis6/Aum3rwPnjPW/AAAAABgAAAD8/AD8AAIAAAAAAADwvwIVrkfhehTkPwLpt68D54z9vwAAAAAYAAAA/PwA/AACAAAAAAAA8L8CLPaX3ZOH978C2qz6XG3F3r8AAAAAGAAAAPz8APwAAgAAAAAAAPC/AtQrZRniWOO/AlmoNc07TvA/AAAAABgAAAD8/AD8AAIAAAAAAADwvwI3qz5XW7ECwAJiMlUwKqmTPwAAAAAYAAAA/PwA/AACAAAAAAAA8L8CLPaX3ZOH978CWag1zTtO+D8AAAAAGAAAAPz8APwAAgAAAAAAAPC/AjerPldbsQLAAlmoNc07TvA/AAAAADwECAFlBAAAAAAAAAAACAABZQQAAAAAAAAAAAwAAWUEAAAAAAAAAAAQBAFlCAAAAAAAAAAAFAQBZQQAAAAAAAAAABgAAWUEAAAAAAAAAAAcAAFlBAAAAAAAAAAAIBgBZQQAAAAAAAAAACQMAWUEAAAAAAAAAAAoDAFlCAwAAAAAAAAALCQBZQgIAAAAAAAAADAoAWUEAAAAAAAAAAA0MAFlCAgAAAAAAAAAIBwBZQQAAAAAAAAAACw0AWUEAAAAAAAAAAAAAAAA</t>
        </r>
      </text>
    </comment>
    <comment ref="A1333" authorId="0" shapeId="0" xr:uid="{F3F1E0A1-BD56-461D-A2FC-3FFC20B00C30}">
      <text>
        <r>
          <rPr>
            <sz val="9"/>
            <color indexed="81"/>
            <rFont val="MS P ゴシック"/>
            <family val="3"/>
            <charset val="128"/>
          </rPr>
          <t>Insight iXlW00001C0001333R0585476093S00002664P01432LAocjBAQBF1NjaVRlZ2ljLmRhdGEuTW9sZWN1bGUBbwF/ARJTY2lUZWdpYy5Nb2xlY3VsZQAAAQFkAv5qAQAAAAIAAgETHAAAAPz8APwAAgAAAAAAAPC/AhKlvcEXJss/AmaIY13cRvg/AAAAABgAAAD8/AD8AAIAAAAAAADwvwICTYQNT6/YPwIK16NwPQrhPwAAAAAYAAAA/PwA/AACAAAAAAAA8L8Cn82qz9VW2L8CXLG/7J48vL8AAAAAGAAAAPz8APwAAgAAAAAAAPC/AgJNhA1Pr9g/AmHD0ytlGei/AAAAABgAAAD8/AD8AAIAAAAAAADwvwL45GGh1jT1PwKsrdhfdk/avwAAAAAYAAAA/PwA/AACAAAAAAAA8L8CB/AWSFD89z8C6+I2GsBb4j8AAAAAGAAAAPz8APwAAgAAAAAAAPC/At/gC5OpggNAAndPHhZqTe0/AAAAABwAAAD8/AD8AAIAAAAAAADwvwIzxLEubqMJQAJGtvP91HjRPwAAAAAYAAAA/PwA/AACAAAAAAAA8L8C5BQdyeU/CEACnl4pyxDH5r8AAAAAGAAAAPz8APwAAgAAAAAAAPC/AgisHFpkuwBAApVliGNd3PC/AAAAABgAAAD8/AD8AAIAAAAAAADwvwLQZtXnaivsvwKvtmJ/2T3vvwAAAAAYAAAA/PwA/AACAAAAAAAA8L8CaLPqc7UV/r8Cr7Zif9k9778AAAAAGAAAAPz8APwAAgAAAAAAAPC/ArRZ9bnaCgPAAlyxv+yePLy/AAAAACQAAAD8/AD8AAIAAAAAAADwvwIIPZtVnysJwAJhw9MrZRnovwAAAAAkAAAA/PwA/AACAAAAAAAA8L8CCD2bVZ8rCcACCtejcD0K4T8AAAAAGAAAAPz8APwAAgAAAAAAAPC/Amiz6nO1Ff6/AljKMsSxLug/AAAAABgAAAD8/AD8AAIAAAAAAADwvwLQZtXnaivsvwJYyjLEsS7oPwAAAAABEQAAAPz8APwAAgAAAAAAAPC/Ak0VjErqBBBAAmIyVTAqqcs/AAAAAAERAAAA/PwA/AACAAAAAAAA8L8C24r9ZfckFEACnoAmwoanzz8AAAAAARIABAFlBAAAAAAAAAAABAgBZQQAAAAAAAAAAAgMAWUEAAAAAAAAAAAMEAFlBAAAAAAAAAAAEBQBZQgMAAAAAAAAABQYAWUEAAAAAAAAAAAYHAFlCAgAAAAAAAAAHCABZQQAAAAAAAAAACAkAWUICAAAAAAAAAAkEAFlBAAAAAAAAAAACCgBZQQAAAAAAAAAACgsAWUEAAAAAAAAAAAsMAFlBAAAAAAAAAAAMDQBZQQAAAAAAAAAADA4AWUEAAAAAAAAAAAwPAFlBAAAAAAAAAAAPAEQAWUEAAAAAAAAAAABEAgBZQQAAAAAAAAAAAAAAAA=</t>
        </r>
      </text>
    </comment>
    <comment ref="A1334" authorId="0" shapeId="0" xr:uid="{B8B407A7-FE02-45C5-9D09-6779BFC268F2}">
      <text>
        <r>
          <rPr>
            <sz val="9"/>
            <color indexed="81"/>
            <rFont val="MS P ゴシック"/>
            <family val="3"/>
            <charset val="128"/>
          </rPr>
          <t>Insight iXlW00001C0001334R0585476093S00002666P01088LAocjBAQBF1NjaVRlZ2ljLmRhdGEuTW9sZWN1bGUBbwF/ARJTY2lUZWdpYy5Nb2xlY3VsZQAAAQFkAv5qAQAAAAIAAjgYAAAA/PwA/AACAAAAAAAA8L8COIlBYOXQ8b8C1zTvOEVHwr8AAAAAGAAAAPz8APwAAgAAAAAAAPC/Aibkg57Nqs+/ApVliGNd3NY/AAAAABgAAAD8/AD8AAIAAAAAAADwvwI4iUFg5dDxvwKb5h2n6EjyvwAAAAAcAAAA/PwA/AACAAAAAAAA8L8CeekmMQis/78C0bNZ9bna1j8AAAAAHAAAAPz8APwAAgAAAAAAAPC/Aibkg57Nqs+/AvRsVn2utvU/AAAAACAAAAD8/AD8AAIAAAAAAADwvwJ6xyk6ksvjPwLXNO84RUfCvwAAAAAgAAAA/PwA/AACAAAAAAAA8L8CJuSDns2qz78Cm+Ydp+hI+r8AAAAAIAAAAPz8APwAAgAAAAAAAPC/AnnpJjEIrP+/AgyTqYJRSfq/AAAAABgAAAD8/AD8AAIAAAAAAADwvwL/Q/rt68D3PwLRs1n1udrWPwAAAAAYAAAA/PwA/AACAAAAAAAA8L8CeekmMQis/78C9GxWfa629T8AAAAAGAAAAPz8APwAAgAAAAAAAPC/AsbctYR80PG/AvVsVn2utv0/AAAAABgAAAD8/AD8AAIAAAAAAADwvwIg0m9fB84CQAJfmEwVjErCvwAAAAAYAAAA/PwA/AACAAAAAAAA8L8CelioNc27CUAC0bNZ9bna1j8AAAAAGAAAAPz8APwAAgAAAAAAAPC/AiDSb18HzgJAAgyTqYJRSfK/AAAAADgEAAFlCAwAAAAAAAAACAABZQQAAAAAAAAAAAwAAWUEAAAAAAAAAAAQBAFlBAAAAAAAAAAAFAQBZQQAAAAAAAAAABgIAWUIAAAAAAAAAAAcCAFlBAAAAAAAAAAAIBQBZQQAAAAAAAAAACQMAWUICAAAAAAAAAAoJAFlBAAAAAAAAAAALCABZQQAAAAAAAAAADAsAWUEAAAAAAAAAAA0LAFlBAAAAAAAAAAAECgBZQgIAAAAAAAAAAAAAAA=</t>
        </r>
      </text>
    </comment>
    <comment ref="A1335" authorId="0" shapeId="0" xr:uid="{EE8A99C8-767B-4A3E-BCF3-6D74989D855F}">
      <text>
        <r>
          <rPr>
            <sz val="9"/>
            <color indexed="81"/>
            <rFont val="MS P ゴシック"/>
            <family val="3"/>
            <charset val="128"/>
          </rPr>
          <t>Insight iXlW00001C0001335R0585476093S00002668P01000LAocjBAQBF1NjaVRlZ2ljLmRhdGEuTW9sZWN1bGUBbwF/ARJTY2lUZWdpYy5Nb2xlY3VsZQAAAQFkAv5qAQAAAAIAAjQcAAAA/PwA/AACAAAAAAAA8L8C93XgnBElAEAC2j15WKg12T8AAAAAGAAAAPz8APwAAgAAAAAAAPC/AtiBc0aU9vw/Aoqw4emVsuK/AAAAABgAAAD8/AD8AAIAAAAAAADwvwJ1JJf/kH7rPwKD4seYu5bsvwAAAAAYAAAA/PwA/AACAAAAAAAA8L8CXkvIBz2b4T8CUI2XbhKD/b8AAAAAGAAAAPz8APwAAgAAAAAAAPC/AkVpb/CFydy/AlCNl24Sg/2/AAAAABwAAAD8/AD8AAIAAAAAAADwvwK5jQbwFkjovwKD4seYu5bsvwAAAAAcAAAA/PwA/AACAAAAAAAA8L8C3bWEfNCzqT8C48eYu5aQ078AAAAAGAAAAPz8APwAAgAAAAAAAPC/At21hHzQs6k/Ag+cM6K0N+Y/AAAAABgAAAD8/AD8AAIAAAAAAADwvwImdQKaCBvqvwIIzhlR2hvzPwAAAAAkAAAA/PwA/AACAAAAAAAA8L8CkzoBTYQN9b8CGLfRAN4C1T8AAAAAJAAAAPz8APwAAgAAAAAAAPC/AkZHcvkP6fq/AgjOGVHaG/s/AAAAACQAAAD8/AD8AAIAAAAAAADwvwJL6gQ0ETbUvwJdbcX+snsAQAAAAAABEQAAAPz8APwAAgAAAAAAAPC/Al7cRgN4iwZAAskHPZtVn7s/AAAAADAABAFlBAAAAAAAAAAABAgBZQQAAAAAAAAAAAgMAWUIDAAAAAAAAAAMEAFlBAAAAAAAAAAAEBQBZQgIAAAAAAAAABQYAWUEAAAAAAAAAAAYCAFlBAAAAAAAAAAAGBwBZQQAAAAAAAAAABwgAWUEAAAAAAAAAAAgJAFlBAAAAAAAAAAAICgBZQQAAAAAAAAAACAsAWUEAAAAAAAAAAAAAAAA</t>
        </r>
      </text>
    </comment>
    <comment ref="A1336" authorId="0" shapeId="0" xr:uid="{6D89BD1B-7252-45D7-9DF6-4F02E70A729A}">
      <text>
        <r>
          <rPr>
            <sz val="9"/>
            <color indexed="81"/>
            <rFont val="MS P ゴシック"/>
            <family val="3"/>
            <charset val="128"/>
          </rPr>
          <t>Insight iXlW00001C0001336R0585476093S00002670P01000LAocjBAQBF1NjaVRlZ2ljLmRhdGEuTW9sZWN1bGUBbwF/ARJTY2lUZWdpYy5Nb2xlY3VsZQAAAQFkAv5qAQAAAAIAAjQcAAAA/PwA/AACAAAAAAAA8L8CT6+UZYjjBkAC8WPMXUvI8b8AAAAAGAAAAPz8APwAAgAAAAAAAPC/AuhqK/aX3f0/AmpN845TdPO/AAAAABgAAAD8/AD8AAIAAAAAAADwvwIv/yH99nX0PwK30QDeAgnavwAAAAAYAAAA/PwA/AACAAAAAAAA8L8CumsJ+aBn+T8CYHZPHhZq4T8AAAAAGAAAAPz8APwAAgAAAAAAAPC/Al3+Q/rt6+g/AuomMQisHPI/AAAAABwAAAD8/AD8AAIAAAAAAADwvwI/V1uxv+yevwJgdk8eFmrhPwAAAAAYAAAA/PwA/AACAAAAAAAA8L8C9rnaiv1l778Cd08eFmpN6z8AAAAAGAAAAPz8APwAAgAAAAAAAPC/AvSOU3Qkl/u/AuPHmLuWkMc/AAAAACQAAAD8/AD8AAIAAAAAAADwvwLE0ytlGeLwvwL5MeauJeThvwAAAAAkAAAA/PwA/AACAAAAAAAA8L8CPgrXo3C9A8ACC9ejcD0K378AAAAAJAAAAPz8APwAAgAAAAAAAPC/AtnO91PjJQPAAgg9m1Wfq+0/AAAAABwAAAD8/AD8AAIAAAAAAADwvwK5/If029fRPwK30QDeAgnavwAAAAABEQAAAPz8APwAAgAAAAAAAPC/ArYV+8vuSQ1AAvmgZ7Pqc6W/AAAAADAABAFlBAAAAAAAAAAABAgBZQQAAAAAAAAAAAgMAWUEAAAAAAAAAAAMEAFlCAgAAAAAAAAAEBQBZQQAAAAAAAAAABQYAWUEAAAAAAAAAAAYHAFlBAAAAAAAAAAAHCABZQQAAAAAAAAAABwkAWUEAAAAAAAAAAAcKAFlBAAAAAAAAAAAFCwBZQQAAAAAAAAAACwIAWUIDAAAAAAAAAAAAAAA</t>
        </r>
      </text>
    </comment>
    <comment ref="A1337" authorId="0" shapeId="0" xr:uid="{A97FB22B-2097-42BA-82FC-197F38382CE9}">
      <text>
        <r>
          <rPr>
            <sz val="9"/>
            <color indexed="81"/>
            <rFont val="MS P ゴシック"/>
            <family val="3"/>
            <charset val="128"/>
          </rPr>
          <t>Insight iXlW00001C0001337R0585476093S00002672P00932LAocjBAQBF1NjaVRlZ2ljLmRhdGEuTW9sZWN1bGUBbwF/ARJTY2lUZWdpYy5Nb2xlY3VsZQAAAQFkAv5qAQAAAAIAAjAYAAAA/PwA/AACAAAAAAAA8L8CcoqO5PKfC8ACKA8LtaZ55b8AAAAAIAAAAPz8APwAAgAAAAAAAPC/Aq5H4XoUrgXAAvyp8dJNYmC/AAAAABgAAAD8/AD8AAIAAAAAAADwvwJO845TdCT8vwKBlUOLbOfTvwAAAAAYAAAA/PwA/AACAAAAAAAA8L8Cxm00gLdA8L8Ce6UsQxzr1j8AAAAAHAAAAPz8APwAAgAAAAAAAPC/AnIbDeAtkLC/Amyad5yiI6k/AAAAABgAAAD8/AD8AAIAAAAAAADwvwIZc9cS8kHPPwKVZYhjXdzsvwAAAAAcAAAA/PwA/AACAAAAAAAA8L8C1JrmHafo8z8ClWWIY13c7L8AAAAAGAAAAPz8APwAAgAAAAAAAPC/AmAHzhlR2vg/Amyad5yiI6k/AAAAABgAAAD8/AD8AAIAAAAAAADwvwJ/+zpwzggEQAI/V1uxv+zWPwAAAAAcAAAA/PwA/AACAAAAAAAA8L8CirDh6ZWyBUACGlHaG3xh9T8AAAAAGAAAAPz8APwAAgAAAAAAAPC/AsfctYR80Oc/AhpR2ht8YeQ/AAAAAAERAAAA/PwA/AACAAAAAAAA8L8C8BZIUPwYDEACPnlYqDXNyz8AAAAALAAEAWUEAAAAAAAAAAAECAFlBAAAAAAAAAAACAwBZQQAAAAAAAAAAAwQAWUEAAAAAAAAAAAQFAFlBAAAAAAAAAAAFBgBZQgIAAAAAAAAABgcAWUEAAAAAAAAAAAcIAFlBAAAAAAAAAAAICQBZQQAAAAAAAAAABwoAWUICAAAAAAAAAAoEAFlBAAAAAAAAAAAAAAAAA==</t>
        </r>
      </text>
    </comment>
    <comment ref="A1338" authorId="0" shapeId="0" xr:uid="{8E92F507-88A3-4F4D-86DA-4B29173E9DAA}">
      <text>
        <r>
          <rPr>
            <sz val="9"/>
            <color indexed="81"/>
            <rFont val="MS P ゴシック"/>
            <family val="3"/>
            <charset val="128"/>
          </rPr>
          <t>Insight iXlW00001C0001338R0585476093S00002674P01472LAocjBAQBF1NjaVRlZ2ljLmRhdGEuTW9sZWN1bGUBbwF/ARJTY2lUZWdpYy5Nb2xlY3VsZQAAAQFkAv5qAQAAAAIAAgETARAAAAD8/AD8AAIAAAAAAADwvwJnZmZmZmbqvwLjx5i7lpD9PwAAAAAYAAAA/PwA/AACAAAAAAAA8L8CZ2ZmZmZm6r8C7MA5I0p7w78AAAAAGAAAAPz8APwAAgAAAAAAAPC/As4ZUdobfPe/Aov9ZffkYe2/AAAAABgAAAD8/AD8AAIAAAAAAADwvwLDZKpgVFLHvwKL/WX35GHtvwAAAAAgAAAA/PwA/AACAAAAAAAA8L8CzhlR2ht8978Cfh04Z0TpBEAAAAAAIAAAAPz8APwAAgAAAAAAAPC/AsNkqmBUUse/An4dOGdE6QRAAAAAABgAAAD8/AD8AAIAAAAAAADwvwKRoPgx5q7pPwJPQBNhw9PnvwAAAAAYAAAA/PwA/AACAAAAAAAA8L8CdZMYBFYO+78C48eYu5aQ9T8AAAAAGAAAAPz8APwAAgAAAAAAAPC/AsuhRbbz/aQ/AuPHmLuWkPU/AAAAABgAAAD8/AD8AAIAAAAAAADwvwLLoUW28/2kPwKKH2PuWkLWPwAAAAAYAAAA/PwA/AACAAAAAAAA8L8CdZMYBFYO+78Cih9j7lpC1j8AAAAAIAAAAPz8APwAAgAAAAAAAPC/Ahi30QDeAvK/An3Qs1n1uf2/AAAAABgAAAD8/AD8AAIAAAAAAADwvwLjNhrAWyD3PwLQZtXnaiv4vwAAAAAgAAAA/PwA/AACAAAAAAAA8L8CWFuxv+yeA8ACT0ATYcPT578AAAAAAREAAAD8/AD8AAIAAAAAAADwvwKegCbChqfxPwJDHOviNpoDwAAAAAAYAAAA/PwA/AACAAAAAAAA8L8CjgbwFkhQ8j8Cfoy5awn5yD8AAAAAGAAAAPz8APwAAgAAAAAAAPC/AuLplbIMcQNAAsBbIEHxY/W/AAAAABgAAAD8/AD8AAIAAAAAAADwvwLwp8ZLNwkBQAJ88rBQa5rXPwAAAAAYAAAA/PwA/AACAAAAAAAA8L8CBcWPMXctBkAC6dms+lxt2b8AAAAAARQEJAFlBAAAAAAAAAAACAQBZQQAAAAAAAAAAAwEAWUEAAAAAAAAAAAQAAFlCAAAAAAAAAAAFAABZQgAAAAAAAAAABgMAWUEAAAAAAAAAAAcAAFlBAAAAAAAAAAAIAABZQQAAAAAAAAAACQgAWUEAAAAAAAAAAAoHAFlBAAAAAAAAAAALAgBZQgAAAAAAAAAADAYAWUEAAAAAAAAAAA0CAFlBAAAAAAAAAAAODABZQQAAAAAAAAAADwYAWUIDAAAAAAAAAABEDABZQgIAAAAAAAAAAERPAFlBAAAAAAAAAAAARIBEQFlCAgAAAAAAAAABCgBZQQAAAAAAAAAAAESARABZQQAAAAAAAAAAAAAAAA=</t>
        </r>
      </text>
    </comment>
    <comment ref="A1339" authorId="0" shapeId="0" xr:uid="{5ECDFFD5-53F2-4439-8E82-B98CA21877B8}">
      <text>
        <r>
          <rPr>
            <sz val="9"/>
            <color indexed="81"/>
            <rFont val="MS P ゴシック"/>
            <family val="3"/>
            <charset val="128"/>
          </rPr>
          <t>Insight iXlW00001C0001339R0585476093S00002676P01544LAocjBAQBF1NjaVRlZ2ljLmRhdGEuTW9sZWN1bGUBbwF/ARJTY2lUZWdpYy5Nb2xlY3VsZQAAAQFkAv5qAQAAAAIAAgEUARAAAAD8/AD8AAIAAAAAAADwvwJg5dAi2/kBwAIW+8vuycOyPwAAAAAYAAAA/PwA/AACAAAAAAAA8L8CmbuWkA964L8CnoAmwoan7b8AAAAAGAAAAPz8APwAAgAAAAAAAPC/AjY8vVKWIca/AgYSFD/G3P2/AAAAACAAAAD8/AD8AAIAAAAAAADwvwLRs1n1udoJwALM7snDQq25vwAAAAAgAAAA/PwA/AACAAAAAAAA8L8Cg8DKoUW2BMACaZHtfD818D8AAAAAGAAAAPz8APwAAgAAAAAAAPC/AlH8GHPXEt4/An9qvHSTGOi/AAAAABgAAAD8/AD8AAIAAAAAAADwvwJg5dAi2/kBwAKegCbChqftvwAAAAAYAAAA/PwA/AACAAAAAAAA8L8Cf2q8dJMY9r8CY3/ZPXlY4j8AAAAAGAAAAPz8APwAAgAAAAAAAPC/Apm7lpAPeuC/Ahb7y+7Jw7I/AAAAABgAAAD8/AD8AAIAAAAAAADwvwIOvjCZKhj2vwJPQBNhw9P2vwAAAAAgAAAA/PwA/AACAAAAAAAA8L8CtOpztRX76T8CUrgehetRAMAAAAAAGAAAAPz8APwAAgAAAAAAAPC/ArTqc7UV++k/Ar3jFB3J5cc/AAAAABgAAAD8/AD8AAIAAAAAAADwvwI7kst/SL/8PwJX7C+7Jw/XPwAAAAAgAAAA/PwA/AACAAAAAAAA8L8CRBzr4jYa6r8CV+wvuycPBcAAAAAAGAAAAPz8APwAAgAAAAAAAPC/AkCk374OHAFAAs3MzMzMzPQ/AAAAACAAAAD8/AD8AAIAAAAAAADwvwKwcmiR7fwIQAJrK/aX3ZP3PwAAAAAYAAAA/PwA/AACAAAAAAAA8L8CCYofY+5a4D8C1zTvOEVH/j8AAAAAGAAAAPz8APwAAgAAAAAAAPC/Avd14JwRpcU/Aj/G3LWEfO4/AAAAABgAAAD8/AD8AAIAAAAAAADwvwLlYaHWNO/3PwK7SQwCK4cAQAAAAAAYAAAA/PwA/AACAAAAAAAA8L8C/mX35GEhDkAChslUwaik5j8AAAAAARUEJAFlBAAAAAAAAAAACAQBZQQAAAAAAAAAAAwAAWUIAAAAAAAAAAAQAAFlCAAAAAAAAAAAFAQBZQQAAAAAAAAAABgAAWUEAAAAAAAAAAAcAAFlBAAAAAAAAAAAIBwBZQQAAAAAAAAAACQYAWUEAAAAAAAAAAAoCAFlCAAAAAAAAAAALBQBZQQAAAAAAAAAADAsAWUEAAAAAAAAAAA0CAFlBAAAAAAAAAAAODABZQgMAAAAAAAAADw4AWUEAAAAAAAAAAABEAERAWUEAAAAAAAAAAABESwBZQgMAAAAAAAAAAESARABZQgIAAAAAAAAAAETPAFlBAAAAAAAAAAABCABZQQAAAAAAAAAAAESOAFlBAAAAAAAAAAAAAAAAA==</t>
        </r>
      </text>
    </comment>
    <comment ref="A1340" authorId="0" shapeId="0" xr:uid="{AFD89746-F91A-4AD0-9442-DCDB996AE006}">
      <text>
        <r>
          <rPr>
            <sz val="9"/>
            <color indexed="81"/>
            <rFont val="MS P ゴシック"/>
            <family val="3"/>
            <charset val="128"/>
          </rPr>
          <t>Insight iXlW00001C0001340R0585476093S00002678P01380LAocjBAQBF1NjaVRlZ2ljLmRhdGEuTW9sZWN1bGUBbwF/ARJTY2lUZWdpYy5Nb2xlY3VsZQAAAQFkAv5qAQAAAAIAAgESHAAAAPz8APwAAgAAAAAAAPC/AqVOQBNhw8M/AgU0ETY8veI/AAAAABgAAAD8/AD8AAIAAAAAAADwvwKneccpOpLjvwIMk6mCUUmtvwAAAAAYAAAA/PwA/AACAAAAAAAA8L8CpU5AE2HDwz8CZ2ZmZmZm5r8AAAAAGAAAAPz8APwAAgAAAAAAAPC/AozbaABvgfE/Arfz/dR46da/AAAAABgAAAD8/AD8AAIAAAAAAADwvwKb5h2n6Ej0PwLmP6Tfvg7kPwAAAAAYAAAA/PwA/AACAAAAAAAA8L8C8YXJVMGoAUACcayL22gA7z8AAAAAGAAAAPz8APwAAgAAAAAAAPC/An0/NV66yQdAAjtwzojS3tQ/AAAAACQAAAD8/AD8AAIAAAAAAADwvwJZqDXNO04PQAKppE5AE2HlPwAAAAAYAAAA/PwA/AACAAAAAAAA8L8C9rnaiv1lBkAChlrTvOMU5b8AAAAAGAAAAPz8APwAAgAAAAAAAPC/AqVOQBNhw/0/AoljXdxGA/C/AAAAABgAAAD8/AD8AAIAAAAAAADwvwLUvOMUHcnxvwJTJ6CJsOHpPwAAAAAYAAAA/PwA/AACAAAAAAAA8L8Cat5xio7kAMACUyegibDh6T8AAAAAARAAAAD8/AD8AAIAAAAAAADwvwJq3nGKjuQEwAIMk6mCUUmtvwAAAAAgAAAA/PwA/AACAAAAAAAA8L8CvsEXJlMFC8ACZ2ZmZmZm5r8AAAAAIAAAAPz8APwAAgAAAAAAAPC/Ar7BFyZTBQvAAgU0ETY8veI/AAAAABgAAAD8/AD8AAIAAAAAAADwvwJq3nGKjuQAwAK0WfW52ortvwAAAAAYAAAA/PwA/AACAAAAAAAA8L8C1LzjFB3J8b8CtFn1udqK7b8AAAAAAREAAAD8/AD8AAIAAAAAAADwvwJgB84ZUdoSQAL8qfHSTWKQvwAAAAABEgAEAWUEAAAAAAAAAAAECAFlBAAAAAAAAAAACAwBZQQAAAAAAAAAAAwQAWUIDAAAAAAAAAAQFAFlBAAAAAAAAAAAFBgBZQgMAAAAAAAAABgcAWUEAAAAAAAAAAAYIAFlBAAAAAAAAAAAICQBZQgIAAAAAAAAACQMAWUEAAAAAAAAAAAEKAFlBAAAAAAAAAAAKCwBZQQAAAAAAAAAACwwAWUEAAAAAAAAAAAwNAFlCAAAAAAAAAAAMDgBZQgAAAAAAAAAADA8AWUEAAAAAAAAAAA8ARABZQQAAAAAAAAAAAEQBAFlBAAAAAAAAAAAAAAAAA==</t>
        </r>
      </text>
    </comment>
    <comment ref="A1341" authorId="0" shapeId="0" xr:uid="{FC298EED-9EF2-4CEB-BF4D-A42626A3A7E8}">
      <text>
        <r>
          <rPr>
            <sz val="9"/>
            <color indexed="81"/>
            <rFont val="MS P ゴシック"/>
            <family val="3"/>
            <charset val="128"/>
          </rPr>
          <t>Insight iXlW00001C0001341R0585476093S00002680P01380LAocjBAQBF1NjaVRlZ2ljLmRhdGEuTW9sZWN1bGUBbwF/ARJTY2lUZWdpYy5Nb2xlY3VsZQAAAQFkAv5qAQAAAAIAAgESHAAAAPz8APwAAgAAAAAAAPC/Ak7RkVz+Q9I/ArIubqMBvOc/AAAAABgAAAD8/AD8AAIAAAAAAADwvwJSSZ2AJsLevwLhC5OpglG5PwAAAAAYAAAA/PwA/AACAAAAAAAA8L8CTtGRXP5D0j8CumsJ+aBn4b8AAAAAGAAAAPz8APwAAgAAAAAAAPC/AgtGJXUCmvM/Arn8h/Tb18m/AAAAABgAAAD8/AD8AAIAAAAAAADwvwIaUdobfGH2PwKTOgFNhA3pPwAAAAAYAAAA/PwA/AACAAAAAAAA8L8CaZHtfD+1AkACj1N0JJf/8T8AAAAAGAAAAPz8APwAAgAAAAAAAPC/Ar10kxgE1ghAAtGzWfW52t4/AAAAABgAAAD8/AD8AAIAAAAAAADwvwI17zhFR3IHQAL3Bl+YTBXgvwAAAAAYAAAA/PwA/AACAAAAAAAA8L8CswxxrIvb/z8CZMxdS8gH678AAAAAAREAAAD8/AD8AAIAAAAAAADwvwIVrkfhehT9PwITg8DKoUX9vwAAAAAYAAAA/PwA/AACAAAAAAAA8L8CqaROQBNh778CACL99nXg7j8AAAAAGAAAAPz8APwAAgAAAAAAAPC/AlVSJ6CJsP+/AgAi/fZ14O4/AAAAAAEQAAAA/PwA/AACAAAAAAAA8L8CKqkT0ETYA8AC4QuTqYJRuT8AAAAAIAAAAPz8APwAAgAAAAAAAPC/Ardif9k9+QnAArprCfmgZ+G/AAAAACAAAAD8/AD8AAIAAAAAAADwvwK3Yn/ZPfkJwAKyLm6jAbznPwAAAAAYAAAA/PwA/AACAAAAAAAA8L8CVVInoImw/78CB1+YTBWM6L8AAAAAGAAAAPz8APwAAgAAAAAAAPC/AqmkTkATYe+/AgdfmEwVjOi/AAAAAAERAAAA/PwA/AACAAAAAAAA8L8CI9v5fmo8D0ACB1+YTBWM1r8AAAAAARIABAFlBAAAAAAAAAAABAgBZQQAAAAAAAAAAAgMAWUEAAAAAAAAAAAMEAFlCAwAAAAAAAAAEBQBZQQAAAAAAAAAABQYAWUICAAAAAAAAAAYHAFlBAAAAAAAAAAAHCABZQgIAAAAAAAAACAMAWUEAAAAAAAAAAAgJAFlBAAAAAAAAAAABCgBZQQAAAAAAAAAACgsAWUEAAAAAAAAAAAsMAFlBAAAAAAAAAAAMDQBZQgAAAAAAAAAADA4AWUIAAAAAAAAAAAwPAFlBAAAAAAAAAAAPAEQAWUEAAAAAAAAAAABEAQBZQQAAAAAAAAAAAAAAAA=</t>
        </r>
      </text>
    </comment>
    <comment ref="A1342" authorId="0" shapeId="0" xr:uid="{375192FB-0ABD-450A-BBB5-BBF3757A4BA0}">
      <text>
        <r>
          <rPr>
            <sz val="9"/>
            <color indexed="81"/>
            <rFont val="MS P ゴシック"/>
            <family val="3"/>
            <charset val="128"/>
          </rPr>
          <t>Insight iXlW00001C0001342R0585476093S00002682P01180LAocjBAQBF1NjaVRlZ2ljLmRhdGEuTW9sZWN1bGUBbwF/ARJTY2lUZWdpYy5Nb2xlY3VsZQAAAQFkAv5qAQAAAAIAAjwcAAAA/PwA/AACAAAAAAAA8L8CNBE2PL1S5D8C0NVW7C+72z8AAAAAGAAAAPz8APwAAgAAAAAAAPC/AtxoAG+BBPg/AuhqK/aX3e0/AAAAABwAAAD8/AD8AAIAAAAAAADwvwKP5PIf0u8CQALQ1VbsL7vbPwAAAAAYAAAA/PwA/AACAAAAAAAA8L8CNBE2PL1S5D8CNjy9UpYh4r8AAAAAGAAAAPz8APwAAgAAAAAAAPC/AtxoAG+BBPg/AhueXinLEPG/AAAAABgAAAD8/AD8AAIAAAAAAADwvwKP5PIf0u8CQAIYldQJaCLivwAAAAAYAAAA/PwA/AACAAAAAAAA8L8CPb1SliGOzb8C6Gor9pfd7T8AAAAAIAAAAPz8APwAAgAAAAAAAPC/AtxoAG+BBPg/AnS1FfvL7v4/AAAAABwAAAD8/AD8AAIAAAAAAADwvwJvEoPAyqEGwAIYldQJaCLivwAAAAABIwAAAPz8APwAAgAAAAAAAPC/AtxoAG+BBPg/Ag5Pr5RliADAAAAAABgAAAD8/AD8AAIAAAAAAADwvwJaZDvfT43xvwLQ1VbsL7vbPwAAAAAYAAAA/PwA/AACAAAAAAAA8L8CnMQgsHJo/78CG55eKcsQ8b8AAAAAGAAAAPz8APwAAgAAAAAAAPC/Am8Sg8DKoQbAAtDVVuwvu9s/AAAAABgAAAD8/AD8AAIAAAAAAADwvwJaZDvfT43xvwI2PL1SliHivwAAAAAYAAAA/PwA/AACAAAAAAAA8L8CnMQgsHJo/78C6Gor9pfd7T8AAAAAARAEAAFlBAAAAAAAAAAACAQBZQQAAAAAAAAAAAwAAWUEAAAAAAAAAAAQDAFlCAwAAAAAAAAAFAgBZQgIAAAAAAAAABgAAWUEAAAAAAAAAAAcBAFlCAAAAAAAAAAAIDABZQQAAAAAAAAAACQQAWUEAAAAAAAAAAAoGAFlBAAAAAAAAAAALDQBZQQAAAAAAAAAADA4AWUICAAAAAAAAAA0KAFlCAwAAAAAAAAAOCgBZQQAAAAAAAAAABQQAWUEAAAAAAAAAAAgLAFlCAgAAAAAAAAAAAAAAA==</t>
        </r>
      </text>
    </comment>
    <comment ref="A1343" authorId="0" shapeId="0" xr:uid="{5ABF2D8B-769A-4F43-AF02-580593ED0E2B}">
      <text>
        <r>
          <rPr>
            <sz val="9"/>
            <color indexed="81"/>
            <rFont val="MS P ゴシック"/>
            <family val="3"/>
            <charset val="128"/>
          </rPr>
          <t>Insight iXlW00001C0001343R0585476093S00002684P01252LAocjBAQBF1NjaVRlZ2ljLmRhdGEuTW9sZWN1bGUBbwF/ARJTY2lUZWdpYy5Nb2xlY3VsZQAAAQFkAv5qAQAAAAIAAgEQHAAAAPz8APwAAgAAAAAAAPC/AuQUHcnlP+g/AgAAAAAAAOI/AAAAABwAAAD8/AD8AAIAAAAAAADwvwK06nO1Ffv5PwIAAAAAAADxPwAAAAAYAAAA/PwA/AACAAAAAAAA8L8C5BQdyeU/6D8CAAAAAAAA3L8AAAAAGAAAAPz8APwAAgAAAAAAAPC/AnulLEMc6wNAAgAAAAAAAOI/AAAAABgAAAD8/AD8AAIAAAAAAADwvwK06nO1Ffv5PwIAAAAAAADuvwAAAAAYAAAA/PwA/AACAAAAAAAA8L8Ce6UsQxzrA0ACAAAAAAAA3L8AAAAAGAAAAPz8APwAAgAAAAAAAPC/AgwkKH6Mubu/AgAAAAAAAPE/AAAAACAAAAD8/AD8AAIAAAAAAADwvwL7XG3F/rK7vwIAAAAAAADuvwAAAAAYAAAA/PwA/AACAAAAAAAA8L8CBcWPMXct778CAAAAAAAA4j8AAAAAASMAAAD8/AD8AAIAAAAAAADwvwKcVZ+rrdgKQAIAAAAAAADxPwAAAAAYAAAA/PwA/AACAAAAAAAA8L8CBcWPMXct778CAAAAAAAA3L8AAAAAGAAAAPz8APwAAgAAAAAAAPC/AsRCrWnecf2/AgAAAAAAAO6/AAAAACQAAAD8/AD8AAIAAAAAAADwvwLEQq1p3nH9vwIAAAAAAAD/vwAAAAAYAAAA/PwA/AACAAAAAAAA8L8Cg1FJnYCmBcACAAAAAAAA4j8AAAAAGAAAAPz8APwAAgAAAAAAAPC/AsRCrWnecf2/AgAAAAAAAPE/AAAAABgAAAD8/AD8AAIAAAAAAADwvwKDUUmdgKYFwAIAAAAAAADcvwAAAAABEQQAAWUEAAAAAAAAAAAIAAFlBAAAAAAAAAAADAQBZQgMAAAAAAAAABAIAWUEAAAAAAAAAAAUEAFlCAgAAAAAAAAAGAABZQQAAAAAAAAAABwIAWUIAAAAAAAAAAAgGAFlBAAAAAAAAAAAJAwBZQQAAAAAAAAAACggAWUEAAAAAAAAAAAsKAFlCAwAAAAAAAAAMCwBZQQAAAAAAAAAADQ4AWUEAAAAAAAAAAA4IAFlCAwAAAAAAAAAPDQBZQgIAAAAAAAAABQMAWUEAAAAAAAAAAA8LAFlBAAAAAAAAAAAAAAAAA==</t>
        </r>
      </text>
    </comment>
    <comment ref="A1344" authorId="0" shapeId="0" xr:uid="{66B144D9-6042-4B52-9E00-C3C459B1AD5F}">
      <text>
        <r>
          <rPr>
            <sz val="9"/>
            <color indexed="81"/>
            <rFont val="MS P ゴシック"/>
            <family val="3"/>
            <charset val="128"/>
          </rPr>
          <t>Insight iXlW00001C0001344R0585476093S00002686P00924LAocjBAQBF1NjaVRlZ2ljLmRhdGEuTW9sZWN1bGUBbwF/ARJTY2lUZWdpYy5Nb2xlY3VsZQAAAQFkAv5qAQAAAAIBAjAYAAAA/PwA/AACAAAAAAAA8L8Cg8DKoUW2+z8Cl5APejar2r8AAAAAGAAAAPz8APwAAgAAAAAAAPC/AoPAyqFFtvu/ApeQD3o2q9q/AAAAABgAAAD8/AD8AAIAAAAAAADwvwACl5APejar2r8AAAAAGAwAAPz8APwAAgAAAAAAAPC/AoPAyqFFtuu/AqW9wRcmU7U/AAAAABgIAAD8/AD8AAIAAAAAAADwvwKDwMqhRbbrPwKlvcEXJlO1PwAAAAAgAAAA/PwA/AACAAAAAAAA8L8Cg8DKoUW2+78CJuSDns2q9r8AAAAAIAAAAPz8APwAAgAAAAAAAPC/ApvmHafoyARAAqW9wRcmU7U/AAAAACAAAAD8/AD8AAIAAAAAAADwvwKDwMqhRbb7PwIm5IOezar2vwAAAAAgAAAA/PwA/AACAAAAAAAA8L8Cm+Ydp+jIBMACpb3BFyZTtT8AAAAAGAAAAPz8APwAAgAAAAAAAPC/AoPAyqFFtuu/AtsbfGEyVfE/AAAAABgAAAD8/AD8AAIAAAAAAADwvwKDwMqhRbbrPwLbG3xhMlXxPwAAAAAYAAAA/PwA/AACAAAAAAAA8L8AAtsbfGEyVfk/AAAAADAMBAFlBBAAAAAAAAAACBABZQQAAAAAAAAAAAwIAWUEAAAAAAAAAAAQAAFlBBQAAAAAAAAAFAQBZQgAAAAAAAAAABgAAWUIAAAAAAAAAAAcAAFlBAAAAAAAAAAAIAQBZQQAAAAAAAAAACQsAWUEAAAAAAAAAAAoEAFlBAAAAAAAAAAALCgBZQQAAAAAAAAAAAwkAWUEAAAAAAAAAAAAAAAA</t>
        </r>
      </text>
    </comment>
    <comment ref="A1345" authorId="0" shapeId="0" xr:uid="{0BFCFC58-F838-4E66-8640-BF6D66CF422F}">
      <text>
        <r>
          <rPr>
            <sz val="9"/>
            <color indexed="81"/>
            <rFont val="MS P ゴシック"/>
            <family val="3"/>
            <charset val="128"/>
          </rPr>
          <t>Insight iXlW00001C0001345R0585476093S00002688P00924LAocjBAQBF1NjaVRlZ2ljLmRhdGEuTW9sZWN1bGUBbwF/ARJTY2lUZWdpYy5Nb2xlY3VsZQAAAQFkAv5qAQAAAAIBAjAYAAAA/PwA/AACAAAAAAAA8L8Cg8DKoUW2+z8Cl5APejar2r8AAAAAGAAAAPz8APwAAgAAAAAAAPC/AoPAyqFFtvu/ApeQD3o2q9q/AAAAABgAAAD8/AD8AAIAAAAAAADwvwACl5APejar2r8AAAAAGAwAAPz8APwAAgAAAAAAAPC/AoPAyqFFtuu/AqW9wRcmU7U/AAAAABgMAAD8/AD8AAIAAAAAAADwvwKDwMqhRbbrPwKlvcEXJlO1PwAAAAAgAAAA/PwA/AACAAAAAAAA8L8Cg8DKoUW2+78CJuSDns2q9r8AAAAAIAAAAPz8APwAAgAAAAAAAPC/ApvmHafoyARAAqW9wRcmU7U/AAAAACAAAAD8/AD8AAIAAAAAAADwvwKDwMqhRbb7PwIm5IOezar2vwAAAAAgAAAA/PwA/AACAAAAAAAA8L8Cm+Ydp+jIBMACpb3BFyZTtT8AAAAAGAAAAPz8APwAAgAAAAAAAPC/AoPAyqFFtuu/AtsbfGEyVfE/AAAAABgAAAD8/AD8AAIAAAAAAADwvwKDwMqhRbbrPwLbG3xhMlXxPwAAAAAYAAAA/PwA/AACAAAAAAAA8L8AAtsbfGEyVfk/AAAAADAMBAFlBBAAAAAAAAAACBABZQQAAAAAAAAAAAwIAWUEAAAAAAAAAAAQAAFlBBAAAAAAAAAAFAQBZQgAAAAAAAAAABgAAWUIAAAAAAAAAAAcAAFlBAAAAAAAAAAAIAQBZQQAAAAAAAAAACQsAWUEAAAAAAAAAAAoEAFlBAAAAAAAAAAALCgBZQQAAAAAAAAAAAwkAWUEAAAAAAAAAAAAAAAA</t>
        </r>
      </text>
    </comment>
    <comment ref="A1346" authorId="0" shapeId="0" xr:uid="{28147494-9AB2-4F26-AE92-DF22B6933ABF}">
      <text>
        <r>
          <rPr>
            <sz val="9"/>
            <color indexed="81"/>
            <rFont val="MS P ゴシック"/>
            <family val="3"/>
            <charset val="128"/>
          </rPr>
          <t>Insight iXlW00001C0001346R0585476093S00002690P00892LAocjBAQBF1NjaVRlZ2ljLmRhdGEuTW9sZWN1bGUBbwF/ARJTY2lUZWdpYy5Nb2xlY3VsZQAAAQFkAv5qAQAAAAIAAiwcAAAA/PwA/AACAAAAAAAA8L8CIGPuWkI+5j8CH/RsVn2u2j8AAAAAGAAAAPz8APwAAgAAAAAAAPC/Ao51cRsN4MW/AoQvTKYKRrW/AAAAABgAAAD8/AD8AAIAAAAAAADwvwLSkVz+Q/r4PwKEL0ymCka1vwAAAAAYAAAA/PwA/AACAAAAAAAA8L8CZTvfT42X8L8CH/RsVn2u2j8AAAAAHAAAAPz8APwAAgAAAAAAAPC/Agr5oGezagNAAh/0bFZ9rto/AAAAABgAAAD8/AD8AAIAAAAAAADwvwKOdXEbDeDFvwL4wmSqYFTxvwAAAAAYAAAA/PwA/AACAAAAAAAA8L8CIGPuWkI+5j8C+cJkqmBU+b8AAAAAGAAAAPz8APwAAgAAAAAAAPC/AtKRXP5D+vg/AvjCZKpgVPG/AAAAABgAAAD8/AD8AAIAAAAAAADwvwLW52or9hcCwAKWQ4ts5/vxPwAAAAAYAAAA/PwA/AACAAAAAAAA8L8CZ0Rpb/AFAMACXLG/7J48xD8AAAAAGAAAAPz8APwAAgAAAAAAAPC/AkGC4seYu/S/AnKKjuTyH/Y/AAAAADAEAAFlCAwAAAAAAAAACAABZQQAAAAAAAAAAAwEAWUEAAAAAAAAAAAQCAFlBAAAAAAAAAAAFAQBZQQAAAAAAAAAABgcAWUEAAAAAAAAAAAcCAFlCAgAAAAAAAAAICgBZQQAAAAAAAAAACQMAWUEAAAAAAAAAAAoDAFlBAAAAAAAAAAAFBgBZQgIAAAAAAAAACAkAWUEAAAAAAAAAAAAAAAA</t>
        </r>
      </text>
    </comment>
    <comment ref="A1347" authorId="0" shapeId="0" xr:uid="{2ABA6E9F-B449-41FE-8679-58245FB352B5}">
      <text>
        <r>
          <rPr>
            <sz val="9"/>
            <color indexed="81"/>
            <rFont val="MS P ゴシック"/>
            <family val="3"/>
            <charset val="128"/>
          </rPr>
          <t>Insight iXlW00001C0001347R0585476093S00002692P01020LAocjBAQBF1NjaVRlZ2ljLmRhdGEuTW9sZWN1bGUBbwF/ARJTY2lUZWdpYy5Nb2xlY3VsZQAAAQFkAv5qAQAAAAIAAjQBEAAAAPz8APwAAgAAAAAAAPC/AuQUHcnlP/e/Ap6AJsKGp5c/AAAAABgAAAD8/AD8AAIAAAAAAADwvwLEsS5uowH1PwIxmSoYldTjvwAAAAAYAAAA/PwA/AACAAAAAAAA8L8COdbFbTSA4T8CnoAmwoanlz8AAAAAIAAAAPz8APwAAgAAAAAAAPC/Av9D+u3rwAHAAjGZKhiV1OO/AAAAACAAAAD8/AD8AAIAAAAAAADwvwL/Q/rt68ABwAI7AU2EDU/lPwAAAAAYAAAA/PwA/AACAAAAAAAA8L8CyCk6kst/7r8CiPTb14Fz7D8AAAAAGAAAAPz8APwAAgAAAAAAAPC/AsgpOpLLf+6/An+MuWsJ+eq/AAAAACAAAAD8/AD8AAIAAAAAAADwvwK+wRcmUwUCQAKHp1fKMsTRvwAAAAAYAAAA/PwA/AACAAAAAAAA8L8CiWNd3EYDqD8CiPTb14Fz7D8AAAAAGAAAAPz8APwAAgAAAAAAAPC/AoljXdxGA6g/An+MuWsJ+eq/AAAAACAAAAD8/AD8AAIAAAAAAADwvwImUwWjkjryPwJ56SYxCKz5vwAAAAAYAAAA/PwA/AACAAAAAAAA8L8CxLEubqMB9T8COwFNhA1P5T8AAAAAGAAAAPz8APwAAgAAAAAAAPC/AiZTBaOSOvI/An4dOGdEafo/AAAAADQECAFlBAAAAAAAAAAACCQBZQQAAAAAAAAAAAwAAWUIAAAAAAAAAAAQAAFlCAAAAAAAAAAAFAABZQQAAAAAAAAAABgAAWUEAAAAAAAAAAAcBAFlCAAAAAAAAAAAIBQBZQQAAAAAAAAAACQYAWUEAAAAAAAAAAAoBAFlBAAAAAAAAAAALAgBZQQAAAAAAAAAADAsAWUEAAAAAAAAAAAIIAFlBAAAAAAAAAAAAAAAAA==</t>
        </r>
      </text>
    </comment>
    <comment ref="A1348" authorId="0" shapeId="0" xr:uid="{5AC15329-28F4-4C3B-B624-BB547E16ACEC}">
      <text>
        <r>
          <rPr>
            <sz val="9"/>
            <color indexed="81"/>
            <rFont val="MS P ゴシック"/>
            <family val="3"/>
            <charset val="128"/>
          </rPr>
          <t>Insight iXlW00001C0001348R0585476093S00002694P00808LAocjBAQBF1NjaVRlZ2ljLmRhdGEuTW9sZWN1bGUBbwF/ARJTY2lUZWdpYy5Nb2xlY3VsZQAAAQFkAv5qAQAAAAIAAigcAAAA/PwA/AACAAAAAAAA8L8Cg8DKoUW2278CZ2ZmZmZm1j8AAAAAHAAAAPz8APwAAgAAAAAAAPC/AmMQWDm0yPQ/As3MzMzMzOS/AAAAABgAAAD8/AD8AAIAAAAAAADwvwKDwMqhRbbbvwLNzMzMzMzkvwAAAAAYAAAA/PwA/AACAAAAAAAA8L8CYxBYObTI9D8CZ2ZmZmZm1j8AAAAAGAAAAPz8APwAAgAAAAAAAPC/AoPAyqFFtts/AjQzMzMzM+s/AAAAABgAAAD8/AD8AAIAAAAAAADwvwKDwMqhRbbbPwJnZmZmZmbyvwAAAAAgAAAA/PwA/AACAAAAAAAA8L8CYxBYObTI9L8CZ2ZmZmZm8r8AAAAAASMAAAD8/AD8AAIAAAAAAADwvwJSuB6F61EBQAI0MzMzMzPrPwAAAAAYAAAA/PwA/AACAAAAAAAA8L8CYxBYObTI9L8CNDMzMzMz6z8AAAAAGAAAAPz8APwAAgAAAAAAAPC/AouO5PIfUgHAAmdmZmZmZtY/AAAAACgEFAFlCAgAAAAAAAAACAABZQQAAAAAAAAAAAwQAWUIDAAAAAAAAAAQAAFlBAAAAAAAAAAAFAgBZQQAAAAAAAAAABgIAWUIAAAAAAAAAAAcDAFlBAAAAAAAAAAAIAABZQQAAAAAAAAAACQgAWUEAAAAAAAAAAAEDAFlBAAAAAAAAAAAAAAAAA==</t>
        </r>
      </text>
    </comment>
    <comment ref="A1349" authorId="0" shapeId="0" xr:uid="{5B9DC4BA-CF4F-4695-96F6-8BD05A556B0E}">
      <text>
        <r>
          <rPr>
            <sz val="9"/>
            <color indexed="81"/>
            <rFont val="MS P ゴシック"/>
            <family val="3"/>
            <charset val="128"/>
          </rPr>
          <t>Insight iXlW00001C0001349R0585476093S00002696P01036LAocjBAQBF1NjaVRlZ2ljLmRhdGEuTW9sZWN1bGUBbwF/ARJTY2lUZWdpYy5Nb2xlY3VsZQAAAQFkAv5qAQAAAAIAAjQcAAAA/PwA/AACAAAAAAAA8L8CgNk9eVio7b8CjSjtDb4wyb8AAAAAGAAAAPz8APwAAgAAAAAAAPC/Av+ye/KwUNu/AmB2Tx4WauU/AAAAABwAAAD8/AD8AAIAAAAAAADwvwLwp8ZLN4nxvwIp7Q2+MJn2PwAAAAAcAAAA/PwA/AACAAAAAAAA8L8C+n5qvHQTAMACLGUZ4lgX8D8AAAAAGAAAAPz8APwAAgAAAAAAAPC/AnsUrkfhev6/AkGC4seYu4Y/AAAAABgAAAD8/AD8AAIAAAAAAADwvwKBJsKGp1fiPwJgdk8eFmrlPwAAAAAYAAAA/PwA/AACAAAAAAAA8L8CQRNhw9Mr8T8CjSjtDb4wyb8AAAAAGAAAAPz8APwAAgAAAAAAAPC/Av+ye/KwUNu/AlMFo5I6AfG/AAAAABgAAAD8/AD8AAIAAAAAAADwvwKBJsKGp1fiPwJTBaOSOgHxvwAAAAAYAAAA/PwA/AACAAAAAAAA8L8CoImw4emVAEACjSjtDb4wyb8AAAAAIAAAAPz8APwAAgAAAAAAAPC/AqCJsOHplQRAAmB2Tx4WauU/AAAAACAAAAD8/AD8AAIAAAAAAADwvwKgibDh6ZUEQAJTBaOSOgHxvwAAAAAYAAAA/PwA/AACAAAAAAAA8L8CAk2EDU8vBcACdZMYBFYO5b8AAAAAOAQAAWUEAAAAAAAAAAAIBAFlCAgAAAAAAAAADBABZQgIAAAAAAAAABAAAWUEAAAAAAAAAAAUBAFlBAAAAAAAAAAAGBQBZQgMAAAAAAAAABwAAWUEAAAAAAAAAAAgHAFlCAgAAAAAAAAAJBgBZQQAAAAAAAAAACgkAWUIAAAAAAAAAAAsJAFlBAAAAAAAAAAAMBABZQQAAAAAAAAAAAwIAWUEAAAAAAAAAAAYIAFlBAAAAAAAAAAAAAAAAA==</t>
        </r>
      </text>
    </comment>
    <comment ref="A1350" authorId="0" shapeId="0" xr:uid="{DD0C90ED-EA1B-4222-8F26-94682E4E2EC5}">
      <text>
        <r>
          <rPr>
            <sz val="9"/>
            <color indexed="81"/>
            <rFont val="MS P ゴシック"/>
            <family val="3"/>
            <charset val="128"/>
          </rPr>
          <t>Insight iXlW00001C0001350R0585476093S00002698P01540LAocjBAQBF1NjaVRlZ2ljLmRhdGEuTW9sZWN1bGUBbwF/ARJTY2lUZWdpYy5Nb2xlY3VsZQAAAQFkAv5qAQAAAAIAAgEUHAAAAPz8APwAAgAAAAAAAPC/AlOWIY51ccO/Avp+arx0k5g/AAAAABgAAAD8/AD8AAIAAAAAAADwvwKsPldbsb/uvwKZKhiV1AnivwAAAAAcAAAA/PwA/AACAAAAAAAA8L8CgnNGlPYG5T8CmSoYldQJ4r8AAAAAGAAAAPz8APwAAgAAAAAAAPC/Atc07zhFR9Y/Alyxv+yePPi/AAAAABgAAAD8/AD8AAIAAAAAAADwvwKVZYhjXdzkvwJcsb/snjz4vwAAAAAYAAAA/PwA/AACAAAAAAAA8L8C33GKjuTy7T8C9I5TdCSXAsAAAAAAGAAAAPz8APwAAgAAAAAAAPC/AlOWIY51ccO/Avyp8dJNYvA/AAAAABgAAAD8/AD8AAIAAAAAAADwvwL0jlN0JJf+vwJB8WPMXUvQvwAAAAAYAAAA/PwA/AACAAAAAAAA8L8C71pCPujZ5j8C/Knx0k1i+D8AAAAAIAAAAPz8APwAAgAAAAAAAPC/AnbgnBGlPQXAAh8Wak3zju2/AAAAACQAAAD8/AD8AAIAAAAAAADwvwJ7pSxDHOv7PwItsp3vp8b7vwAAAAAkAAAA/PwA/AACAAAAAAAA8L8CqaROQBNh+D8COUVHcvkPCcAAAAAAJAAAAPz8APwAAgAAAAAAAPC/AiBj7lpCPsA/AtBE2PD0SgfAAAAAACAAAAD8/AD8AAIAAAAAAADwvwKFfNCzWfUAwAL0/dR46SbnPwAAAAAYAAAA/PwA/AACAAAAAAAA8L8CDJOpglFJ8L8C/Knx0k1i+D8AAAAAIAAAAPz8APwAAgAAAAAAAPC/ArmNBvAWSPk/Avyp8dJNYvA/AAAAABgAAAD8/AD8AAIAAAAAAADwvwLvWkI+6NnmPwL+1HjpJjEEQAAAAAAYAAAA/PwA/AACAAAAAAAA8L8CNs07TtGRA0AC/Knx0k1i+D8AAAAAGAAAAPz8APwAAgAAAAAAAPC/AgyTqYJRSfC/Av7UeOkmMQRAAAAAABgAAAD8/AD8AAIAAAAAAADwvwJTliGOdXHDvwL+1HjpJjEIQAAAAAABFQQAAWUEAAAAAAAAAAAIAAFlBAAAAAAAAAAADAgBZQgMAAAAAAAAABAEAWUICAAAAAAAAAAUDAFlBAAAAAAAAAAAGAABZQQAAAAAAAAAABwEAWUEAAAAAAAAAAAgGAFlCAgAAAAAAAAAJBwBZQgAAAAAAAAAACgUAWUEAAAAAAAAAAAsFAFlBAAAAAAAAAAAMBQBZQQAAAAAAAAAADQcAWUEAAAAAAAAAAA4GAFlBAAAAAAAAAAAPCABZQQAAAAAAAAAAAEQIAFlBAAAAAAAAAAAARE8AWUEAAAAAAAAAAABEjgBZQgIAAAAAAAAAAETARABZQgIAAAAAAAAABAMAWUEAAAAAAAAAAABEwESAWUEAAAAAAAAAAAAAAAA</t>
        </r>
      </text>
    </comment>
    <comment ref="A1351" authorId="0" shapeId="0" xr:uid="{158CD0EA-6E93-499F-BBE7-F58075520F29}">
      <text>
        <r>
          <rPr>
            <sz val="9"/>
            <color indexed="81"/>
            <rFont val="MS P ゴシック"/>
            <family val="3"/>
            <charset val="128"/>
          </rPr>
          <t>Insight iXlW00001C0001351R0585476093S00002700P01160LAocjBAQBF1NjaVRlZ2ljLmRhdGEuTW9sZWN1bGUBbwF/ARJTY2lUZWdpYy5Nb2xlY3VsZQAAAQFkAv5qAQAAAAIAAjwBEAAAAPz8APwAAgAAAAAAAPC/Aucdp+hILvi/Ag+cM6K0N+I/AAAAABgAAAD8/AD8AAIAAAAAAADwvwJteHqlLEPMPwLjx5i7lpDbvwAAAAAYAAAA/PwA/AACAAAAAAAA8L8CpwpGJXUC4j8CsAPnjCjt9b8AAAAAIAAAAPz8APwAAgAAAAAAAPC/AmRd3EYD+APAAuELk6mCUdk/AAAAACAAAAD8/AD8AAIAAAAAAADwvwIt1JrmHaf9vwK/nxov3ST4PwAAAAAYAAAA/PwA/AACAAAAAAAA8L8CSnuDL0ym5L8CCM4ZUdob8T8AAAAAGAAAAPz8APwAAgAAAAAAAPC/Aucdp+hILvi/AuPHmLuWkNu/AAAAABgAAAD8/AD8AAIAAAAAAADwvwLu68A5I0rzPwJqTfOOU3TQvwAAAAAYAAAA/PwA/AACAAAAAAAA8L8CbXh6pSxDzD8CD5wzorQ34j8AAAAAGAAAAPz8APwAAgAAAAAAAPC/AmgibHh6peS/AvJjzF1LyO2/AAAAACAAAAD8/AD8AAIAAAAAAADwvwI0orQ3+ML4PwK/DpwzorT4vwAAAAAgAAAA/PwA/AACAAAAAAAA8L8CexSuR+F6tL8CLGUZ4lgXAcAAAAAAGAAAAPz8APwAAgAAAAAAAPC/AjSitDf4wvg/Arn8h/Tb1+U/AAAAABgAAAD8/AD8AAIAAAAAAADwvwIydy0hH/TsPwJ2cRsN4C33PwAAAAAYAAAA/PwA/AACAAAAAAAA8L8Cih9j7lpCBEAC2BLyQc9m6z8AAAAAPAQkAWUEAAAAAAAAAAAIBAFlBAAAAAAAAAAADAABZQgAAAAAAAAAABAAAWUIAAAAAAAAAAAUAAFlBAAAAAAAAAAAGAABZQQAAAAAAAAAABwEAWUEAAAAAAAAAAAgFAFlBAAAAAAAAAAAJBgBZQQAAAAAAAAAACgIAWUIAAAAAAAAAAAsCAFlBAAAAAAAAAAAMBwBZQQAAAAAAAAAADQwAWUEAAAAAAAAAAA4MAFlBAAAAAAAAAAABCABZQQAAAAAAAAAAAAAAAA=</t>
        </r>
      </text>
    </comment>
    <comment ref="A1352" authorId="0" shapeId="0" xr:uid="{8A272B30-B23C-4AC5-B830-932AC59B0BE1}">
      <text>
        <r>
          <rPr>
            <sz val="9"/>
            <color indexed="81"/>
            <rFont val="MS P ゴシック"/>
            <family val="3"/>
            <charset val="128"/>
          </rPr>
          <t>Insight iXlW00001C0001352R0585476093S00002702P01180LAocjBAQBF1NjaVRlZ2ljLmRhdGEuTW9sZWN1bGUBbwF/ARJTY2lUZWdpYy5Nb2xlY3VsZQAAAQFkAv5qAQAAAAIAAjwBEAAAAPz8APwAAgAAAAAAAPC/AjWAt0CC4tO/Al2PwvUoXPk/AAAAABgAAAD8/AD8AAIAAAAAAADwvwI1gLdAguLTvwKQwvUoXI/avwAAAAAYAAAA/PwA/AACAAAAAAAA8L8CUI2XbhKD7r8CveMUHcnl8r8AAAAAIAAAAPz8APwAAgAAAAAAAPC/AlCNl24Sg+6/AgIrhxbZzgJAAAAAACAAAAD8/AD8AAIAAAAAAADwvwI3GsBbIEHVPwICK4cW2c4CQAAAAAAYAAAA/PwA/AACAAAAAAAA8L8CbqMBvAUS9T8Crthfdk8e8L8AAAAAGAAAAPz8APwAAgAAAAAAAPC/AjcawFsgQdU/Ar3jFB3J5fK/AAAAABgAAAD8/AD8AAIAAAAAAADwvwKTOgFNhA0CQAL0jlN0JJf1vwAAAAAYAAAA/PwA/AACAAAAAAAA8L8CRIts5/upAEACTMgHPZtV178AAAAAGAAAAPz8APwAAgAAAAAAAPC/Ak9AE2HD0/K/AlyPwvUoXPE/AAAAABgAAAD8/AD8AAIAAAAAAADwvwJpAG+BBMXhPwJcj8L1KFzxPwAAAAAYAAAA/PwA/AACAAAAAAAA8L8CaQBvgQTF4T8Cw/UoXI/CtT8AAAAAGAAAAPz8APwAAgAAAAAAAPC/Ak9AE2HD0/K/AsP1KFyPwrU/AAAAACAAAAD8/AD8AAIAAAAAAADwvwLFILByaJHjvwK62or9ZfcAwAAAAAAgAAAA/PwA/AACAAAAAAAA8L8CiWNd3EYD/78Crthfdk8e8L8AAAAAARAELAFlBAAAAAAAAAAACAQBZQQAAAAAAAAAAAwAAWUIAAAAAAAAAAAQAAFlCAAAAAAAAAAAFBgBZQQAAAAAAAAAABgEAWUEAAAAAAAAAAAcFAFlBAAAAAAAAAAAIBQBZQQAAAAAAAAAACQAAWUEAAAAAAAAAAAoAAFlBAAAAAAAAAAALCgBZQQAAAAAAAAAADAkAWUEAAAAAAAAAAA0CAFlCAAAAAAAAAAAOAgBZQQAAAAAAAAAAAQwAWUEAAAAAAAAAAAcIAFlBAAAAAAAAAAAAAAAAA==</t>
        </r>
      </text>
    </comment>
    <comment ref="A1353" authorId="0" shapeId="0" xr:uid="{C11414CC-CCD7-4D0A-922C-756BCBAF722B}">
      <text>
        <r>
          <rPr>
            <sz val="9"/>
            <color indexed="81"/>
            <rFont val="MS P ゴシック"/>
            <family val="3"/>
            <charset val="128"/>
          </rPr>
          <t>Insight iXlW00001C0001353R0585476093S00002704P01160LAocjBAQBF1NjaVRlZ2ljLmRhdGEuTW9sZWN1bGUBbwF/ARJTY2lUZWdpYy5Nb2xlY3VsZQAAAQFkAv5qAQAAAAIAAjwcAAAA/PwA/AACAAAAAAAA8L8C+1xtxf6y6T8ClyGOdXEb5T8AAAAAGAAAAPz8APwAAgAAAAAAAPC/Aq36XG3F/qI/AhaMSuoENJE/AAAAABgAAAD8/AD8AAIAAAAAAADwvwL7XG3F/rLpPwLVeOkmMQjkvwAAAAAYAAAA/PwA/AACAAAAAAAA8L8CNYC3QILi+z8C0GbV52or0r8AAAAAGAAAAPz8APwAAgAAAAAAAPC/AjQRNjy9UgFAAgr5oGez6uM/AAAAABgAAAD8/AD8AAIAAAAAAADwvwJR/Bhz15IIQAIBb4EExY/JPwAAAAAYAAAA/PwA/AACAAAAAAAA8L8CN6s+V1sxBUACsVBrmnec5r8AAAAAGAAAAPz8APwAAgAAAAAAAPC/AqtgVFInoN2/AuQUHcnlP+w/AAAAABgAAAD8/AD8AAIAAAAAAADwvwIrGJXUCWj3vwLkFB3J5T/sPwAAAAABEAAAAPz8APwAAgAAAAAAAPC/AisYldQJaP+/AhaMSuoENJE/AAAAACAAAAD8/AD8AAIAAAAAAADwvwKiRbbz/dQFwALVeOkmMQjkvwAAAAAgAAAA/PwA/AACAAAAAAAA8L8CokW28/3UBcAClyGOdXEb5T8AAAAAGAAAAPz8APwAAgAAAAAAAPC/AisYldQJaPe/AiNseHqlLOu/AAAAABgAAAD8/AD8AAIAAAAAAADwvwKrYFRSJ6DdvwIjbHh6pSzrvwAAAAABEQAAAPz8APwAAgAAAAAAAPC/Ardif9k9+Q5AAhaMSuoENJE/AAAAADwABAFlBAAAAAAAAAAABAgBZQQAAAAAAAAAAAgMAWUEAAAAAAAAAAAMEAFlBAAAAAAAAAAAEBQBZQQAAAAAAAAAABQYAWUEAAAAAAAAAAAYDAFlBAAAAAAAAAAABBwBZQQAAAAAAAAAABwgAWUEAAAAAAAAAAAgJAFlBAAAAAAAAAAAJCgBZQgAAAAAAAAAACQsAWUIAAAAAAAAAAAkMAFlBAAAAAAAAAAAMDQBZQQAAAAAAAAAADQEAWUEAAAAAAAAAAAAAAAA</t>
        </r>
      </text>
    </comment>
    <comment ref="A1354" authorId="0" shapeId="0" xr:uid="{63CB985B-46D7-4F28-9AF8-42D461B8ADF8}">
      <text>
        <r>
          <rPr>
            <sz val="9"/>
            <color indexed="81"/>
            <rFont val="MS P ゴシック"/>
            <family val="3"/>
            <charset val="128"/>
          </rPr>
          <t>Insight iXlW00001C0001354R0585476093S00002706P01252LAocjBAQBF1NjaVRlZ2ljLmRhdGEuTW9sZWN1bGUBbwF/ARJTY2lUZWdpYy5Nb2xlY3VsZQAAAQFkAv5qAQAAAAIAAgEQGAAAAPz8APwAAgAAAAAAAPC/AhFYObTI9gVAAiDSb18HztE/AAAAABgAAAD8/AD8AAIAAAAAAADwvwLgT42XbhL+PwLAWyBB8WPMvwAAAAAYAAAA/PwA/AACAAAAAAAA8L8C4E+Nl24S/j8CeAskKH6M878AAAAAGAAAAPz8APwAAgAAAAAAAPC/Ap7vp8ZLN/A/AngLJCh+jPu/AAAAABgAAAD8/AD8AAIAAAAAAADwvwLiehSuR+HCPwJ4CyQofozzvwAAAAAYAAAA/PwA/AACAAAAAAAA8L8C4noUrkfhwj8CwFsgQfFjzL8AAAAAGAAAAPz8APwAAgAAAAAAAPC/Ap7vp8ZLN/A/AiDSb18HztE/AAAAACAAAAD8/AD8AAIAAAAAAADwvwItsp3vp8bpPwLSb18Hzhn0PwAAAAAYAAAA/PwA/AACAAAAAAAA8L8C/tR46SYxyL8CS1mGONbF9T8AAAAAGAAAAPz8APwAAgAAAAAAAPC/AjlFR3L5D+O/AhwN4C2QoNw/AAAAABgAAAD8/AD8AAIAAAAAAADwvwJuxf6ye/LsvwKQMXctIR/gvwAAAAAYAAAA/PwA/AACAAAAAAAA8L8CcoqO5PIf/r8Cnl4pyxDH5r8AAAAAHAAAAPz8APwAAgAAAAAAAPC/AplMFYxKagTAAhHHuriNBqA/AAAAABgAAAD8/AD8AAIAAAAAAADwvwKMbOf7qfEBwAKP5PIf0m/vPwAAAAAYAAAA/PwA/AACAAAAAAAA8L8CXLG/7J489L8CXtxGA3gL8z8AAAAAAREAAAD8/AD8AAIAAAAAAADwvwJ3vp8aL10MQAK1yHa+nxrHvwAAAAABEQAEAWUEAAAAAAAAAAAECAFlBAAAAAAAAAAACAwBZQgIAAAAAAAAAAwQAWUEAAAAAAAAAAAQFAFlCAgAAAAAAAAAFBgBZQQAAAAAAAAAABgEAWUIDAAAAAAAAAAYHAFlBAAAAAAAAAAAHCABZQQAAAAAAAAAACAkAWUEAAAAAAAAAAAkFAFlBAAAAAAAAAAAJCgBZQQAAAAAAAAAACgsAWUEAAAAAAAAAAAsMAFlBAAAAAAAAAAAMDQBZQQAAAAAAAAAADQ4AWUEAAAAAAAAAAA4JAFlBAAAAAAAAAAAAAAAAA==</t>
        </r>
      </text>
    </comment>
    <comment ref="A1355" authorId="0" shapeId="0" xr:uid="{A58189AF-B1C3-421F-9DA5-20F6BEE1433B}">
      <text>
        <r>
          <rPr>
            <sz val="9"/>
            <color indexed="81"/>
            <rFont val="MS P ゴシック"/>
            <family val="3"/>
            <charset val="128"/>
          </rPr>
          <t>Insight iXlW00001C0001355R0585476093S00002708P01468LAocjBAQBF1NjaVRlZ2ljLmRhdGEuTW9sZWN1bGUBbwF/ARJTY2lUZWdpYy5Nb2xlY3VsZQAAAQFkAv5qAQAAAAIAAgETJAAAAPz8APwAAgAAAAAAAPC/AvVKWYY41vu/ArKd76fGSwHAAAAAABgAAAD8/AD8AAIAAAAAAADwvwJ7pSxDHOsBwAIj2/l+arz0vwAAAAAkAAAA/PwA/AACAAAAAAAA8L8CnFWfq63YCMACI9v5fmq8/L8AAAAAJAAAAPz8APwAAgAAAAAAAPC/AnulLEMc6wXAAoXrUbgehdu/AAAAABgAAAD8/AD8AAIAAAAAAADwvwK06nO1Ffv1vwJGtvP91HjpvwAAAAAYAAAA/PwA/AACAAAAAAAA8L8C5BQdyeU/4L8CI9v5fmq89L8AAAAAGAAAAPz8APwAAgAAAAAAAPC/Aj9XW7G/7NY/Aka28/3UeOm/AAAAABgAAAD8/AD8AAIAAAAAAADwvwI/V1uxv+zWPwLqJjEIrBzKPwAAAAAYAAAA/PwA/AACAAAAAAAA8L8C5BQdyeU/4L8Cu0kMAiuH5j8AAAAAIAAAAPz8APwAAgAAAAAAAPC/Am+BBMWPMdO/AiigibDh6fo/AAAAABgAAAD8/AD8AAIAAAAAAADwvwK1pnnHKTrmPwISNjy9Upb8PwAAAAAYAAAA/PwA/AACAAAAAAAA8L8CyQc9m1Wf8T8COGdEaW/w6z8AAAAAGAAAAPz8APwAAgAAAAAAAPC/AogW2c73U/w/AiS5/If02/k/AAAAABgAAAD8/AD8AAIAAAAAAADwvwLpSC7/If0FQAJ/+zpwzoj2PwAAAAAcAAAA/PwA/AACAAAAAAAA8L8CZ9Xnait2CEACwH0dOGdE3T8AAAAAGAAAAPz8APwAAgAAAAAAAPC/AgjOGVHaGwNAAl+YTBWMStK/AAAAABgAAAD8/AD8AAIAAAAAAADwvwJUdCSX/5D2PwIawFsgQfGzvwAAAAAYAAAA/PwA/AACAAAAAAAA8L8CtOpztRX79b8C6iYxCKwcyj8AAAAAAREAAAD8/AD8AAIAAAAAAADwvwLOO07RkdwOQAKJY13cRgPIvwAAAAABFAAEAWUEAAAAAAAAAAAECAFlBAAAAAAAAAAABAwBZQQAAAAAAAAAAAQQAWUEAAAAAAAAAAAQFAFlCAwAAAAAAAAAFBgBZQQAAAAAAAAAABgcAWUICAAAAAAAAAAcIAFlBAAAAAAAAAAAICQBZQQAAAAAAAAAACQoAWUEAAAAAAAAAAAoLAFlBAAAAAAAAAAALBwBZQQAAAAAAAAAACwwAWUEAAAAAAAAAAAwNAFlBAAAAAAAAAAANDgBZQQAAAAAAAAAADg8AWUEAAAAAAAAAAA8ARABZQQAAAAAAAAAAAEQLAFlBAAAAAAAAAAAIAERAWUICAAAAAAAAAABERABZQQAAAAAAAAAAAAAAAA=</t>
        </r>
      </text>
    </comment>
    <comment ref="A1356" authorId="0" shapeId="0" xr:uid="{7EB754B2-8E24-4F54-8DA3-89B281787BB9}">
      <text>
        <r>
          <rPr>
            <sz val="9"/>
            <color indexed="81"/>
            <rFont val="MS P ゴシック"/>
            <family val="3"/>
            <charset val="128"/>
          </rPr>
          <t>Insight iXlW00001C0001356R0585476093S00002710P01160LAocjBAQBF1NjaVRlZ2ljLmRhdGEuTW9sZWN1bGUBbwF/ARJTY2lUZWdpYy5Nb2xlY3VsZQAAAQFkAv5qAQAAAAIAAjwBEAAAAPz8APwAAgAAAAAAAPC/Al+YTBWMSta/AsWPMXctIfs/AAAAABgAAAD8/AD8AAIAAAAAAADwvwJmGeJYF7fvvwJU46WbxCDxvwAAAAAYAAAA/PwA/AACAAAAAAAA8L8CX5hMFYxK1r8C7MA5I0p7078AAAAAIAAAAPz8APwAAgAAAAAAAPC/AmYZ4lgXt++/AjerPldbsQNAAAAAACAAAAD8/AD8AAIAAAAAAADwvwINAiuHFtnSPwI3qz5XW7EDQAAAAAAYAAAA/PwA/AACAAAAAAAA8L8CVHQkl/+Q4D8CxY8xdy0h8z8AAAAAGAAAAPz8APwAAgAAAAAAAPC/AlqGONbFbfO/AsWPMXctIfM/AAAAACAAAAD8/AD8AAIAAAAAAADwvwLarPpcbcXkvwKGWtO84xQAwAAAAAAYAAAA/PwA/AACAAAAAAAA8L8CVHQkl/+Q4D8CKH6MuWsJyT8AAAAAGAAAAPz8APwAAgAAAAAAAPC/AlqGONbFbfO/Aih+jLlrCck/AAAAACAAAAD8/AD8AAIAAAAAAADwvwKTqYJRSZ3/vwKKsOHplbLsvwAAAAAYAAAA/PwA/AACAAAAAAAA8L8CDQIrhxbZ0j8CVOOlm8Qg8b8AAAAAIAAAAPz8APwAAgAAAAAAAPC/Av9D+u3rwP4/Au2ePCzUmvq/AAAAABgAAAD8/AD8AAIAAAAAAADwvwJkXdxGA3j0PwKKsOHplbLsvwAAAAAYAAAA/PwA/AACAAAAAAAA8L8CcPCFyVRBB0ACT0ATYcPT978AAAAAPAQIAWUEAAAAAAAAAAAIJAFlBAAAAAAAAAAADAABZQgAAAAAAAAAABAAAWUIAAAAAAAAAAAUAAFlBAAAAAAAAAAAGAABZQQAAAAAAAAAABwEAWUIAAAAAAAAAAAgFAFlBAAAAAAAAAAAJBgBZQQAAAAAAAAAACgEAWUEAAAAAAAAAAAsCAFlBAAAAAAAAAAAMDQBZQQAAAAAAAAAADQsAWUEAAAAAAAAAAA4MAFlBAAAAAAAAAAACCABZQQAAAAAAAAAAAAAAAA=</t>
        </r>
      </text>
    </comment>
    <comment ref="A1357" authorId="0" shapeId="0" xr:uid="{5513C742-F666-489E-A03D-2A7302A3A7D8}">
      <text>
        <r>
          <rPr>
            <sz val="9"/>
            <color indexed="81"/>
            <rFont val="MS P ゴシック"/>
            <family val="3"/>
            <charset val="128"/>
          </rPr>
          <t>Insight iXlW00001C0001357R0585476093S00002712P01452LAocjBAQBF1NjaVRlZ2ljLmRhdGEuTW9sZWN1bGUBbwF/ARJTY2lUZWdpYy5Nb2xlY3VsZQAAAQFkAv5qAQAAAAIAAgETIAAAAPz8APwAAgAAAAAAAPC/Av5l9+RhIQPAAljKMsSxLuy/AAAAABgAAAD8/AD8AAIAAAAAAADwvwIbL90kBoH2vwLKw0Ktad7wvwAAAAAgAAAA/PwA/AACAAAAAAAA8L8CZMxdS8gH8b8CgZVDi2zn/78AAAAAGAAAAPz8APwAAgAAAAAAAPC/AgCRfvs6cOi/Aoj029eBc9K/AAAAABgAAAD8/AD8AAIAAAAAAADwvwJQHhZqTfO+vwLKw0Ktad7wvwAAAAAYAAAA/PwA/AACAAAAAAAA8L8C93XgnBGl6z8CWMoyxLEu7L8AAAAAGAAAAPz8APwAAgAAAAAAAPC/AkHxY8xdS/M/AmmR7Xw/Na4/AAAAABgAAAD8/AD8AAIAAAAAAADwvwIRx7q4jYYBQALUvOMUHcnNPwAAAAAYAAAA/PwA/AACAAAAAAAA8L8CX7pJDAKrBkAC/fZ14JwR4b8AAAAAGAAAAPz8APwAAgAAAAAAAPC/AjzfT42X7gNAAjbNO07Rkfe/AAAAABwAAAD8/AD8AAIAAAAAAADwvwKXIY51cRv4PwLUK2UZ4lj6vwAAAAAYAAAA/PwA/AACAAAAAAAA8L8CHHxhMlUwuj8C8BZIUPwYyz8AAAAAGAAAAPz8APwAAgAAAAAAAPC/Ahx8YTJVMLo/At4CCYofY/M/AAAAAAEQAAAA/PwA/AACAAAAAAAA8L8CAJF++zpw6L8C3gIJih9j+z8AAAAAIAAAAPz8APwAAgAAAAAAAPC/Ahsv3SQGgfa/AsNkqmBU0gNAAAAAACAAAAD8/AD8AAIAAAAAAADwvwJQHhZqTfO+vwLDZKpgVNIDQAAAAAAYAAAA/PwA/AACAAAAAAAA8L8CwqikTkAT+r8C3gIJih9j8z8AAAAAGAAAAPz8APwAAgAAAAAAAPC/AsKopE5AE/q/AvAWSFD8GMs/AAAAAAERAAAA/PwA/AACAAAAAAAA8L8CxSCwcmgRDUAC2IFzRpT2zj8AAAAAARMABAFlBAAAAAAAAAAABAgBZQgAAAAAAAAAAAQMAWUEAAAAAAAAAAAMEAFlBAAAAAAAAAAAEBQBZQQAAAAAAAAAABQYAWUIDAAAAAAAAAAYHAFlBAAAAAAAAAAAHCABZQgIAAAAAAAAACAkAWUEAAAAAAAAAAAkKAFlCAgAAAAAAAAAKBQBZQQAAAAAAAAAAAwsAWUEAAAAAAAAAAAsMAFlBAAAAAAAAAAAMDQBZQQAAAAAAAAAADQ4AWUIAAAAAAAAAAA0PAFlCAAAAAAAAAAANAEQAWUEAAAAAAAAAAABEAERAWUEAAAAAAAAAAABEQwBZQQAAAAAAAAAAAAAAAA=</t>
        </r>
      </text>
    </comment>
    <comment ref="A1358" authorId="0" shapeId="0" xr:uid="{02E34E72-9B79-4E98-8D79-105A26B37FA4}">
      <text>
        <r>
          <rPr>
            <sz val="9"/>
            <color indexed="81"/>
            <rFont val="MS P ゴシック"/>
            <family val="3"/>
            <charset val="128"/>
          </rPr>
          <t>Insight iXlW00001C0001358R0585476093S00002714P01020LAocjBAQBF1NjaVRlZ2ljLmRhdGEuTW9sZWN1bGUBbwF/ARJTY2lUZWdpYy5Nb2xlY3VsZQAAAQFkAv5qAQAAAAIAAjQBEAAAAPz8APwAAgAAAAAAAPC/AqH4MeauJfu/AoxK6gQ0EaY/AAAAACAAAAD8/AD8AAIAAAAAAADwvwKl374OnLMDwAKNKO0NvjDjvwAAAAAgAAAA/PwA/AACAAAAAAAA8L8Cpd++DpyzA8AC33GKjuTy5T8AAAAAGAAAAPz8APwAAgAAAAAAAPC/An4dOGdEadM/AoxK6gQ0EaY/AAAAABgAAAD8/AD8AAIAAAAAAADwvwKh+DHmriXzvwLbG3xhMlXqvwAAAAAYAAAA/PwA/AACAAAAAAAA8L8Cofgx5q4l878CLGUZ4lgX7T8AAAAAGAAAAPz8APwAAgAAAAAAAPC/AgXFjzF3Lcm/AixlGeJYF+0/AAAAABgAAAD8/AD8AAIAAAAAAADwvwIFxY8xdy3JvwLbG3xhMlXqvwAAAAAcAAAA/PwA/AACAAAAAAAA8L8CeXqlLEMc8T8C33GKjuTy5T8AAAAAGAAAAPz8APwAAgAAAAAAAPC/Anl6pSxDHPE/Ao0o7Q2+MOO/AAAAABgAAAD8/AD8AAIAAAAAAADwvwIYJlMFoxIAQAIDeAskKH7QvwAAAAAYAAAA/PwA/AACAAAAAAAA8L8CZ9Xnait2AUACwH0dOGdE5z8AAAAAGAAAAPz8APwAAgAAAAAAAPC/AmwJ+aBnMwZAAjiJQWDl0Oy/AAAAADQEAAFlCAAAAAAAAAAACAABZQgAAAAAAAAAAAwcAWUEAAAAAAAAAAAQAAFlBAAAAAAAAAAAFAABZQQAAAAAAAAAABgUAWUEAAAAAAAAAAAcEAFlBAAAAAAAAAAAIAwBZQQAAAAAAAAAACQMAWUEAAAAAAAAAAAoJAFlBAAAAAAAAAAALCgBZQQAAAAAAAAAADAoAWUEAAAAAAAAAAAMGAFlBAAAAAAAAAAAAAAAAA==</t>
        </r>
      </text>
    </comment>
    <comment ref="A1359" authorId="0" shapeId="0" xr:uid="{5260EBF2-0E31-4118-B102-69029DC89AC2}">
      <text>
        <r>
          <rPr>
            <sz val="9"/>
            <color indexed="81"/>
            <rFont val="MS P ゴシック"/>
            <family val="3"/>
            <charset val="128"/>
          </rPr>
          <t>Insight iXlW00001C0001359R0585476093S00002716P01360LAocjBAQBF1NjaVRlZ2ljLmRhdGEuTW9sZWN1bGUBbwF/ARJTY2lUZWdpYy5Nb2xlY3VsZQAAAQFkAv5qAQAAAAIAAgESHAAAAPz8APwAAgAAAAAAAPC/AvCnxks3idk/AlH8GHPXEuQ/AAAAABgAAAD8/AD8AAIAAAAAAADwvwKwcmiR7XzXvwJYObTIdr6PvwAAAAAYAAAA/PwA/AACAAAAAAAA8L8C8KfGSzeJ2T8CG55eKcsQ5b8AAAAAGAAAAPz8APwAAgAAAAAAAPC/ArN78rBQa/U/Alyxv+yePNS/AAAAABgAAAD8/AD8AAIAAAAAAADwvwLChqdXyjL4PwIUYcPTK2XlPwAAAAAYAAAA/PwA/AACAAAAAAAA8L8CBFYOLbKdA0ACz2bV52or8D8AAAAAGAAAAPz8APwAAgAAAAAAAPC/Alg5tMh2vglAAtIA3gIJitc/AAAAABgAAAD8/AD8AAIAAAAAAADwvwIJih9j7loIQAJYObTIdr7jvwAAAAAcAAAA/PwA/AACAAAAAAAA8L8CLiEf9GzWAEAC5KWbxCCw7r8AAAAAGAAAAPz8APwAAgAAAAAAAPC/Alg5tMh2vuu/Ap7vp8ZLN+s/AAAAABgAAAD8/AD8AAIAAAAAAADwvwKsHFpkO9/9vwKe76fGSzfrPwAAAAABEAAAAPz8APwAAgAAAAAAAPC/AlYOLbKd7wLAAlg5tMh2vo+/AAAAACAAAAD8/AD8AAIAAAAAAADwvwLjx5i7lhAJwAIbnl4pyxDlvwAAAAAgAAAA/PwA/AACAAAAAAAA8L8C48eYu5YQCcACUfwYc9cS5D8AAAAAGAAAAPz8APwAAgAAAAAAAPC/AqwcWmQ73/2/AmmR7Xw/Ney/AAAAABgAAAD8/AD8AAIAAAAAAADwvwJYObTIdr7rvwJpke18PzXsvwAAAAABEQAAAPz8APwAAgAAAAAAAPC/At9PjZduEhBAAoiFWtO844Q/AAAAAAERAAAA/PwA/AACAAAAAAAA8L8CbsX+snsyFEACUdobfGEypT8AAAAAAREABAFlBAAAAAAAAAAABAgBZQQAAAAAAAAAAAgMAWUEAAAAAAAAAAAMEAFlCAwAAAAAAAAAEBQBZQQAAAAAAAAAABQYAWUICAAAAAAAAAAYHAFlBAAAAAAAAAAAHCABZQgIAAAAAAAAACAMAWUEAAAAAAAAAAAEJAFlBAAAAAAAAAAAJCgBZQQAAAAAAAAAACgsAWUEAAAAAAAAAAAsMAFlCAAAAAAAAAAALDQBZQgAAAAAAAAAACw4AWUEAAAAAAAAAAA4PAFlBAAAAAAAAAAAPAQBZQQAAAAAAAAAAAAAAAA=</t>
        </r>
      </text>
    </comment>
    <comment ref="A1360" authorId="0" shapeId="0" xr:uid="{56321C70-1DC0-444B-89C3-17DFB09FB241}">
      <text>
        <r>
          <rPr>
            <sz val="9"/>
            <color indexed="81"/>
            <rFont val="MS P ゴシック"/>
            <family val="3"/>
            <charset val="128"/>
          </rPr>
          <t>Insight iXlW00001C0001360R0585476093S00002718P01324LAocjBAQBF1NjaVRlZ2ljLmRhdGEuTW9sZWN1bGUBbwF/ARJTY2lUZWdpYy5Nb2xlY3VsZQAAAQFkAv5qAQAAAAIAAgERGAAAAPz8APwAAgAAAAAAAPC/AjWAt0CC4sc/AlFrmnecotM/AAAAABgAAAD8/AD8AAIAAAAAAADwvwJR2ht8YTLdvwIUYcPTK2XdvwAAAAAYAAAA/PwA/AACAAAAAAAA8L8CQ61p3nGK6j8CFGHD0ytl3b8AAAAAGAAAAPz8APwAAgAAAAAAAPC/AoJzRpT2Bv0/Atc07zhFR9K/AAAAABgAAAD8/AD8AAIAAAAAAADwvwIE54wo7Q33vwKb5h2n6EjSvwAAAAAgAAAA/PwA/AACAAAAAAAA8L8C5BQdyeU/AUACAwmKH2Pu5D8AAAAAIAAAAPz8APwAAgAAAAAAAPC/AjWAt0CC4sc/AmpN845TdAJAAAAAACAAAAD8/AD8AAIAAAAAAADwvwIPLbKd76cDQAJPQBNhw9PwvwAAAAAYAAAA/PwA/AACAAAAAAAA8L8CduCcEaW95b8CqTXNO07R6T8AAAAAGAAAAPz8APwAAgAAAAAAAPC/AkhQ/Bhz1/A/Aqk1zTtO0ek/AAAAABgAAAD8/AD8AAIAAAAAAADwvwLrBDQRNjy9vwL8qfHSTWL2vwAAAAAYAAAA/PwA/AACAAAAAAAA8L8CduCcEaW95b8C1ZrmHafo/D8AAAAAGAAAAPz8APwAAgAAAAAAAPC/AkhQ/Bhz1/A/AtWa5h2n6Pw/AAAAABgAAAD8/AD8AAIAAAAAAADwvwK7SQwCK4f8vwIhsHJoke3kPwAAAAAYAAAA/PwA/AACAAAAAAAA8L8Cz2bV52qrAMACT0ATYcPT8L8AAAAAGAAAAPz8APwAAgAAAAAAAPC/AtNNYhBYOei/AlK4HoXrUQHAAAAAABgAAAD8/AD8AAIAAAAAAADwvwJZF7fRAN77vwIGEhQ/xtz/vwAAAAABEgQAAWUEAAAAAAAAAAAIAAFlBAAAAAAAAAAADAgBZQQAAAAAAAAAABAEAWUICAAAAAAAAAAUDAFlCAAAAAAAAAAAGDABZQQAAAAAAAAAABwMAWUEAAAAAAAAAAAgAAFlBAAAAAAAAAAAJAABZQQAAAAAAAAAACgEAWUEAAAAAAAAAAAsIAFlBAAAAAAAAAAAMCQBZQQAAAAAAAAAADQQAWUEAAAAAAAAAAA4EAFlBAAAAAAAAAAAPCgBZQgIAAAAAAAAAAEQOAFlCAgAAAAAAAAAGCwBZQQAAAAAAAAAADwBEAFlBAAAAAAAAAAAAAAAAA==</t>
        </r>
      </text>
    </comment>
    <comment ref="A1361" authorId="0" shapeId="0" xr:uid="{1742D48D-8727-4C92-AF86-6B7285717D02}">
      <text>
        <r>
          <rPr>
            <sz val="9"/>
            <color indexed="81"/>
            <rFont val="MS P ゴシック"/>
            <family val="3"/>
            <charset val="128"/>
          </rPr>
          <t>Insight iXlW00001C0001361R0585476093S00002720P00904LAocjBAQBF1NjaVRlZ2ljLmRhdGEuTW9sZWN1bGUBbwF/ARJTY2lUZWdpYy5Nb2xlY3VsZQAAAQFkAv5qAQAAAAIAAjAcAAAA/PwA/AACAAAAAAAA8L8C1QloImx4wj8CAAAAAAAA4D8AAAAAGAAAAPz8APwAAgAAAAAAAPC/Ag6+MJkqGOe/AAAAAAAYAAAA/PwA/AACAAAAAAAA8L8CfGEyVTAq8D8AAAAAABgAAAD8/AD8AAIAAAAAAADwvwIvbqMBvAX+PwIAAAAAAADgPwAAAAAcAAAA/PwA/AACAAAAAAAA8L8CDr4wmSoY578CAAAAAAAA8L8AAAAAIAAAAPz8APwAAgAAAAAAAPC/Ai9uowG8Bf4/AgAAAAAAAPg/AAAAABgAAAD8/AD8AAIAAAAAAADwvwJ8YTJVMCrwPwIAAAAAAADwvwAAAAAgAAAA/PwA/AACAAAAAAAA8L8COGdEaW/wBUAAAAAAABgAAAD8/AD8AAIAAAAAAADwvwLVCWgibHjCPwIAAAAAAAD4vwAAAAAgAAAA/PwA/AACAAAAAAAA8L8CSb99HThn+b8CAAAAAAAA4D8AAAAAGAAAAPz8APwAAgAAAAAAAPC/AsWPMXctoQPAAAAAAAAYAAAA/PwA/AACAAAAAAAA8L8C5j+k376OCsACAAAAAAAA4D8AAAAAMAQAAWUICAAAAAAAAAAIAAFlBAAAAAAAAAAADAgBZQQAAAAAAAAAABAEAWUEAAAAAAAAAAAUDAFlCAAAAAAAAAAAGAgBZQgIAAAAAAAAABwMAWUEAAAAAAAAAAAgEAFlCAgAAAAAAAAAJAQBZQQAAAAAAAAAACgkAWUEAAAAAAAAAAAsKAFlBAAAAAAAAAAAGCABZQQAAAAAAAAAAAAAAAA=</t>
        </r>
      </text>
    </comment>
    <comment ref="A1362" authorId="0" shapeId="0" xr:uid="{12C1CC12-C7FD-40F6-8819-550939411027}">
      <text>
        <r>
          <rPr>
            <sz val="9"/>
            <color indexed="81"/>
            <rFont val="MS P ゴシック"/>
            <family val="3"/>
            <charset val="128"/>
          </rPr>
          <t>Insight iXlW00001C0001362R0585476093S00002722P01088LAocjBAQBF1NjaVRlZ2ljLmRhdGEuTW9sZWN1bGUBbwF/ARJTY2lUZWdpYy5Nb2xlY3VsZQAAAQFkAv5qAQAAAAIAAjgcAAAA/PwA/AACAAAAAAAA8L8Csi5uowG86T8CZhniWBe33T8AAAAAGAAAAPz8APwAAgAAAAAAAPC/AhUdyeU/pK+/Atc07zhFR6K/AAAAABgAAAD8/AD8AAIAAAAAAADwvwKbd5yiI7n6PwLXNO84RUeivwAAAAAYAAAA/PwA/AACAAAAAAAA8L8C7uvAOSNKBEACZhniWBe33T8AAAAAHAAAAPz8APwAAgAAAAAAAPC/AhUdyeU/pK+/Aqd5xyk6kvC/AAAAACAAAAD8/AD8AAIAAAAAAADwvwLu68A5I0oEQAJahjjWxW33PwAAAAAYAAAA/PwA/AACAAAAAAAA8L8Cm3ecoiO5+j8Cp3nHKTqS8L8AAAAAIAAAAPz8APwAAgAAAAAAAPC/Ag+cM6K0NwtAAtc07zhFR6K/AAAAABgAAAD8/AD8AAIAAAAAAADwvwKyLm6jAbzpPwKneccpOpL4vwAAAAAgAAAA/PwA/AACAAAAAAAA8L8CN6s+V1ux7b8CZhniWBe33T8AAAAAIAAAAPz8APwAAgAAAAAAAPC/AjC7Jw8LNQzAAtc07zhFR6K/AAAAABgAAAD8/AD8AAIAAAAAAADwvwLdtYR80LP8vwLXNO84RUeivwAAAAAYAAAA/PwA/AACAAAAAAAA8L8CDwu1pnlHBcACZhniWBe33T8AAAAAGAAAAPz8APwAAgAAAAAAAPC/AsUgsHJokRHAAmYZ4lgXt90/AAAAADgEAAFlCAgAAAAAAAAACAABZQQAAAAAAAAAAAwIAWUEAAAAAAAAAAAQBAFlBAAAAAAAAAAAFAwBZQgAAAAAAAAAABgIAWUICAAAAAAAAAAcDAFlBAAAAAAAAAAAIBABZQgIAAAAAAAAACQEAWUEAAAAAAAAAAAoMAFlBAAAAAAAAAAALCQBZQQAAAAAAAAAADAsAWUEAAAAAAAAAAA0KAFlBAAAAAAAAAAAGCABZQQAAAAAAAAAAAAAAAA=</t>
        </r>
      </text>
    </comment>
    <comment ref="A1363" authorId="0" shapeId="0" xr:uid="{D6AF463E-1E0E-4F31-B4B6-CFEEF0610C95}">
      <text>
        <r>
          <rPr>
            <sz val="9"/>
            <color indexed="81"/>
            <rFont val="MS P ゴシック"/>
            <family val="3"/>
            <charset val="128"/>
          </rPr>
          <t>Insight iXlW00001C0001363R0585476093S00002724P01104LAocjBAQBF1NjaVRlZ2ljLmRhdGEuTW9sZWN1bGUBbwF/ARJTY2lUZWdpYy5Nb2xlY3VsZQAAAQFkAv5qAQAAAAIAAjgcAAAA/PwA/AACAAAAAAAA8L8CsVBrmnec3r8CN6s+V1uxr78AAAAAGAAAAPz8APwAAgAAAAAAAPC/Am40gLdAgvW/ArTqc7UV++G/AAAAABgAAAD8/AD8AAIAAAAAAADwvwJYyjLEsa4BwAI3qz5XW7GvvwAAAAAYAAAA/PwA/AACAAAAAAAA8L8CVjAqqRPQ2D8CtOpztRX74b8AAAAAHAAAAPz8APwAAgAAAAAAAPC/Am40gLdAgvW/Alr1udqK/fi/AAAAABgAAAD8/AD8AAIAAAAAAADwvwKFfNCzWfUAQAKnCkYldQL3PwAAAAAYAAAA/PwA/AACAAAAAAAA8L8CTaYKRiX1CEACpwpGJXUC9z8AAAAAGAAAAPz8APwAAgAAAAAAAPC/AoV80LNZ9QRAAq2L22gAbwJAAAAAABgAAAD8/AD8AAIAAAAAAADwvwJWMCqpE9DYPwJa9bnaiv34vwAAAAAgAAAA/PwA/AACAAAAAAAA8L8CeXqlLEOcCMACtOpztRX74b8AAAAAIAAAAPz8APwAAgAAAAAAAPC/AlfsL7snD/Q/AjerPldbsa+/AAAAABgAAAD8/AD8AAIAAAAAAADwvwKxUGuad5zevwKt+lxtxX4AwAAAAAAYAAAA/PwA/AACAAAAAAAA8L8CV+wvuycP9D8CTRWMSuoE7j8AAAAAIAAAAPz8APwAAgAAAAAAAPC/AljKMsSxrgHAAk0VjErqBO4/AAAAADwEAAFlCAwAAAAAAAAACAQBZQQAAAAAAAAAAAwAAWUEAAAAAAAAAAAQBAFlBAAAAAAAAAAAFDABZQQAAAAAAAAAABgUAWUEAAAAAAAAAAAcFAFlBAAAAAAAAAAAIAwBZQgIAAAAAAAAACQIAWUIAAAAAAAAAAAoDAFlBAAAAAAAAAAALCABZQQAAAAAAAAAADAoAWUEAAAAAAAAAAA0CAFlBAAAAAAAAAAAECwBZQgIAAAAAAAAABgcAWUEAAAAAAAAAAAAAAAA</t>
        </r>
      </text>
    </comment>
    <comment ref="A1364" authorId="0" shapeId="0" xr:uid="{1C819216-5915-4CE6-B73B-2D4AC95237FA}">
      <text>
        <r>
          <rPr>
            <sz val="9"/>
            <color indexed="81"/>
            <rFont val="MS P ゴシック"/>
            <family val="3"/>
            <charset val="128"/>
          </rPr>
          <t>Insight iXlW00001C0001364R0585476093S00002726P01160LAocjBAQBF1NjaVRlZ2ljLmRhdGEuTW9sZWN1bGUBbwF/ARJTY2lUZWdpYy5Nb2xlY3VsZQAAAQFkAv5qAQAAAAIAAjwYAAAA/PwA/AACAAAAAAAA8L8CNBE2PL1S9L8COUVHcvkPwb8AAAAAGAAAAPz8APwAAgAAAAAAAPC/AsrDQq1p3tm/AmRd3EYDeNc/AAAAABgAAAD8/AD8AAIAAAAAAADwvwIijnVxG40BQAI5RUdy+Q/BvwAAAAAYAAAA/PwA/AACAAAAAAAA8L8CNBE2PL1S9L8Cp+hILv8h8r8AAAAAHAAAAPz8APwAAgAAAAAAAPC/Aru4jQbwFgHAAmRd3EYDeNc/AAAAABwAAAD8/AD8AAIAAAAAAADwvwIGEhQ/xtzZvwJZF7fRAN71PwAAAAAgAAAA/PwA/AACAAAAAAAA8L8CAW+BBMWP3T8COUVHcvkPwb8AAAAAIAAAAPz8APwAAgAAAAAAAPC/AgYSFD/G3Nm/AqfoSC7/Ifq/AAAAABgAAAD8/AD8AAIAAAAAAADwvwICvAUSFD/1PwJkXdxGA3jXPwAAAAAkAAAA/PwA/AACAAAAAAAA8L8CIo51cRuNBUACNe84RUdy5z8AAAAAJAAAAPz8APwAAgAAAAAAAPC/AkM+6NmseghAAk/RkVz+Q+S/AAAAACQAAAD8/AD8AAIAAAAAAADwvwJEHOviNhr7PwK06nO1FfvvvwAAAAAgAAAA/PwA/AACAAAAAAAA8L8Cu7iNBvAWAcACp+hILv8h+r8AAAAAGAAAAPz8APwAAgAAAAAAAPC/Aru4jQbwFgHAAuhqK/aX3fU/AAAAABgAAAD8/AD8AAIAAAAAAADwvwI0ETY8vVL0vwLoaiv2l939PwAAAAA8BAABZQQAAAAAAAAAAAggAWUEAAAAAAAAAAAMAAFlBAAAAAAAAAAAEAABZQgIAAAAAAAAABQEAWUICAAAAAAAAAAYBAFlBAAAAAAAAAAAHAwBZQgAAAAAAAAAACAYAWUEAAAAAAAAAAAkCAFlBAAAAAAAAAAAKAgBZQQAAAAAAAAAACwIAWUEAAAAAAAAAAAwDAFlBAAAAAAAAAAANBABZQQAAAAAAAAAADg0AWUICAAAAAAAAAAUOAFlBAAAAAAAAAAAAAAAAA==</t>
        </r>
      </text>
    </comment>
    <comment ref="A1365" authorId="0" shapeId="0" xr:uid="{66385611-41EF-4701-9825-3B864479385B}">
      <text>
        <r>
          <rPr>
            <sz val="9"/>
            <color indexed="81"/>
            <rFont val="MS P ゴシック"/>
            <family val="3"/>
            <charset val="128"/>
          </rPr>
          <t>Insight iXlW00001C0001365R0585476093S00002728P01196LAocjBAQBF1NjaVRlZ2ljLmRhdGEuTW9sZWN1bGUBbwF/ARJTY2lUZWdpYy5Nb2xlY3VsZQAAAQFkAv5qAQAAAAIAAjwYAAAA/PwA/AACAAAAAAAA8L8Cnu+nxks38L8CvXSTGARW2j8AAAAAGAAAAPz8APwAAgAAAAAAAPC/AuJ6FK5H4cK/Ag8tsp3vp7a/AAAAACAAAAD8/AD8AAIAAAAAAADwvwIQC7WmecfpvwIIrBxaZDv2PwAAAAAYAAAA/PwA/AACAAAAAAAA8L8COUVHcvkP4z8C3NeBc0aU4j8AAAAAGAAAAPz8APwAAgAAAAAAAPC/AuBPjZduEv6/Ag8tsp3vp7a/AAAAABgAAAD8/AD8AAIAAAAAAADwvwLiehSuR+HCvwLRItv5fmrxvwAAAAAYAAAA/PwA/AACAAAAAAAA8L8CdnEbDeAtyD8C8kHPZtXn9z8AAAAAHAAAAPz8APwAAgAAAAAAAPC/AtEi2/l+agRAAg6+MJkqGMU/AAAAABgAAAD8/AD8AAIAAAAAAADwvwLgT42XbhL+vwLRItv5fmrxvwAAAAAYAAAA/PwA/AACAAAAAAAA8L8Cnu+nxks38L8C0SLb+X5q+b8AAAAAAREAAAD8/AD8AAIAAAAAAADwvwIRWDm0yPYFwALRItv5fmr5vwAAAAAYAAAA/PwA/AACAAAAAAAA8L8CXLG/7J489D8CdnEbDeAt9T8AAAAAGAAAAPz8APwAAgAAAAAAAPC/AlAeFmpN8+w/Ar8OnDOitNe/AAAAABgAAAD8/AD8AAIAAAAAAADwvwJTliGOdfEBQAJgB84ZUdrxPwAAAAAYAAAA/PwA/AACAAAAAAAA8L8C4zYawFsg/j8CjNtoAG+B4r8AAAAAAREEAAFlCAgAAAAAAAAACAABZQQAAAAAAAAAAAwEAWUEAAAAAAAAAAAQAAFlBAAAAAAAAAAAFAQBZQQAAAAAAAAAABgIAWUEAAAAAAAAAAAcNAFlBAAAAAAAAAAAIBABZQgMAAAAAAAAACQUAWUICAAAAAAAAAAoIAFlBAAAAAAAAAAALAwBZQQAAAAAAAAAADAMAWUEAAAAAAAAAAA0LAFlBAAAAAAAAAAAODABZQQAAAAAAAAAABgMAWUEAAAAAAAAAAAgJAFlBAAAAAAAAAAAHDgBZQQAAAAAAAAAAAAAAAA=</t>
        </r>
      </text>
    </comment>
    <comment ref="A1366" authorId="0" shapeId="0" xr:uid="{BBFF2312-E26B-4704-ADE3-B4D849C757A0}">
      <text>
        <r>
          <rPr>
            <sz val="9"/>
            <color indexed="81"/>
            <rFont val="MS P ゴシック"/>
            <family val="3"/>
            <charset val="128"/>
          </rPr>
          <t>Insight iXlW00001C0001366R0585476093S00002730P01544LAocjBAQBF1NjaVRlZ2ljLmRhdGEuTW9sZWN1bGUBbwF/ARJTY2lUZWdpYy5Nb2xlY3VsZQAAAQFkAv5qAQAAAAIAAgEUARAAAAD8/AD8AAIAAAAAAADwvwKD4seYu5bqvwJEi2zn+6n/PwAAAAAYAAAA/PwA/AACAAAAAAAA8L8Cg+LHmLuW6r8CGy/dJAaBlb8AAAAAGAAAAPz8APwAAgAAAAAAAPC/AtzXgXNGlPe/Asl2vp8aL+m/AAAAABgAAAD8/AD8AAIAAAAAAADwvwIzVTAqqRPIvwLJdr6fGi/pvwAAAAAgAAAA/PwA/AACAAAAAAAA8L8C3NeBc0aU978CL/8h/fb1BUAAAAAAIAAAAPz8APwAAgAAAAAAAPC/AjNVMCqpE8i/Ai//If329QVAAAAAABgAAAD8/AD8AAIAAAAAAADwvwJ1JJf/kH7pPwKNuWsJ+aDjvwAAAAAYAAAA/PwA/AACAAAAAAAA8L8Cg1FJnYAm+78CRIts5/up9z8AAAAAGAAAAPz8APwAAgAAAAAAAPC/Ag3gLZCg+KE/AkSLbOf7qfc/AAAAABgAAAD8/AD8AAIAAAAAAADwvwIN4C2QoPihPwIPLbKd76fePwAAAAAYAAAA/PwA/AACAAAAAAAA8L8Cg1FJnYAm+78CDy2yne+n3j8AAAAAIAAAAPz8APwAAgAAAAAAAPC/ApchjnVxG/K/AhwN4C2QoPu/AAAAABgAAAD8/AD8AAIAAAAAAADwvwLVeOkmMQj3PwJuowG8BRL2vwAAAAAgAAAA/PwA/AACAAAAAAAA8L8CXrpJDAKrA8ACjblrCfmg478AAAAAIAAAAPz8APwAAgAAAAAAAPC/ApDC9Shcj/E/ApM6AU2EjQLAAAAAABgAAAD8/AD8AAIAAAAAAADwvwKASL99HTjyPwLE0ytlGeLUPwAAAAAYAAAA/PwA/AACAAAAAAAA8L8C24r9ZfdkA0ACX5hMFYxK878AAAAAGAAAAPz8APwAAgAAAAAAAPC/Au9aQj7o2bw/AhrAWyBB8QPAAAAAABgAAAD8/AD8AAIAAAAAAADwvwKwcmiR7fwAQAIAAAAAAADgPwAAAAAYAAAA/PwA/AACAAAAAAAA8L8C/mX35GEhBkACoBov3SQG0b8AAAAAARUEJAFlBAAAAAAAAAAACAQBZQQAAAAAAAAAAAwEAWUEAAAAAAAAAAAQAAFlCAAAAAAAAAAAFAABZQgAAAAAAAAAABgMAWUEAAAAAAAAAAAcAAFlBAAAAAAAAAAAIAABZQQAAAAAAAAAACQgAWUEAAAAAAAAAAAoHAFlBAAAAAAAAAAALAgBZQgAAAAAAAAAADAYAWUEAAAAAAAAAAA0CAFlBAAAAAAAAAAAODABZQQAAAAAAAAAADwYAWUIDAAAAAAAAAABEDABZQgIAAAAAAAAAAEROAFlBAAAAAAAAAAAARI8AWUEAAAAAAAAAAABEwESAWUICAAAAAAAAAAEKAFlBAAAAAAAAAAAARMBEAFlBAAAAAAAAAAAAAAAAA==</t>
        </r>
      </text>
    </comment>
    <comment ref="A1367" authorId="0" shapeId="0" xr:uid="{70871797-FFF2-4A31-A7BE-B3DC803A603E}">
      <text>
        <r>
          <rPr>
            <sz val="9"/>
            <color indexed="81"/>
            <rFont val="MS P ゴシック"/>
            <family val="3"/>
            <charset val="128"/>
          </rPr>
          <t>Insight iXlW00001C0001367R0585476093S00002732P01036LAocjBAQBF1NjaVRlZ2ljLmRhdGEuTW9sZWN1bGUBbwF/ARJTY2lUZWdpYy5Nb2xlY3VsZQAAAQFkAv5qAQAAAAIAAjQBEAAAAPz8APwAAgAAAAAAAPC/AjxO0ZFc/vu/AnRGlPYGX5g/AAAAACAAAAD8/AD8AAIAAAAAAADwvwJyio7k8h8EwAICK4cW2c7jvwAAAAAgAAAA/PwA/AACAAAAAAAA8L8CcoqO5PIfBMACam/whclU5T8AAAAAGAAAAPz8APwAAgAAAAAAAPC/AhHHuriNBtA/AnRGlPYGX5g/AAAAABgAAAD8/AD8AAIAAAAAAADwvwIkSnuDL0z/PwIqyxDHurjRvwAAAAAYAAAA/PwA/AACAAAAAAAA8L8CgnNGlPaGB0ACZvfkYaHW3L8AAAAAGAAAAPz8APwAAgAAAAAAAPC/Al+YTBWMygRAAndPHhZqTd8/AAAAABgAAAD8/AD8AAIAAAAAAADwvwI8TtGRXP7zvwJQHhZqTfPqvwAAAAAYAAAA/PwA/AACAAAAAAAA8L8CPE7RkVz+878Ct2J/2T157D8AAAAAGAAAAPz8APwAAgAAAAAAAPC/At9xio7k8s+/Ardif9k9eew/AAAAABgAAAD8/AD8AAIAAAAAAADwvwLfcYqO5PLPvwJQHhZqTfPqvwAAAAAYAAAA/PwA/AACAAAAAAAA8L8CbHh6pSxD8D8CINJvXwfO478AAAAAHAAAAPz8APwAAgAAAAAAAPC/Amx4eqUsQ/A/Ampv8IXJVOU/AAAAADgEAAFlCAAAAAAAAAAACAABZQgAAAAAAAAAAAwkAWUEAAAAAAAAAAAQLAFlBAAAAAAAAAAAFBABZQQAAAAAAAAAABgQAWUEAAAAAAAAAAAcAAFlBAAAAAAAAAAAIAABZQQAAAAAAAAAACQgAWUEAAAAAAAAAAAoHAFlBAAAAAAAAAAALAwBZQQAAAAAAAAAADAMAWUEAAAAAAAAAAAMKAFlBAAAAAAAAAAAFBgBZQQAAAAAAAAAAAAAAAA=</t>
        </r>
      </text>
    </comment>
    <comment ref="A1368" authorId="0" shapeId="0" xr:uid="{11D91785-68D9-4B42-9808-7BA37B58D010}">
      <text>
        <r>
          <rPr>
            <sz val="9"/>
            <color indexed="81"/>
            <rFont val="MS P ゴシック"/>
            <family val="3"/>
            <charset val="128"/>
          </rPr>
          <t>Insight iXlW00001C0001368R0585476093S00002734P01108LAocjBAQBF1NjaVRlZ2ljLmRhdGEuTW9sZWN1bGUBbwF/ARJTY2lUZWdpYy5Nb2xlY3VsZQAAAQFkAv5qAQAAAAIAAjgcAAAA/PwA/AACAAAAAAAA8L8CJuSDns2qzz8CX5hMFYxKwj8AAAAAGAAAAPz8APwAAgAAAAAAAPC/Aibkg57Nqs8/ApvmHafoSPI/AAAAABgAAAD8/AD8AAIAAAAAAADwvwLG3LWEfNDxPwLRs1n1udrWvwAAAAAYAAAA/PwA/AACAAAAAAAA8L8COIlBYOXQ8T8Cm+Ydp+hI+j8AAAAAGAAAAPz8APwAAgAAAAAAAPC/AnnpJjEIrP8/Al+YTBWMSsI/AAAAABgAAAD8/AD8AAIAAAAAAADwvwJ56SYxCKz/PwIMk6mCUUnyPwAAAAAYAAAA/PwA/AACAAAAAAAA8L8CescpOpLL478C0bNZ9bna1r8AAAAAIAAAAPz8APwAAgAAAAAAAPC/AnrHKTqSy+O/ApvmHafoSPo/AAAAABwAAAD8/AD8AAIAAAAAAADwvwL/Q/rt68D3vwL1bFZ9rrb9vwAAAAABIwAAAPz8APwAAgAAAAAAAPC/At0kBoGVwwZAAtGzWfW52ta/AAAAABgAAAD8/AD8AAIAAAAAAADwvwJ6xyk6ksvjvwL0bFZ9rrb1vwAAAAAYAAAA/PwA/AACAAAAAAAA8L8CINJvXwfOAsACZRniWBe39b8AAAAAGAAAAPz8APwAAgAAAAAAAPC/Av9D+u3rwPe/Al+YTBWMSsI/AAAAABgAAAD8/AD8AAIAAAAAAADwvwIg0m9fB84CwAKVZYhjXdzWvwAAAAA8BAABZQQAAAAAAAAAAAgAAWUEAAAAAAAAAAAMBAFlBAAAAAAAAAAAEAgBZQgMAAAAAAAAABQMAWUICAAAAAAAAAAYAAFlBAAAAAAAAAAAHAQBZQgAAAAAAAAAACAoAWUICAAAAAAAAAAkEAFlBAAAAAAAAAAAKBgBZQQAAAAAAAAAACw0AWUICAAAAAAAAAAwGAFlCAwAAAAAAAAANDABZQQAAAAAAAAAABQQAWUEAAAAAAAAAAAsIAFlBAAAAAAAAAAAAAAAAA==</t>
        </r>
      </text>
    </comment>
    <comment ref="A1369" authorId="0" shapeId="0" xr:uid="{7E14E0CC-F088-48CB-B9CA-911563E37800}">
      <text>
        <r>
          <rPr>
            <sz val="9"/>
            <color indexed="81"/>
            <rFont val="MS P ゴシック"/>
            <family val="3"/>
            <charset val="128"/>
          </rPr>
          <t>Insight iXlW00001C0001369R0585476093S00002736P00948LAocjBAQBF1NjaVRlZ2ljLmRhdGEuTW9sZWN1bGUBbwF/ARJTY2lUZWdpYy5Nb2xlY3VsZQAAAQFkAv5qAQAAAAIAAjAgAAAA/PwA/AACAAAAAAAA8L8CescpOpLLAUACaLPqc7UV4b8AAAAAGAAAAPz8APwAAgAAAAAAAPC/AkGC4seYu/U/Ano2qz5XW6G/AAAAABgAAAD8/AD8AAIAAAAAAADwvwJBguLHmLv1PwKZTBWMSuruPwAAAAAcAAAA/PwA/AACAAAAAAAA8L8C/Yf029eB3z8C2/l+arx09z8AAAAAGAAAAPz8APwAAgAAAAAAAPC/Agr5oGez6te/Arfz/dR46e4/AAAAABgAAAD8/AD8AAIAAAAAAADwvwIK+aBns+rXvwJ6Nqs+V1uhvwAAAAAYAAAA/PwA/AACAAAAAAAA8L8CuECC4seY9L8CJLn8h/Tb1z8AAAAAGAAAAPz8APwAAgAAAAAAAPC/AndPHhZqTf+/Ar8OnDOitNe/AAAAABgAAAD8/AD8AAIAAAAAAADwvwIGo5I6AU33vwKAt0CC4sfzvwAAAAAYAAAA/PwA/AACAAAAAAAA8L8CsVBrmnec3r8C2/l+arx08L8AAAAAHAAAAPz8APwAAgAAAAAAAPC/Av2H9NvXgd8/Amiz6nO1FeG/AAAAAAERAAAA/PwA/AACAAAAAAAA8L8C4C2QoPgxCEACT6+UZYhjvT8AAAAAMAAEAWUIAAAAAAAAAAAECAFlBAAAAAAAAAAACAwBZQQAAAAAAAAAAAwQAWUEAAAAAAAAAAAQFAFlBAAAAAAAAAAAFBgBZQQAAAAAAAAAABgcAWUEAAAAAAAAAAAcIAFlBAAAAAAAAAAAICQBZQQAAAAAAAAAACQUAWUEAAAAAAAAAAAUKAFlBAAAAAAAAAAAKAQBZQQAAAAAAAAAAAAAAAA=</t>
        </r>
      </text>
    </comment>
    <comment ref="A1370" authorId="0" shapeId="0" xr:uid="{85AEBA78-212C-48B7-B226-A2A9FC15EE9A}">
      <text>
        <r>
          <rPr>
            <sz val="9"/>
            <color indexed="81"/>
            <rFont val="MS P ゴシック"/>
            <family val="3"/>
            <charset val="128"/>
          </rPr>
          <t>Insight iXlW00001C0001370R0585476093S00002738P01452LAocjBAQBF1NjaVRlZ2ljLmRhdGEuTW9sZWN1bGUBbwF/ARJTY2lUZWdpYy5Nb2xlY3VsZQAAAQFkAv5qAQAAAAIAAgETIAAAAPz8APwAAgAAAAAAAPC/Av5l9+RhIQPAAljKMsSxLuy/AAAAABgAAAD8/AD8AAIAAAAAAADwvwIbL90kBoH2vwLKw0Ktad7wvwAAAAAgAAAA/PwA/AACAAAAAAAA8L8CZMxdS8gH8b8CgZVDi2zn/78AAAAAGAAAAPz8APwAAgAAAAAAAPC/AgCRfvs6cOi/Aoj029eBc9K/AAAAABgAAAD8/AD8AAIAAAAAAADwvwJQHhZqTfO+vwLKw0Ktad7wvwAAAAAYAAAA/PwA/AACAAAAAAAA8L8C93XgnBGl6z8CWMoyxLEu7L8AAAAAGAAAAPz8APwAAgAAAAAAAPC/ApchjnVxG/g/AtQrZRniWPq/AAAAABgAAAD8/AD8AAIAAAAAAADwvwI830+Nl+4DQAI2zTtO0ZH3vwAAAAAYAAAA/PwA/AACAAAAAAAA8L8CX7pJDAKrBkAC/fZ14JwR4b8AAAAAHAAAAPz8APwAAgAAAAAAAPC/AhHHuriNhgFAAtS84xQdyc0/AAAAABgAAAD8/AD8AAIAAAAAAADwvwJB8WPMXUvzPwJpke18PzWuPwAAAAAYAAAA/PwA/AACAAAAAAAA8L8CHHxhMlUwuj8C8BZIUPwYyz8AAAAAGAAAAPz8APwAAgAAAAAAAPC/Ahx8YTJVMLo/At4CCYofY/M/AAAAAAEQAAAA/PwA/AACAAAAAAAA8L8CAJF++zpw6L8C3gIJih9j+z8AAAAAIAAAAPz8APwAAgAAAAAAAPC/Ahsv3SQGgfa/AsNkqmBU0gNAAAAAACAAAAD8/AD8AAIAAAAAAADwvwJQHhZqTfO+vwLDZKpgVNIDQAAAAAAYAAAA/PwA/AACAAAAAAAA8L8CwqikTkAT+r8C3gIJih9j8z8AAAAAGAAAAPz8APwAAgAAAAAAAPC/AsKopE5AE/q/AvAWSFD8GMs/AAAAAAERAAAA/PwA/AACAAAAAAAA8L8CxSCwcmgRDUAC2IFzRpT2zj8AAAAAARMABAFlBAAAAAAAAAAABAgBZQgAAAAAAAAAAAQMAWUEAAAAAAAAAAAMEAFlBAAAAAAAAAAAEBQBZQQAAAAAAAAAABQYAWUIDAAAAAAAAAAYHAFlBAAAAAAAAAAAHCABZQgIAAAAAAAAACAkAWUEAAAAAAAAAAAkKAFlCAgAAAAAAAAAKBQBZQQAAAAAAAAAAAwsAWUEAAAAAAAAAAAsMAFlBAAAAAAAAAAAMDQBZQQAAAAAAAAAADQ4AWUIAAAAAAAAAAA0PAFlCAAAAAAAAAAANAEQAWUEAAAAAAAAAAABEAERAWUEAAAAAAAAAAABEQwBZQQAAAAAAAAAAAAAAAA=</t>
        </r>
      </text>
    </comment>
    <comment ref="A1371" authorId="0" shapeId="0" xr:uid="{87C7F15E-9669-463D-BB2D-A5B418609137}">
      <text>
        <r>
          <rPr>
            <sz val="9"/>
            <color indexed="81"/>
            <rFont val="MS P ゴシック"/>
            <family val="3"/>
            <charset val="128"/>
          </rPr>
          <t>Insight iXlW00001C0001371R0585476093S00002740P01020LAocjBAQBF1NjaVRlZ2ljLmRhdGEuTW9sZWN1bGUBbwF/ARJTY2lUZWdpYy5Nb2xlY3VsZQAAAQFkAv5qAQAAAAIAAjQBEAAAAPz8APwAAgAAAAAAAPC/AtV46SYxCP2/ApQYBFYOLcI/AAAAACAAAAD8/AD8AAIAAAAAAADwvwL3deCcEaUEwAIRx7q4jQbgvwAAAAAgAAAA/PwA/AACAAAAAAAA8L8C93XgnBGlBMACW9O84xQd6T8AAAAAGAAAAPz8APwAAgAAAAAAAPC/Alg5tMh2vsc/ApQYBFYOLcI/AAAAABgAAAD8/AD8AAIAAAAAAADwvwLVeOkmMQj1vwJfukkMAivnvwAAAAAYAAAA/PwA/AACAAAAAAAA8L8C1XjpJjEI9b8CVOOlm8Qg8D8AAAAAGAAAAPz8APwAAgAAAAAAAPC/AlTjpZvEINS/AlTjpZvEIPA/AAAAABgAAAD8/AD8AAIAAAAAAADwvwJU46WbxCDUvwJfukkMAivnvwAAAAAcAAAA/PwA/AACAAAAAAAA8L8CppvEILBy7j8CW9O84xQd6T8AAAAAGAAAAPz8APwAAgAAAAAAAPC/AqabxCCwcu4/AhHHuriNBuC/AAAAACAAAAD8/AD8AAIAAAAAAADwvwIZc9cS8kEFQAK8Jw8LtabpvwAAAAAYAAAA/PwA/AACAAAAAAAA8L8Cih9j7lpC/j8CFmpN845TxL8AAAAAGAAAAPz8APwAAgAAAAAAAPC/AvXb14FzxgxAAmB2Tx4Wat2/AAAAADQEAAFlCAAAAAAAAAAACAABZQgAAAAAAAAAAAwcAWUEAAAAAAAAAAAQAAFlBAAAAAAAAAAAFAABZQQAAAAAAAAAABgUAWUEAAAAAAAAAAAcEAFlBAAAAAAAAAAAIAwBZQQAAAAAAAAAACQMAWUEAAAAAAAAAAAoLAFlBAAAAAAAAAAALCQBZQQAAAAAAAAAADAoAWUEAAAAAAAAAAAMGAFlBAAAAAAAAAAAAAAAAA==</t>
        </r>
      </text>
    </comment>
    <comment ref="A1372" authorId="0" shapeId="0" xr:uid="{5464FAE0-26A3-41AB-8D87-03EC9E1EF814}">
      <text>
        <r>
          <rPr>
            <sz val="9"/>
            <color indexed="81"/>
            <rFont val="MS P ゴシック"/>
            <family val="3"/>
            <charset val="128"/>
          </rPr>
          <t>Insight iXlW00001C0001372R0585476093S00002742P01596LAocjBAQBF1NjaVRlZ2ljLmRhdGEuTW9sZWN1bGUBbwF/ARJTY2lUZWdpYy5Nb2xlY3VsZQAAAQFkAv5qAQAAAAIAAgEVHAAAAPz8APwAAgAAAAAAAPC/Aqyt2F92T9a/Aoxs5/up8f0/AAAAABgAAAD8/AD8AAIAAAAAAADwvwJDHOviNhrmvwKpNc07TtHtPwAAAAAYAAAA/PwA/AACAAAAAAAA8L8CwOyePCzU0j8Cih9j7lpC6D8AAAAAGAAAAPz8APwAAgAAAAAAAPC/AuviNhrAW+Q/AgmsHFpkO8e/AAAAABgAAAD8/AD8AAIAAAAAAADwvwJGJXUCmgh7vwI0ETY8vVLuvwAAAAAYAAAA/PwA/AACAAAAAAAA8L8CggTFjzF31T8CUtobfGEy/r8AAAAAGAAAAPz8APwAAgAAAAAAAPC/AgHeAgmKH/U/AnicoiO5fADAAAAAABgAAAD8/AD8AAIAAAAAAADwvwIrGJXUCWj/PwJIcvkP6bf0vwAAAAAYAAAA/PwA/AACAAAAAAAA8L8CVg4tsp3v+T8CQYLix5i71r8AAAAAGAAAAPz8APwAAgAAAAAAAPC/Anl6pSxDHAJAAl+YTBWMSto/AAAAACQAAAD8/AD8AAIAAAAAAADwvwLYgXNGlPb3PwKzDHGsi9vwPwAAAAAkAAAA/PwA/AACAAAAAAAA8L8CjpduEoNAB0ACMZkqGJXU8j8AAAAAJAAAAPz8APwAAgAAAAAAAPC/As1dS8gHPQhAApGg+DHmrs2/AAAAABgAAAD8/AD8AAIAAAAAAADwvwJj7lpCPuj4vwLUmuYdp+j2PwAAAAAYAAAA/PwA/AACAAAAAAAA8L8CUyegibBhA8ACqTXNO07R7T8AAAAAARAAAAD8/AD8AAIAAAAAAADwvwJTJ6CJsGEDwAK9UpYhjnWxvwAAAAAgAAAA/PwA/AACAAAAAAAA8L8CdQKaCBseBsAC4zYawFsg8L8AAAAAIAAAAPz8APwAAgAAAAAAAPC/AsP1KFyPQgvAAiWX/5B++7o/AAAAABgAAAD8/AD8AAIAAAAAAADwvwJj7lpCPuj4vwJYyjLEsS7ivwAAAAAYAAAA/PwA/AACAAAAAAAA8L8CQxzr4jYa5r8CvVKWIY51sb8AAAAAAREAAAD8/AD8AAIAAAAAAADwvwIzxLEubqMOQAIgY+5aQj64vwAAAAABFQAEAWUEAAAAAAAAAAAECAFlBAAAAAAAAAAACAwBZQQAAAAAAAAAAAwQAWUIDAAAAAAAAAAQFAFlBAAAAAAAAAAAFBgBZQgIAAAAAAAAABgcAWUEAAAAAAAAAAAcIAFlCAgAAAAAAAAAIAwBZQQAAAAAAAAAACAkAWUEAAAAAAAAAAAkKAFlBAAAAAAAAAAAJCwBZQQAAAAAAAAAACQwAWUEAAAAAAAAAAAENAFlBAAAAAAAAAAANDgBZQQAAAAAAAAAADg8AWUEAAAAAAAAAAA8ARABZQgAAAAAAAAAADwBEQFlCAAAAAAAAAAAPAESAWUEAAAAAAAAAAABEgETAWUEAAAAAAAAAAABEwQBZQQAAAAAAAAAAAAAAAA=</t>
        </r>
      </text>
    </comment>
    <comment ref="A1373" authorId="0" shapeId="0" xr:uid="{7D536A52-6D73-4F68-BC8C-5DBEEA25F59B}">
      <text>
        <r>
          <rPr>
            <sz val="9"/>
            <color indexed="81"/>
            <rFont val="MS P ゴシック"/>
            <family val="3"/>
            <charset val="128"/>
          </rPr>
          <t>Insight iXlW00001C0001373R0585476093S00002744P00948LAocjBAQBF1NjaVRlZ2ljLmRhdGEuTW9sZWN1bGUBbwF/ARJTY2lUZWdpYy5Nb2xlY3VsZQAAAQFkAv5qAQAAAAIAAjAcAAAA/PwA/AACAAAAAAAA8L8CLiEf9GxWxb8CmbuWkA960j8AAAAAGAAAAPz8APwAAgAAAAAAAPC/Ampv8IXJVNU/AigPC7WmefI/AAAAABgAAAD8/AD8AAIAAAAAAADwvwJqb/CFyVTVPwK3Yn/ZPXnivwAAAAAYAAAA/PwA/AACAAAAAAAA8L8C2xt8YTJV9T8CKA8LtaZ58j8AAAAAGAAAAPz8APwAAgAAAAAAAPC/AtsbfGEyVfU/Ardif9k9eeK/AAAAABgAAAD8/AD8AAIAAAAAAADwvwLbG3xhMlX9PwKZu5aQD3rSPwAAAAAYAAAA/PwA/AACAAAAAAAA8L8CJuSDns2q8r8CmbuWkA960j8AAAAAIAAAAPz8APwAAgAAAAAAAPC/Ai4hH/RsVsW/ArU3+MJkKgBAAAAAAAEjAAAA/PwA/AACAAAAAAAA8L8C2xt8YTJV/T8CDr4wmSoY978AAAAAGAAAAPz8APwAAgAAAAAAAPC/Aibkg57Nqvq/Apm7lpAPeuK/AAAAABgAAAD8/AD8AAIAAAAAAADwvwIm5IOezaryvwIOvjCZKhj3vwAAAAAYAAAA/PwA/AACAAAAAAAA8L8CE/JBz2ZVBcACmbuWkA964r8AAAAAMAQAAWUEAAAAAAAAAAAIAAFlBAAAAAAAAAAADAQBZQQAAAAAAAAAABAIAWUIDAAAAAAAAAAUDAFlCAgAAAAAAAAAGAABZQQAAAAAAAAAABwEAWUIAAAAAAAAAAAgEAFlBAAAAAAAAAAAJBgBZQQAAAAAAAAAACgkAWUEAAAAAAAAAAAsJAFlBAAAAAAAAAAAEBQBZQQAAAAAAAAAAAAAAAA=</t>
        </r>
      </text>
    </comment>
    <comment ref="A1374" authorId="0" shapeId="0" xr:uid="{248855CE-BB2B-4332-AD1C-C33901C6FE7C}">
      <text>
        <r>
          <rPr>
            <sz val="9"/>
            <color indexed="81"/>
            <rFont val="MS P ゴシック"/>
            <family val="3"/>
            <charset val="128"/>
          </rPr>
          <t>Insight iXlW00001C0001374R0585476093S00002746P00948LAocjBAQBF1NjaVRlZ2ljLmRhdGEuTW9sZWN1bGUBbwF/ARJTY2lUZWdpYy5Nb2xlY3VsZQAAAQFkAv5qAQAAAAIAAjAcAAAA/PwA/AACAAAAAAAA8L8CTMgHPZtV5T8CmbuWkA964r8AAAAAGAAAAPz8APwAAgAAAAAAAPC/Ai4hH/RsVsU/Apm7lpAPetI/AAAAACAAAAD8/AD8AAIAAAAAAADwvwK1N/jCZKrqvwKZu5aQD3rSPwAAAAAYAAAA/PwA/AACAAAAAAAA8L8CtTf4wmSq+j8Ct2J/2T154r8AAAAAGAAAAPz8APwAAgAAAAAAAPC/AtsbfGEyVQFAApm7lpAPetI/AAAAABgAAAD8/AD8AAIAAAAAAADwvwJMyAc9m1XlPwIoDwu1pnnyPwAAAAABIwAAAPz8APwAAgAAAAAAAPC/AtsbfGEyVQlAApm7lpAPetI/AAAAABgAAAD8/AD8AAIAAAAAAADwvwLbG3xhMlX1vwKZu5aQD3rivwAAAAAYAAAA/PwA/AACAAAAAAAA8L8CJuSDns2q+j8CKA8LtaZ58j8AAAAAGAAAAPz8APwAAgAAAAAAAPC/Au0NvjCZqgLAApm7lpAPeuK/AAAAABgAAAD8/AD8AAIAAAAAAADwvwLtDb4wmaoGwAIOvjCZKhj3vwAAAAAYAAAA/PwA/AACAAAAAAAA8L8C7Q2+MJmqBsACmbuWkA960j8AAAAAMAQAAWUIDAAAAAAAAAAIBAFlBAAAAAAAAAAADAABZQQAAAAAAAAAABAMAWUIDAAAAAAAAAAUBAFlBAAAAAAAAAAAGBABZQQAAAAAAAAAABwIAWUEAAAAAAAAAAAgFAFlCAgAAAAAAAAAJBwBZQQAAAAAAAAAACgkAWUEAAAAAAAAAAAsJAFlBAAAAAAAAAAAECABZQQAAAAAAAAAAAAAAAA=</t>
        </r>
      </text>
    </comment>
    <comment ref="A1375" authorId="0" shapeId="0" xr:uid="{ED452D27-EBC0-45BF-9BCF-3BF588650C2C}">
      <text>
        <r>
          <rPr>
            <sz val="9"/>
            <color indexed="81"/>
            <rFont val="MS P ゴシック"/>
            <family val="3"/>
            <charset val="128"/>
          </rPr>
          <t>Insight iXlW00001C0001375R0585476093S00002748P01136LAocjBAQBF1NjaVRlZ2ljLmRhdGEuTW9sZWN1bGUBbwF/ARJTY2lUZWdpYy5Nb2xlY3VsZQAAAQFkAv5qAQAAAAIAAjwcAAAA/PwA/AACAAAAAAAA8L8Cg8DKoUW26z8CZF3cRgN41z8AAAAAGAAAAPz8APwAAgAAAAAAAPC/AAI5RUdy+Q/BvwAAAAAYAAAA/PwA/AACAAAAAAAA8L8Cm+Ydp+jIBMACZF3cRgN41z8AAAAAGAAAAPz8APwAAgAAAAAAAPC/AoPAyqFFtvs/AjlFR3L5D8G/AAAAABgAAAD8/AD8AAIAAAAAAADwvwJjEFg5tMgEQAJkXdxGA3jXPwAAAAAcAAAA/PwA/AACAAAAAAAA8L8AAqfoSC7/IfK/AAAAACAAAAD8/AD8AAIAAAAAAADwvwKb5h2n6MgEQAJZF7fRAN71PwAAAAAgAAAA/PwA/AACAAAAAAAA8L8Cg8DKoUW2678CZF3cRgN41z8AAAAAGAAAAPz8APwAAgAAAAAAAPC/AoPAyqFFtvu/AjlFR3L5D8G/AAAAACQAAAD8/AD8AAIAAAAAAADwvwKb5h2n6MgIwAJn1edqK/bfvwAAAAAkAAAA/PwA/AACAAAAAAAA8L8CvJaQD3q2C8ACsi5uowG86z8AAAAAJAAAAPz8APwAAgAAAAAAAPC/ApvmHafoyADAApt3nKIjufM/AAAAABgAAAD8/AD8AAIAAAAAAADwvwKDwMqhRbb7PwKn6Egu/yHyvwAAAAAgAAAA/PwA/AACAAAAAAAA8L8CvJaQD3q2C0ACOUVHcvkPwb8AAAAAGAAAAPz8APwAAgAAAAAAAPC/AoPAyqFFtus/AqfoSC7/Ifq/AAAAADwEAAFlCAgAAAAAAAAACCABZQQAAAAAAAAAAAwAAWUEAAAAAAAAAAAQDAFlBAAAAAAAAAAAFAQBZQQAAAAAAAAAABgQAWUIAAAAAAAAAAAcBAFlBAAAAAAAAAAAIBwBZQQAAAAAAAAAACQIAWUEAAAAAAAAAAAoCAFlBAAAAAAAAAAALAgBZQQAAAAAAAAAADAMAWUICAAAAAAAAAA0EAFlBAAAAAAAAAAAOBQBZQgIAAAAAAAAADA4AWUEAAAAAAAAAAAAAAAA</t>
        </r>
      </text>
    </comment>
    <comment ref="A1376" authorId="0" shapeId="0" xr:uid="{48A55386-5B4F-4C10-827C-7853B88625E6}">
      <text>
        <r>
          <rPr>
            <sz val="9"/>
            <color indexed="81"/>
            <rFont val="MS P ゴシック"/>
            <family val="3"/>
            <charset val="128"/>
          </rPr>
          <t>Insight iXlW00001C0001376R0585476093S00002750P01248LAocjBAQBF1NjaVRlZ2ljLmRhdGEuTW9sZWN1bGUBbwF/ARJTY2lUZWdpYy5Nb2xlY3VsZQAAAQFkAv5qAQAAAAIAAgEQGAAAAPz8APwAAgAAAAAAAPC/AhHHuriNBqA/AmpN845TdPC/AAAAABwAAAD8/AD8AAIAAAAAAADwvwKPU3Qkl//gPwJFaW/whcnEvwAAAAAYAAAA/PwA/AACAAAAAAAA8L8CyCk6kst/+D8CRWlv8IXJxL8AAAAAGAAAAPz8APwAAgAAAAAAAPC/AuQUHcnlPwBAAjLmriXkg+Y/AAAAABwAAAD8/AD8AAIAAAAAAADwvwJxrIvbaADhPwKsrdhfdk/+vwAAAAAgAAAA/PwA/AACAAAAAAAA8L8Cj1N0JJf/7r8Cak3zjlN08L8AAAAAIAAAAPz8APwAAgAAAAAAAPC/AsgpOpLLf/g/Asx/SL99Hfk/AAAAACAAAAD8/AD8AAIAAAAAAADwvwLkFB3J5b8DwALMf0i/fR35PwAAAAAYAAAA/PwA/AACAAAAAAAA8L8C5BQdyeU/AEACak3zjlN08L8AAAAAGAAAAPz8APwAAgAAAAAAAPC/AsgpOpLLf/g/Aqyt2F92T/6/AAAAACAAAAD8/AD8AAIAAAAAAADwvwLkFB3J5T8IQAIy5q4l5IPmPwAAAAAYAAAA/PwA/AACAAAAAAAA8L8CyCk6kst/978CRWlv8IXJxL8AAAAAGAAAAPz8APwAAgAAAAAAAPC/AnGsi9toAO+/AjLmriXkg+Y/AAAAABgAAAD8/AD8AAIAAAAAAADwvwLkFB3J5b8DwAJFaW/whcnEvwAAAAAYAAAA/PwA/AACAAAAAAAA8L8C5BQdyeW/B8ACFD/G3LWE5j8AAAAAGAAAAPz8APwAAgAAAAAAAPC/AjnWxW00gPe/Asx/SL99Hfk/AAAAAAERBAABZQgIAAAAAAAAAAgEAWUEAAAAAAAAAAAMCAFlBAAAAAAAAAAAEAABZQQAAAAAAAAAABQAAWUEAAAAAAAAAAAYDAFlCAAAAAAAAAAAHDgBZQQAAAAAAAAAACAkAWUEAAAAAAAAAAAkEAFlCAgAAAAAAAAAKAwBZQQAAAAAAAAAACwUAWUEAAAAAAAAAAAwLAFlBAAAAAAAAAAANCwBZQQAAAAAAAAAADg0AWUEAAAAAAAAAAA8MAFlBAAAAAAAAAAACCABZQgIAAAAAAAAABw8AWUEAAAAAAAAAAAAAAAA</t>
        </r>
      </text>
    </comment>
    <comment ref="A1377" authorId="0" shapeId="0" xr:uid="{1181102E-39FC-4F53-9B24-429F3F2E5548}">
      <text>
        <r>
          <rPr>
            <sz val="9"/>
            <color indexed="81"/>
            <rFont val="MS P ゴシック"/>
            <family val="3"/>
            <charset val="128"/>
          </rPr>
          <t>Insight iXlW00001C0001377R0585476093S00002752P01000LAocjBAQBF1NjaVRlZ2ljLmRhdGEuTW9sZWN1bGUBbwF/ARJTY2lUZWdpYy5Nb2xlY3VsZQAAAQFkAv5qAQAAAAIAAjQYAAAA/PwA/AACAAAAAAAA8L8C7Q2+MJmqA0ACc2iR7Xw/+D8AAAAAGAAAAPz8APwAAgAAAAAAAPC/AtsbfGEyVf8/AmMQWDm0yOQ/AAAAABgAAAD8/AD8AAIAAAAAAADwvwLtDb4wmaoDQAKDwMqhRbbLvwAAAAAYAAAA/PwA/AACAAAAAAAA8L8CtTf4wmSq7j8CYxBYObTI5D8AAAAAGAAAAPz8APwAAgAAAAAAAPC/Ampv8IXJVN0/AoPAyqFFtsu/AAAAABwAAAD8/AD8AAIAAAAAAADwvwK1N/jCZKruPwJSuB6F61HxvwAAAAAYAAAA/PwA/AACAAAAAAAA8L8CTMgHPZtV4b8Cg8DKoUW2y78AAAAAGAAAAPz8APwAAgAAAAAAAPC/Aibkg57NqvC/AlK4HoXrUfG/AAAAABgAAAD8/AD8AAIAAAAAAADwvwIT8kHPZlUAwAJSuB6F61HxvwAAAAAYAAAA/PwA/AACAAAAAAAA8L8CE/JBz2ZVBMACg8DKoUW2y78AAAAAGAAAAPz8APwAAgAAAAAAAPC/AhPyQc9mVQDAAmMQWDm0yOQ/AAAAABgAAAD8/AD8AAIAAAAAAADwvwIm5IOezarwvwJjEFg5tMjkPwAAAAABEQAAAPz8APwAAgAAAAAAAPC/AlR0JJf/EApAAoPAyqFFtss/AAAAADAABAFlBAAAAAAAAAAABAgBZQQAAAAAAAAAAAQMAWUEAAAAAAAAAAAMEAFlBAAAAAAAAAAAEBQBZQQAAAAAAAAAABAYAWUEAAAAAAAAAAAYHAFlCAwAAAAAAAAAHCABZQQAAAAAAAAAACAkAWUICAAAAAAAAAAkKAFlBAAAAAAAAAAAKCwBZQgIAAAAAAAAACwYAWUEAAAAAAAAAAAAAAAA</t>
        </r>
      </text>
    </comment>
    <comment ref="A1378" authorId="0" shapeId="0" xr:uid="{C722A4D1-BF58-4197-BFCA-E06777AAD157}">
      <text>
        <r>
          <rPr>
            <sz val="9"/>
            <color indexed="81"/>
            <rFont val="MS P ゴシック"/>
            <family val="3"/>
            <charset val="128"/>
          </rPr>
          <t>Insight iXlW00001C0001378R0585476093S00002754P00932LAocjBAQBF1NjaVRlZ2ljLmRhdGEuTW9sZWN1bGUBbwF/ARJTY2lUZWdpYy5Nb2xlY3VsZQAAAQFkAv5qAQAAAAIAAjAYAAAA/PwA/AACAAAAAAAA8L8CUWuad5yi6z8C5WGh1jTv9z8AAAAAGAAAAPz8APwAAgAAAAAAAPC/Aqk1zTtO0fU/AmWqYFRSJ+Q/AAAAABgAAAD8/AD8AAIAAAAAAADwvwLUmuYdp+gCQAJlqmBUUifkPwAAAAAYAAAA/PwA/AACAAAAAAAA8L8CUWuad5yi6z8CelioNc07zr8AAAAAHAAAAPz8APwAAgAAAAAAAPC/Aqk1zTtO0fU/AlFrmnecovG/AAAAABgAAAD8/AD8AAIAAAAAAADwvwK9UpYhjnXBvwJ6WKg1zTvOvwAAAAAYAAAA/PwA/AACAAAAAAAA8L8CsJRliGNd5L8CUWuad5yi8b8AAAAAGAAAAPz8APwAAgAAAAAAAPC/AljKMsSxLvq/AlFrmnecovG/AAAAABgAAAD8/AD8AAIAAAAAAADwvwIsZRniWBcBwAJ6WKg1zTvOvwAAAAAYAAAA/PwA/AACAAAAAAAA8L8CWMoyxLEu+r8CZapgVFIn5D8AAAAAGAAAAPz8APwAAgAAAAAAAPC/ArCUZYhjXeS/AmWqYFRSJ+Q/AAAAAAERAAAA/PwA/AACAAAAAAAA8L8COwFNhA1PCUACjSjtDb4wyT8AAAAALAAEAWUEAAAAAAAAAAAECAFlBAAAAAAAAAAABAwBZQQAAAAAAAAAAAwQAWUEAAAAAAAAAAAMFAFlBAAAAAAAAAAAFBgBZQgMAAAAAAAAABgcAWUEAAAAAAAAAAAcIAFlCAgAAAAAAAAAICQBZQQAAAAAAAAAACQoAWUICAAAAAAAAAAoFAFlBAAAAAAAAAAAAAAAAA==</t>
        </r>
      </text>
    </comment>
    <comment ref="A1379" authorId="0" shapeId="0" xr:uid="{646B3AD1-A1F9-4BAF-9841-A4F6D5C94B1D}">
      <text>
        <r>
          <rPr>
            <sz val="9"/>
            <color indexed="81"/>
            <rFont val="MS P ゴシック"/>
            <family val="3"/>
            <charset val="128"/>
          </rPr>
          <t>Insight iXlW00001C0001379R0585476093S00002756P00912LAocjBAQBF1NjaVRlZ2ljLmRhdGEuTW9sZWN1bGUBbwF/ARJTY2lUZWdpYy5Nb2xlY3VsZQAAAQFkAv5qAQAAAAIAAjAYAAAA/PwA/AACAAAAAAAA8L8C0SLb+X5q+78CPE7RkVz+3z8AAAAAGAAAAPz8APwAAgAAAAAAAPC/AtEi2/l+avu/AgAAAAAAAOC/AAAAABgAAAD8/AD8AAIAAAAAAADwvwJnZmZmZmbovwIX2c73U+PpvwAAAAAYAAAA/PwA/AACAAAAAAAA8L8CzjtO0ZFcxr8AAAAAABgAAAD8/AD8AAIAAAAAAADwvwJnZmZmZmbovwIX2c73U+PpPwAAAAAYAAAA/PwA/AACAAAAAAAA8L8CGuJYF7fR1D8Cg8DKoUW2678AAAAAHAAAAPz8APwAAgAAAAAAAPC/Aoc41sVtNPU/AoPAyqFFtuu/AAAAABgAAAD8/AD8AAIAAAAAAADwvwKHONbFbTT9PwAAAAAAGAAAAPz8APwAAgAAAAAAAPC/Aoc41sVtNPU/AoPAyqFFtus/AAAAABwAAAD8/AD8AAIAAAAAAADwvwIa4lgXt9HUPwKDwMqhRbbrPwAAAAABEQAAAPz8APwAAgAAAAAAAPC/AqqCUUmdAAVAAt9xio7k8o+/AAAAAAERAAAA/PwA/AACAAAAAAAA8L8Cxm00gLdADUAC33GKjuTyjz8AAAAALAAEAWUEAAAAAAAAAAAECAFlBAAAAAAAAAAACAwBZQQAAAAAAAAAAAwQAWUEAAAAAAAAAAAQAAFlBAAAAAAAAAAADBQBZQQAAAAAAAAAABQYAWUEAAAAAAAAAAAYHAFlBAAAAAAAAAAAHCABZQQAAAAAAAAAACAkAWUEAAAAAAAAAAAkDAFlBAAAAAAAAAAAAAAAAA==</t>
        </r>
      </text>
    </comment>
    <comment ref="A1380" authorId="0" shapeId="0" xr:uid="{37173848-90B6-41D1-BF6D-4956BB3A82D3}">
      <text>
        <r>
          <rPr>
            <sz val="9"/>
            <color indexed="81"/>
            <rFont val="MS P ゴシック"/>
            <family val="3"/>
            <charset val="128"/>
          </rPr>
          <t>Insight iXlW00001C0001380R0585476093S00002758P01000LAocjBAQBF1NjaVRlZ2ljLmRhdGEuTW9sZWN1bGUBbwF/ARJTY2lUZWdpYy5Nb2xlY3VsZQAAAQFkAv5qAQAAAAIAAjQYAAAA/PwA/AACAAAAAAAA8L8C7Q2+MJmqBUACOGdEaW/w9T8AAAAAGAAAAPz8APwAAgAAAAAAAPC/Au0NvjCZqgFAAu0NvjCZKuA/AAAAABgAAAD8/AD8AAIAAAAAAADwvwLbG3xhMlXzPwLtDb4wmSrgPwAAAAAYAAAA/PwA/AACAAAAAAAA8L8CtTf4wmSq5j8CLGUZ4lgX178AAAAAHAAAAPz8APwAAgAAAAAAAPC/AtsbfGEyVfM/Av5l9+RhofO/AAAAABgAAAD8/AD8AAIAAAAAAADwvwKXkA96NqvSvwIsZRniWBfXvwAAAAAYAAAA/PwA/AACAAAAAAAA8L8CTMgHPZtV6b8CjblrCfmg878AAAAAGAAAAPz8APwAAgAAAAAAAPC/Aibkg57Nqvy/Ao25awn5oPO/AAAAABgAAAD8/AD8AAIAAAAAAADwvwIT8kHPZlUCwAIsZRniWBfXvwAAAAAYAAAA/PwA/AACAAAAAAAA8L8CJuSDns2q/L8C7Q2+MJkq4D8AAAAAGAAAAPz8APwAAgAAAAAAAPC/AkzIBz2bVem/Au0NvjCZKuA/AAAAACQAAAD8/AD8AAIAAAAAAADwvwKXkA96NqvSvwI4Z0Rpb/D1PwAAAAABEQAAAPz8APwAAgAAAAAAAPC/AlR0JJf/EAxAAkymCkYldbI/AAAAADAABAFlBAAAAAAAAAAABAgBZQQAAAAAAAAAAAgMAWUEAAAAAAAAAAAMEAFlBAAAAAAAAAAADBQBZQQAAAAAAAAAABQYAWUIDAAAAAAAAAAYHAFlBAAAAAAAAAAAHCABZQgIAAAAAAAAACAkAWUEAAAAAAAAAAAkKAFlCAgAAAAAAAAAKBQBZQQAAAAAAAAAACgsAWUEAAAAAAAAAAAAAAAA</t>
        </r>
      </text>
    </comment>
    <comment ref="A1381" authorId="0" shapeId="0" xr:uid="{955379F9-9D9A-411B-A77B-4143B73B2F0A}">
      <text>
        <r>
          <rPr>
            <sz val="9"/>
            <color indexed="81"/>
            <rFont val="MS P ゴシック"/>
            <family val="3"/>
            <charset val="128"/>
          </rPr>
          <t>Insight iXlW00001C0001381R0585476093S00002760P01052LAocjBAQBF1NjaVRlZ2ljLmRhdGEuTW9sZWN1bGUBbwF/ARJTY2lUZWdpYy5Nb2xlY3VsZQAAAQFkAv5qAQAAAAIAAjgYAAAA/PwA/AACAAAAAAAA8L8CAAAAAAAABEAC/Knx0k1i9j8AAAAAGAAAAPz8APwAAgAAAAAAAPC/AgAAAAAAAABAApM6AU2EDeE/AAAAABgAAAD8/AD8AAIAAAAAAADwvwIAAAAAAAAEQALhC5OpglHVvwAAAAAYAAAA/PwA/AACAAAAAAAA8L8BApM6AU2EDeE/AAAAABgAAAD8/AD8AAIAAAAAAADwvwIAAAAAAADgPwLhC5OpglHVvwAAAAAcAAAA/PwA/AACAAAAAAAA8L8BAjojSnuDL/O/AAAAABgAAAD8/AD8AAIAAAAAAADwvwIAAAAAAADgvwLhC5OpglHVvwAAAAAYAAAA/PwA/AACAAAAAAAA8L8CAAAAAAAA8L8COiNKe4Mv878AAAAAGAAAAPz8APwAAgAAAAAAAPC/AgAAAAAAAADAAjojSnuDL/O/AAAAABgAAAD8/AD8AAIAAAAAAADwvwIAAAAAAAAEwALhC5OpglHVvwAAAAAYAAAA/PwA/AACAAAAAAAA8L8CAAAAAAAAAMACkzoBTYQN4T8AAAAAGAAAAPz8APwAAgAAAAAAAPC/AgAAAAAAAPC/ApM6AU2EDeE/AAAAACQAAAD8/AD8AAIAAAAAAADwvwIAAAAAAADgvwKL/WX35GH2PwAAAAABEQAAAPz8APwAAgAAAAAAAPC/AmdmZmZmZgpAAonS3uALk7k/AAAAADQABAFlBAAAAAAAAAAABAgBZQQAAAAAAAAAAAQMAWUEAAAAAAAAAAAMEAFlBAAAAAAAAAAAEBQBZQQAAAAAAAAAABAYAWUEAAAAAAAAAAAYHAFlCAwAAAAAAAAAHCABZQQAAAAAAAAAACAkAWUICAAAAAAAAAAkKAFlBAAAAAAAAAAAKCwBZQgIAAAAAAAAACwYAWUEAAAAAAAAAAAsMAFlBAAAAAAAAAAAAAAAAA==</t>
        </r>
      </text>
    </comment>
    <comment ref="A1382" authorId="0" shapeId="0" xr:uid="{936C5DF4-24C2-47D1-AA67-8059A3A31642}">
      <text>
        <r>
          <rPr>
            <sz val="9"/>
            <color indexed="81"/>
            <rFont val="MS P ゴシック"/>
            <family val="3"/>
            <charset val="128"/>
          </rPr>
          <t>Insight iXlW00001C0001382R0585476093S00002762P01232LAocjBAQBF1NjaVRlZ2ljLmRhdGEuTW9sZWN1bGUBbwF/ARJTY2lUZWdpYy5Nb2xlY3VsZQAAAQFkAv5qAQAAAAIAAgEQHAAAAPz8APwAAgAAAAAAAPC/Aq+2Yn/ZPcm/AisYldQJaPa/AAAAABgAAAD8/AD8AAIAAAAAAADwvwIHX5hMFYzCPwLOGVHaG3zdvwAAAAAYAAAA/PwA/AACAAAAAAAA8L8CB1+YTBWMwj8CGXPXEvJB4T8AAAAAGAAAAPz8APwAAgAAAAAAAPC/AiNseHqlLPA/Ao25awn5oPA/AAAAABgAAAD8/AD8AAIAAAAAAADwvwJkzF1LyAf+PwIZc9cS8kHhPwAAAAAkAAAA/PwA/AACAAAAAAAA8L8CVcGopE7AAUACRIts5/up9z8AAAAAJAAAAPz8APwAAgAAAAAAAPC/AqO0N/jC5AZAArprCfmgZ9c/AAAAABgAAAD8/AD8AAIAAAAAAADwvwJkzF1LyAf+PwLOGVHaG3zdvwAAAAAYAAAA/PwA/AACAAAAAAAA8L8CI2x4eqUs8D8C54wo7Q2+7r8AAAAAGAAAAPz8APwAAgAAAAAAAPC/AgAi/fZ14Oq/ApLtfD81XtK/AAAAABgAAAD8/AD8AAIAAAAAAADwvwKbd5yiI7n3vwINAiuHFtnwvwAAAAAYAAAA/PwA/AACAAAAAAAA8L8CPgrXo3C9A8AC3UYDeAsk7L8AAAAAGAAAAPz8APwAAgAAAAAAAPC/Apm7lpAPegbAAh3J5T+k364/AAAAABgAAAD8/AD8AAIAAAAAAADwvwJMyAc9m1UBwALi6ZWyDHHqPwAAAAAYAAAA/PwA/AACAAAAAAAA8L8Ct/P91Hjp8r8CxNMrZRni5D8AAAAAAREAAAD8/AD8AAIAAAAAAADwvwIJG55eKUsNQAKQMXctIR+kPwAAAAABEAAEAWUEAAAAAAAAAAAECAFlBAAAAAAAAAAACAwBZQQAAAAAAAAAAAwQAWUEAAAAAAAAAAAQFAFlBAAAAAAAAAAAEBgBZQQAAAAAAAAAABAcAWUEAAAAAAAAAAAcIAFlBAAAAAAAAAAAIAQBZQQAAAAAAAAAAAQkAWUEAAAAAAAAAAAkKAFlCAwAAAAAAAAAKCwBZQQAAAAAAAAAACwwAWUICAAAAAAAAAAwNAFlBAAAAAAAAAAANDgBZQgIAAAAAAAAADgkAWUEAAAAAAAAAAAAAAAA</t>
        </r>
      </text>
    </comment>
    <comment ref="A1383" authorId="0" shapeId="0" xr:uid="{F9012CA3-011A-40DB-BB6F-68FB2F59E6E6}">
      <text>
        <r>
          <rPr>
            <sz val="9"/>
            <color indexed="81"/>
            <rFont val="MS P ゴシック"/>
            <family val="3"/>
            <charset val="128"/>
          </rPr>
          <t>Insight iXlW00001C0001383R0585476093S00002764P01304LAocjBAQBF1NjaVRlZ2ljLmRhdGEuTW9sZWN1bGUBbwF/ARJTY2lUZWdpYy5Nb2xlY3VsZQAAAQFkAv5qAQAAAAIAAgERHAAAAPz8APwAAgAAAAAAAPC/Ase6uI0G8GY/AsP1KFyPwvQ/AAAAABgAAAD8/AD8AAIAAAAAAADwvwKhZ7Pqc7XVvwIukKD4MebWPwAAAAAYAAAA/PwA/AACAAAAAAAA8L8CKjqSy39I878CF0hQ/Bhz6z8AAAAAGAAAAPz8APwAAgAAAAAAAPC/AjbNO07RkQDAAi6QoPgx5tY/AAAAABgAAAD8/AD8AAIAAAAAAADwvwI2zTtO0ZEAwALpt68D54zkvwAAAAAkAAAA/PwA/AACAAAAAAAA8L8CkX77OnBOA8ACOwFNhA1P+b8AAAAAJAAAAPz8APwAAgAAAAAAAPC/At9xio7kcgjAApZDi2zn+92/AAAAABgAAAD8/AD8AAIAAAAAAADwvwIqOpLLf0jzvwL129eBc0byvwAAAAAYAAAA/PwA/AACAAAAAAAA8L8CoWez6nO11b8C6bevA+eM5L8AAAAAGAAAAPz8APwAAgAAAAAAAPC/AvGFyVTBqOQ/Amsr9pfdk8c/AAAAABgAAAD8/AD8AAIAAAAAAADwvwJ88rBQa5rvPwKUGARWDi3ovwAAAAAYAAAA/PwA/AACAAAAAAAA8L8CHxZqTfOO/z8Csi5uowG87b8AAAAAGAAAAPz8APwAAgAAAAAAAPC/AiQofoy56wRAAv8h/fZ14MS/AAAAABgAAAD8/AD8AAIAAAAAAADwvwIBTYQNTy8CQALvWkI+6NnoPwAAAAAkAAAA/PwA/AACAAAAAAAA8L8CT0ATYcNTB0ACH/RsVn2u+D8AAAAAGAAAAPz8APwAAgAAAAAAAPC/AiL99nXgnPQ/AisYldQJaO4/AAAAAAERAAAA/PwA/AACAAAAAAAA8L8CtaZ5xym6DUACbqMBvAUSlL8AAAAAAREABAFlBAAAAAAAAAAABAgBZQQAAAAAAAAAAAgMAWUEAAAAAAAAAAAMEAFlBAAAAAAAAAAAEBQBZQQAAAAAAAAAABAYAWUEAAAAAAAAAAAQHAFlBAAAAAAAAAAAHCABZQQAAAAAAAAAACAEAWUEAAAAAAAAAAAEJAFlBAAAAAAAAAAAJCgBZQgMAAAAAAAAACgsAWUEAAAAAAAAAAAsMAFlCAgAAAAAAAAAMDQBZQQAAAAAAAAAADQ4AWUEAAAAAAAAAAA0PAFlCAgAAAAAAAAAPCQBZQQAAAAAAAAAAAAAAAA=</t>
        </r>
      </text>
    </comment>
    <comment ref="A1384" authorId="0" shapeId="0" xr:uid="{24BA49DC-2C34-4214-8030-9B45747652B9}">
      <text>
        <r>
          <rPr>
            <sz val="9"/>
            <color indexed="81"/>
            <rFont val="MS P ゴシック"/>
            <family val="3"/>
            <charset val="128"/>
          </rPr>
          <t>Insight iXlW00001C0001384R0585476093S00002766P01540LAocjBAQBF1NjaVRlZ2ljLmRhdGEuTW9sZWN1bGUBbwF/ARJTY2lUZWdpYy5Nb2xlY3VsZQAAAQFkAv5qAQAAAAIAAgEUIAD8APz8APwAAgAAAAAAAPC/Avw6cM6I0gFAApXUCWgibLg/AAAAABgAAAD8/AD8AAIAAAAAAADwvwL3deCcEaX7PwIW+8vuycPuPwAAAAAgAAAA/PwA/AACAAAAAAAA8L8C/DpwzojSAUACzV1LyAc9/T8AAAAAGAAAAPz8APwAAgAAAAAAAPC/Au7rwDkjSuc/Ahb7y+7Jw+4/AAAAABwAAAD8/AD8AAIAAAAAAADwvwLsUbgehevBPwIXak3zjlP8PwAAAAAYAAAA/PwA/AACAAAAAAAA8L8CoyO5/If06b8Ci/1l9+Rh9z8AAAAAGAAAAPz8APwAAgAAAAAAAPC/AhPyQc9m1fq/Aov9ZffkYf8/AAAAABgAAAD8/AD8AAIAAAAAAADwvwIqqRPQRFgEwAKL/WX35GH3PwAAAAAYAAAA/PwA/AACAAAAAAAA8L8CKqkT0ERYBMACLPaX3ZOH3T8AAAAAGAAAAPz8APwAAgAAAAAAAPC/AhPyQc9m1fq/AqVOQBNhw6O/AAAAACQAAAD8/AD8AAIAAAAAAADwvwIT8kHPZtX6vwJ1ApoIG57wvwAAAAAYAAAA/PwA/AACAAAAAAAA8L8CoyO5/If06b8CLPaX3ZOH3T8AAAAAHAAAAPz8APwAAgAAAAAAAPC/AuxRuB6F68E/Av2H9NvXgcM/AAAAABgAAAD8/AD8AAIAAAAAAADwvwIj2/l+arzcPwIfFmpN847pvwAAAAAYAAAA/PwA/AACAAAAAAAA8L8ChJ7Nqs/V9j8CJXUCmggb8L8AAAAAGAAAAPz8APwAAgAAAAAAAPC/AhALtaZ5x/s/AsNkqmBUUv+/AAAAACAAAAD8/AD8AAIAAAAAAADwvwJR/Bhz1xLxPwJeS8gHPZsFwAAAAAAYAAAA/PwA/AACAAAAAAAA8L8CYxBYObTItj8CGsBbIEHxA8AAAAAAGAAAAPz8APwAAgAAAAAAAPC/ArK/7J48LMy/ApeQD3o2q/i/AAAAAAwABAD8/AD8AAIAAAAAAADwvwJiodY07zgIQAJiMlUwKqnXvwAAAAABFQAEAWUEAAAAAAAAAAAECAFlCAAAAAAAAAAABAwBZQQAAAAAAAAAAAwQAWUIDAAAAAAAAAAQFAFlBAAAAAAAAAAAFBgBZQQAAAAAAAAAABgcAWUICAAAAAAAAAAcIAFlBAAAAAAAAAAAICQBZQgMAAAAAAAAACQoAWUEAAAAAAAAAAAkLAFlBAAAAAAAAAAALBQBZQgMAAAAAAAAACwwAWUEAAAAAAAAAAAwDAFlBAAAAAAAAAAAMDQBZQQAAAAAAAAAADQ4AWUEAAAAAAAAAAA4PAFlBAAAAAAAAAAAPAEQAWUEAAAAAAAAAAABEAERAWUEAAAAAAAAAAABEQESAWUEAAAAAAAAAAABEjQBZQQAAAAAAAAAAAAAAAA=</t>
        </r>
      </text>
    </comment>
    <comment ref="A1385" authorId="0" shapeId="0" xr:uid="{BD6BBF1A-C5CE-4C2E-A663-9269F30A6C68}">
      <text>
        <r>
          <rPr>
            <sz val="9"/>
            <color indexed="81"/>
            <rFont val="MS P ゴシック"/>
            <family val="3"/>
            <charset val="128"/>
          </rPr>
          <t>Insight iXlW00001C0001385R0585476093S00002768P00876LAocjBAQBF1NjaVRlZ2ljLmRhdGEuTW9sZWN1bGUBbwF/ARJTY2lUZWdpYy5Nb2xlY3VsZQAAAQFkAv5qAQAAAAIAAiwYAAAA/PwA/AACAAAAAAAA8L8CS+oENBE27j8CCRueXinLkD8AAAAAHAAAAPz8APwAAgAAAAAAAPC/AjQRNjy9UuQ/AkZHcvkP6e2/AAAAABgAAAD8/AD8AAIAAAAAAADwvwLQRNjw9ErBPwJMyAc9m1XjPwAAAAAYAAAA/PwA/AACAAAAAAAA8L8CNBE2PL1S/j8C3pOHhVrT1D8AAAAAHAAAAPz8APwAAgAAAAAAAPC/AuPHmLuWkOW/Agkbnl4py5A/AAAAABgAAAD8/AD8AAIAAAAAAADwvwKY3ZOHhVrXvwJk7lpCPujtvwAAAAAgAAAA/PwA/AACAAAAAAAA8L8Cpb3BFybTAEACswxxrIvb9D8AAAAAIAAAAPz8APwAAgAAAAAAAPC/Al5LyAc9GwVAAh6n6Egu/9W/AAAAACQAAAD8/AD8AAIAAAAAAADwvwKTOgFNhI0KwAKHp1fKMsShvwAAAAAYAAAA/PwA/AACAAAAAAAA8L8Cj1N0JJf/+b8C3pOHhVrT1D8AAAAAGAAAAPz8APwAAgAAAAAAAPC/AsRCrWne8QLAAh6n6Egu/9W/AAAAACwEAAFlBAAAAAAAAAAACAABZQgIAAAAAAAAAAwAAWUEAAAAAAAAAAAQCAFlBAAAAAAAAAAAFAQBZQgIAAAAAAAAABgMAWUIAAAAAAAAAAAcDAFlBAAAAAAAAAAAICgBZQQAAAAAAAAAACQQAWUEAAAAAAAAAAAoJAFlBAAAAAAAAAAAFBABZQQAAAAAAAAAAAAAAAA=</t>
        </r>
      </text>
    </comment>
    <comment ref="A1386" authorId="0" shapeId="0" xr:uid="{E3DFF064-0689-4B4C-82D3-490F4D71D055}">
      <text>
        <r>
          <rPr>
            <sz val="9"/>
            <color indexed="81"/>
            <rFont val="MS P ゴシック"/>
            <family val="3"/>
            <charset val="128"/>
          </rPr>
          <t>Insight iXlW00001C0001386R0585476093S00002770P01020LAocjBAQBF1NjaVRlZ2ljLmRhdGEuTW9sZWN1bGUBbwF/ARJTY2lUZWdpYy5Nb2xlY3VsZQAAAQFkAv5qAQAAAAIAAjQcAAAA/PwA/AACAAAAAAAA8L8CL26jAbwF6j8Ci47k8h/S+b8AAAAAGAAAAPz8APwAAgAAAAAAAPC/Ai9uowG8Beo/AhUdyeU/pOO/AAAAABgAAAD8/AD8AAIAAAAAAADwvwJZF7fRAN76PwKo6Egu/yG9vwAAAAAYAAAA/PwA/AACAAAAAAAA8L8CrYvbaABvBUACqOhILv8hvb8AAAAAGAAAAPz8APwAAgAAAAAAAPC/Aq2L22gAbwFAAm+jAbwFEug/AAAAABgAAAD8/AD8AAIAAAAAAADwvwJGJXUCmgirvwKo6Egu/yG9vwAAAAAYAAAA/PwA/AACAAAAAAAA8L8CRiV1ApoIq78C6+I2GsBb7D8AAAAAGAAAAPz8APwAAgAAAAAAAPC/AtgS8kHPZu2/AnZxGw3gLfY/AAAAABgAAAD8/AD8AAIAAAAAAADwvwKuad5xio78vwLr4jYawFvsPwAAAAAYAAAA/PwA/AACAAAAAAAA8L8CrmnecYqO/L8CqOhILv8hvb8AAAAAJAAAAPz8APwAAgAAAAAAAPC/AjC7Jw8LNQXAAhUdyeU/pOO/AAAAABgAAAD8/AD8AAIAAAAAAADwvwLYEvJBz2btvwIVHcnlP6TjvwAAAAABEQAAAPz8APwAAgAAAAAAAPC/AhPyQc9m1QtAAqjoSC7/Ib2/AAAAADQEAAFlBAAAAAAAAAAABAgBZQQAAAAAAAAAAAgMAWUEAAAAAAAAAAAMEAFlBAAAAAAAAAAAEAgBZQQAAAAAAAAAAAQUAWUEAAAAAAAAAAAUGAFlCAwAAAAAAAAAGBwBZQQAAAAAAAAAABwgAWUICAAAAAAAAAAgJAFlBAAAAAAAAAAAJCgBZQQAAAAAAAAAACQsAWUICAAAAAAAAAAsFAFlBAAAAAAAAAAAAAAAAA==</t>
        </r>
      </text>
    </comment>
    <comment ref="A1387" authorId="0" shapeId="0" xr:uid="{C4E21853-DB68-4CBB-A71E-3B3F458CF21D}">
      <text>
        <r>
          <rPr>
            <sz val="9"/>
            <color indexed="81"/>
            <rFont val="MS P ゴシック"/>
            <family val="3"/>
            <charset val="128"/>
          </rPr>
          <t>Insight iXlW00001C0001387R0585476093S00002772P01088LAocjBAQBF1NjaVRlZ2ljLmRhdGEuTW9sZWN1bGUBbwF/ARJTY2lUZWdpYy5Nb2xlY3VsZQAAAQFkAv5qAQAAAAIAAjgcAAAA/PwA/AACAAAAAAAA8L8CWmQ730+N4z8CCYofY+5a+r8AAAAAGAAAAPz8APwAAgAAAAAAAPC/AlpkO99PjeM/AhIUP8bcteS/AAAAABgAAAD8/AD8AAIAAAAAAADwvwJvEoPAyqH3PwJIUPwYc9fCvwAAAAAYAAAA/PwA/AACAAAAAAAA8L8CS1mGONbF+z8Cw4anV8oy6j8AAAAAGAAAAPz8APwAAgAAAAAAAPC/AlvTvOMUnQVAAgr5oGez6uE/AAAAABgAAAD8/AD8AAIAAAAAAADwvwLtL7snD4sDQAJa9bnaiv3ZvwAAAAAYAAAA/PwA/AACAAAAAAAA8L8CFmpN845T0L8C0bNZ9bnawr8AAAAAGAAAAPz8APwAAgAAAAAAAPC/AhZqTfOOU9C/AgyTqYJRSes/AAAAABgAAAD8/AD8AAIAAAAAAADwvwLHuriNBvDxvwKGyVTBqKT1PwAAAAAYAAAA/PwA/AACAAAAAAAA8L8CCRueXinL/78CDJOpglFJ6z8AAAAAGAAAAPz8APwAAgAAAAAAAPC/Agkbnl4py/+/AtGzWfW52sK/AAAAACQAAAD8/AD8AAIAAAAAAADwvwKlvcEXJtMGwAISFD/G3LXkvwAAAAAYAAAA/PwA/AACAAAAAAAA8L8Cx7q4jQbw8b8C9GxWfa625L8AAAAAAREAAAD8/AD8AAIAAAAAAADwvwLBOSNKewMMQAJIUPwYc9fCvwAAAAA4BAABZQQAAAAAAAAAAAQIAWUEAAAAAAAAAAAIDAFlBAAAAAAAAAAADBABZQQAAAAAAAAAABAUAWUEAAAAAAAAAAAUCAFlBAAAAAAAAAAABBgBZQQAAAAAAAAAABgcAWUIDAAAAAAAAAAcIAFlBAAAAAAAAAAAICQBZQgIAAAAAAAAACQoAWUEAAAAAAAAAAAoLAFlBAAAAAAAAAAAKDABZQgIAAAAAAAAADAYAWUEAAAAAAAAAAAAAAAA</t>
        </r>
      </text>
    </comment>
    <comment ref="A1388" authorId="0" shapeId="0" xr:uid="{6F523177-7CFC-4616-B8CD-ABA68141FAEE}">
      <text>
        <r>
          <rPr>
            <sz val="9"/>
            <color indexed="81"/>
            <rFont val="MS P ゴシック"/>
            <family val="3"/>
            <charset val="128"/>
          </rPr>
          <t>Insight iXlW00001C0001388R0585476093S00002774P01232LAocjBAQBF1NjaVRlZ2ljLmRhdGEuTW9sZWN1bGUBbwF/ARJTY2lUZWdpYy5Nb2xlY3VsZQAAAQFkAv5qAQAAAAIAAgEQHAAAAPz8APwAAgAAAAAAAPC/AoxK6gQ0EfG/AuhqK/aX3fm/AAAAABgAAAD8/AD8AAIAAAAAAADwvwIYldQJaCLivwJrvHSTGATovwAAAAAYAAAA/PwA/AACAAAAAAAA8L8CjErqBDQR8b8CxSCwcmiRvT8AAAAAGAAAAPz8APwAAgAAAAAAAPC/Ag5Pr5RliADAAsUgsHJokb0/AAAAABgAAAD8/AD8AAIAAAAAAADwvwIOT6+UZYgEwAKcxCCwcmjvPwAAAAAgAAAA/PwA/AACAAAAAAAA8L8CRiV1ApqIAMACkML1KFyP/T8AAAAAGAAAAPz8APwAAgAAAAAAAPC/AoxK6gQ0EfG/ApDC9Shcj/0/AAAAABgAAAD8/AD8AAIAAAAAAADwvwIYldQJaCLivwKcxCCwcmjvPwAAAAAYAAAA/PwA/AACAAAAAAAA8L8C0NVW7C+72z8Ca7x0kxgE6L8AAAAAGAAAAPz8APwAAgAAAAAAAPC/AuhqK/aX3e0/AuhqK/aX3fm/AAAAABgAAAD8/AD8AAIAAAAAAADwvwJ0tRX7y+7+PwLoaiv2l935vwAAAAAYAAAA/PwA/AACAAAAAAAA8L8CutqK/WV3A0ACTRWMSuoE6L8AAAAAGAAAAPz8APwAAgAAAAAAAPC/AnS1FfvL7v4/ArRZ9bnair0/AAAAACQAAAD8/AD8AAIAAAAAAADwvwK62or9ZXcDQAKcxCCwcmjvPwAAAAAYAAAA/PwA/AACAAAAAAAA8L8C6Gor9pfd7T8CxSCwcmiRvT8AAAAAAREAAAD8/AD8AAIAAAAAAADwvwIhQfFjzN0JQALFILByaJG9PwAAAAABEAQAAWUEAAAAAAAAAAAECAFlBAAAAAAAAAAACAwBZQQAAAAAAAAAAAwQAWUEAAAAAAAAAAAQFAFlBAAAAAAAAAAAFBgBZQQAAAAAAAAAABgcAWUEAAAAAAAAAAAcCAFlBAAAAAAAAAAABCABZQQAAAAAAAAAACAkAWUIDAAAAAAAAAAkKAFlBAAAAAAAAAAAKCwBZQgIAAAAAAAAACwwAWUEAAAAAAAAAAAwNAFlBAAAAAAAAAAAMDgBZQgIAAAAAAAAADggAWUEAAAAAAAAAAAAAAAA</t>
        </r>
      </text>
    </comment>
    <comment ref="A1389" authorId="0" shapeId="0" xr:uid="{B2E8D33E-1E0E-42D0-89F4-9018E18C231B}">
      <text>
        <r>
          <rPr>
            <sz val="9"/>
            <color indexed="81"/>
            <rFont val="MS P ゴシック"/>
            <family val="3"/>
            <charset val="128"/>
          </rPr>
          <t>Insight iXlW00001C0001389R0585476093S00002776P01160LAocjBAQBF1NjaVRlZ2ljLmRhdGEuTW9sZWN1bGUBbwF/ARJTY2lUZWdpYy5Nb2xlY3VsZQAAAQFkAv5qAQAAAAIAAjwcAAAA/PwA/AACAAAAAAAA8L8CUI2XbhKD0D8Cl5APejar9L8AAAAAGAAAAPz8APwAAgAAAAAAAPC/AlCNl24Sg9A/AltCPujZrNK/AAAAABgAAAD8/AD8AAIAAAAAAADwvwIH8BZIUPzxPwJKe4MvTKbKPwAAAAAYAAAA/PwA/AACAAAAAAAA8L8CSVD8GHPX/z8CW0I+6Nms0r8AAAAAGAAAAPz8APwAAgAAAAAAAPC/AtnO91PjpQdAAkw3iUFg5aC/AAAAABgAAAD8/AD8AAIAAAAAAADwvwJIcvkP6bcJQAJJLv8h/fbvvwAAAAAYAAAA/PwA/AACAAAAAAAA8L8Ckst/SL/9AUACcoqO5PIf9L8AAAAAGAAAAPz8APwAAgAAAAAAAPC/Atv5fmq8dOO/Akp7gy9Mpso/AAAAABgAAAD8/AD8AAIAAAAAAADwvwLb+X5qvHTjvwJqb/CFyVTzPwAAAAAYAAAA/PwA/AACAAAAAAAA8L8CL90kBoGV978Cam/whclU+z8AAAAAGAAAAPz8APwAAgAAAAAAAPC/ArkehetRuALAAmpv8IXJVPM/AAAAABgAAAD8/AD8AAIAAAAAAADwvwK5HoXrUbgCwAJKe4MvTKbKPwAAAAAkAAAA/PwA/AACAAAAAAAA8L8C2c73U+OlCcACW0I+6Nms0r8AAAAAGAAAAPz8APwAAgAAAAAAAPC/Ai/dJAaBlfe/AltCPujZrNK/AAAAAAERAAAA/PwA/AACAAAAAAAA8L8CV+wvuycPEEACSnuDL0ymyj8AAAAAPAQAAWUEAAAAAAAAAAAECAFlBAAAAAAAAAAACAwBZQQAAAAAAAAAAAwQAWUEAAAAAAAAAAAQFAFlBAAAAAAAAAAAFBgBZQQAAAAAAAAAABgMAWUEAAAAAAAAAAAEHAFlBAAAAAAAAAAAHCABZQgMAAAAAAAAACAkAWUEAAAAAAAAAAAkKAFlCAgAAAAAAAAAKCwBZQQAAAAAAAAAACwwAWUEAAAAAAAAAAAsNAFlCAgAAAAAAAAANBwBZQQAAAAAAAAAAAAAAAA=</t>
        </r>
      </text>
    </comment>
    <comment ref="A1390" authorId="0" shapeId="0" xr:uid="{83B51867-B419-4734-B47D-80A88D4E56A6}">
      <text>
        <r>
          <rPr>
            <sz val="9"/>
            <color indexed="81"/>
            <rFont val="MS P ゴシック"/>
            <family val="3"/>
            <charset val="128"/>
          </rPr>
          <t>Insight iXlW00001C0001390R0585476093S00002778P01072LAocjBAQBF1NjaVRlZ2ljLmRhdGEuTW9sZWN1bGUBbwF/ARJTY2lUZWdpYy5Nb2xlY3VsZQAAAQFkAv5qAQAAAAIAAjgcAAAA/PwA/AACAAAAAAAA8L8CYxBYObTI4L8CsXJoke18/D8AAAAAGAAAAPz8APwAAgAAAAAAAPC/AmMQWDm0yOC/AmHl0CLb+eg/AAAAABgAAAD8/AD8AAIAAAAAAADwvwJzaJHtfD/2vwLByqFFtvPRPwAAAAAYAAAA/PwA/AACAAAAAAAA8L8COrTIdr4fA8ACwcqhRbbz0T8AAAAAGAAAAPz8APwAAgAAAAAAAPC/AnNoke18P/6/AiPb+X5qvOK/AAAAABgAAAD8/AD8AAIAAAAAAADwvwJCYOXQItvVPwLByqFFtvPRPwAAAAAcAAAA/PwA/AACAAAAAAAA8L8CUrgehetR8z8CYeXQItv56D8AAAAAGAAAAPz8APwAAgAAAAAAAPC/AkoMAiuHlgBAAsHKoUW289E/AAAAABgAAAD8/AD8AAIAAAAAAADwvwJKDAIrh5YAQAKgGi/dJAbnvwAAAAAYAAAA/PwA/AACAAAAAAAA8L8CUrgehetR8z8CUI2XbhKD878AAAAAGAAAAPz8APwAAgAAAAAAAPC/AkJg5dAi29U/AqAaL90kBue/AAAAACQAAAD8/AD8AAIAAAAAAADwvwJjEFg5tMjgvwJQjZduEoPzvwAAAAABEQAAAPz8APwAAgAAAAAAAPC/ArByaJHt/AZAAjJ3LSEf9NA/AAAAAAERAAAA/PwA/AACAAAAAAAA8L8CzV1LyAc9D0ACUB4Wak3z0j8AAAAANAQAAWUEAAAAAAAAAAAECAFlBAAAAAAAAAAACAwBZQQAAAAAAAAAAAwQAWUEAAAAAAAAAAAQCAFlBAAAAAAAAAAABBQBZQQAAAAAAAAAABQYAWUIDAAAAAAAAAAYHAFlBAAAAAAAAAAAHCABZQgIAAAAAAAAACAkAWUEAAAAAAAAAAAkKAFlCAgAAAAAAAAAKBQBZQQAAAAAAAAAACgsAWUEAAAAAAAAAAAAAAAA</t>
        </r>
      </text>
    </comment>
    <comment ref="A1391" authorId="0" shapeId="0" xr:uid="{CC1814EF-C862-4150-B5A6-FD03FAB85B2A}">
      <text>
        <r>
          <rPr>
            <sz val="9"/>
            <color indexed="81"/>
            <rFont val="MS P ゴシック"/>
            <family val="3"/>
            <charset val="128"/>
          </rPr>
          <t>Insight iXlW00001C0001391R0585476093S00002780P01072LAocjBAQBF1NjaVRlZ2ljLmRhdGEuTW9sZWN1bGUBbwF/ARJTY2lUZWdpYy5Nb2xlY3VsZQAAAQFkAv5qAQAAAAIAAjgYAAAA/PwA/AACAAAAAAAA8L8CoyO5/If03z8CwhcmUwWj4D8AAAAAGAAAAPz8APwAAgAAAAAAAPC/AtKRXP5D+u8/AkcDeAskKNa/AAAAABgAAAD8/AD8AAIAAAAAAADwvwLpSC7/If33PwIUYcPTK2XzvwAAAAAYAAAA/PwA/AACAAAAAAAA8L8CseHplbIMwT8CpAG8BRIU678AAAAAGAAAAPz8APwAAgAAAAAAAPC/AhdIUPwYc+e/AkcDeAskKNa/AAAAABgAAAD8/AD8AAIAAAAAAADwvwJNhA1Pr5T5vwLCqKROQBPrvwAAAAAYAAAA/PwA/AACAAAAAAAA8L8CSHL5D+m3A8ACg1FJnYAm1r8AAAAAHAAAAPz8APwAAgAAAAAAAPC/Akhy+Q/ptwPAAl3+Q/rt6+Q/AAAAABgAAAD8/AD8AAIAAAAAAADwvwJNhA1Pr5T5vwIv/yH99nXyPwAAAAAYAAAA/PwA/AACAAAAAAAA8L8CF0hQ/Bhz578CXf5D+u3r5D8AAAAAGAAAAPz8APwAAgAAAAAAAPC/AiupE9BE2P0/AnP5D+m3r8M/AAAAACAAAAD8/AD8AAIAAAAAAADwvwIrqRPQRNj9PwIv/yH99nXyPwAAAAAgAAAA/PwA/AACAAAAAAAA8L8CtoR80LPZBUACRwN4CyQo1r8AAAAAAREAAAD8/AD8AAIAAAAAAADwvwId6+I2GkAMQAKfPCzUmuadvwAAAAA0AAQBZQQAAAAAAAAAAAQIAWUEAAAAAAAAAAAEDAFlBAAAAAAAAAAADBABZQQAAAAAAAAAABAUAWUIDAAAAAAAAAAUGAFlBAAAAAAAAAAAGBwBZQgIAAAAAAAAABwgAWUEAAAAAAAAAAAgJAFlCAgAAAAAAAAAJBABZQQAAAAAAAAAAAQoAWUEAAAAAAAAAAAoLAFlCAAAAAAAAAAAKDABZQQAAAAAAAAAAAAAAAA=</t>
        </r>
      </text>
    </comment>
    <comment ref="A1392" authorId="0" shapeId="0" xr:uid="{27D167CA-8C4B-473B-A5F7-C4F1C8435351}">
      <text>
        <r>
          <rPr>
            <sz val="9"/>
            <color indexed="81"/>
            <rFont val="MS P ゴシック"/>
            <family val="3"/>
            <charset val="128"/>
          </rPr>
          <t>Insight iXlW00001C0001392R0585476093S00002782P01036LAocjBAQBF1NjaVRlZ2ljLmRhdGEuTW9sZWN1bGUBbwF/ARJTY2lUZWdpYy5Nb2xlY3VsZQAAAQFkAv5qAQAAAAIAAjQcAAAA/PwA/AACAAAAAAAA8L8Co5I6AU2E3b8CRwN4CyQo1r8AAAAAGAAAAPz8APwAAgAAAAAAAPC/AiBj7lpCPvE/AnP5D+m3r8M/AAAAABgAAAD8/AD8AAIAAAAAAADwvwKjkjoBTYTdvwJd/kP67evkPwAAAAAcAAAA/PwA/AACAAAAAAAA8L8CmN2Th4Va3z8CdNcS8kHP7j8AAAAAGAAAAPz8APwAAgAAAAAAAPC/Apjdk4eFWt8/Arraiv1l9+S/AAAAABgAAAD8/AD8AAIAAAAAAADwvwLrBDQRNjz1vwKkAbwFEhTrvwAAAAAYAAAA/PwA/AACAAAAAAAA8L8C6wQ0ETY89b8CL/8h/fZ18j8AAAAAGAAAAPz8APwAAgAAAAAAAPC/ApAxdy0hnwBAAnP5D+m3r8M/AAAAABwAAAD8/AD8AAIAAAAAAADwvwKWsgxxrIsBwAJHA3gLJCjWvwAAAAAYAAAA/PwA/AACAAAAAAAA8L8ClrIMcayLAcACXf5D+u3r5D8AAAAAIAAAAPz8APwAAgAAAAAAAPC/ApAxdy0hnwRAAuELk6mCUfA/AAAAACAAAAD8/AD8AAIAAAAAAADwvwKQMXctIZ8EQAInwoanV8rmvwAAAAAYAAAA/PwA/AACAAAAAAAA8L8C6wQ0ETY89b8C0gDeAgmK/b8AAAAAOAQQAWUIDAAAAAAAAAAIAAFlBAAAAAAAAAAADAgBZQgIAAAAAAAAABAAAWUEAAAAAAAAAAAUAAFlBAAAAAAAAAAAGAgBZQQAAAAAAAAAABwEAWUEAAAAAAAAAAAgFAFlCAgAAAAAAAAAJBgBZQgIAAAAAAAAACgcAWUIAAAAAAAAAAAsHAFlBAAAAAAAAAAAMBQBZQQAAAAAAAAAAAwEAWUEAAAAAAAAAAAgJAFlBAAAAAAAAAAAAAAAAA==</t>
        </r>
      </text>
    </comment>
    <comment ref="A1393" authorId="0" shapeId="0" xr:uid="{A6D94F76-637C-45B9-8CE7-28509071833F}">
      <text>
        <r>
          <rPr>
            <sz val="9"/>
            <color indexed="81"/>
            <rFont val="MS P ゴシック"/>
            <family val="3"/>
            <charset val="128"/>
          </rPr>
          <t>Insight iXlW00001C0001393R0585476093S00002784P00932LAocjBAQBF1NjaVRlZ2ljLmRhdGEuTW9sZWN1bGUBbwF/ARJTY2lUZWdpYy5Nb2xlY3VsZQAAAQFkAv5qAQAAAAIAAjAYAAAA/PwA/AACAAAAAAAA8L8CiUFg5dCiA0ACZapgVFIn5D8AAAAAGAAAAPz8APwAAgAAAAAAAPC/AhODwMqhRfc/AmWqYFRSJ+Q/AAAAABgAAAD8/AD8AAIAAAAAAADwvwIlBoGVQ4vuPwJ6WKg1zTvOvwAAAAAcAAAA/PwA/AACAAAAAAAA8L8CE4PAyqFF9z8CUWuad5yi8b8AAAAAGAAAAPz8APwAAgAAAAAAAPC/ArKd76fGS6e/AnpYqDXNO86/AAAAABgAAAD8/AD8AAIAAAAAAADwvwLb+X5qvHThvwJRa5p3nKLxvwAAAAAYAAAA/PwA/AACAAAAAAAA8L8C7nw/NV66+L8CUWuad5yi8b8AAAAAGAAAAPz8APwAAgAAAAAAAPC/Ane+nxovXQDAAnpYqDXNO86/AAAAABgAAAD8/AD8AAIAAAAAAADwvwLufD81Xrr4vwJlqmBUUifkPwAAAAAYAAAA/PwA/AACAAAAAAAA8L8C2/l+arx04b8CZapgVFIn5D8AAAAAJAAAAPz8APwAAgAAAAAAAPC/ArKd76fGS6e/AnS1FfvL7vc/AAAAAAERAAAA/PwA/AACAAAAAAAA8L8C8KfGSzcJCkACjSjtDb4wyT8AAAAALAAEAWUEAAAAAAAAAAAECAFlBAAAAAAAAAAACAwBZQQAAAAAAAAAAAgQAWUEAAAAAAAAAAAQFAFlCAwAAAAAAAAAFBgBZQQAAAAAAAAAABgcAWUICAAAAAAAAAAcIAFlBAAAAAAAAAAAICQBZQgIAAAAAAAAACQQAWUEAAAAAAAAAAAkKAFlBAAAAAAAAAAAAAAAAA==</t>
        </r>
      </text>
    </comment>
    <comment ref="A1394" authorId="0" shapeId="0" xr:uid="{BFCC0D87-0406-4353-AF58-86D952F36437}">
      <text>
        <r>
          <rPr>
            <sz val="9"/>
            <color indexed="81"/>
            <rFont val="MS P ゴシック"/>
            <family val="3"/>
            <charset val="128"/>
          </rPr>
          <t>Insight iXlW00001C0001394R0585476093S00002786P01076LAocjBAQBF1NjaVRlZ2ljLmRhdGEuTW9sZWN1bGUBbwF/ARJTY2lUZWdpYy5Nb2xlY3VsZQAAAQFkAv5qAQAAAAIAAjgcAAAA/PwA/AACAAAAAAAA8L8ClBgEVg4t/78CGCZTBaOS1j8AAAAAGAAAAPz8APwAAgAAAAAAAPC/AlK4HoXrUfG/AtGzWfW52sK/AAAAABgAAAD8/AD8AAIAAAAAAADwvwJSuB6F61HxvwJ6Nqs+V1vyvwAAAAAYAAAA/PwA/AACAAAAAAAA8L8CUrgehetR+b8CXkvIBz0bAMAAAAAAGAAAAPz8APwAAgAAAAAAAPC/AqRwPQrXo+K/ApchjnVxGwDAAAAAABgAAAD8/AD8AAIAAAAAAADwvwKDwMqhRbbLvwIYJlMFo5LWPwAAAAAYAAAA/PwA/AACAAAAAAAA8L8Cg8DKoUW2y78ChslUwaik9T8AAAAAHAAAAPz8APwAAgAAAAAAAPC/AmMQWDm0yOQ/AobJVMGopP0/AAAAABgAAAD8/AD8AAIAAAAAAADwvwJzaJHtfD/4PwKGyVTBqKT1PwAAAAAYAAAA/PwA/AACAAAAAAAA8L8Cc2iR7Xw/+D8CGCZTBaOS1j8AAAAAAREAAAD8/AD8AAIAAAAAAADwvwJaZDvfTw0DQALRs1n1udrCvwAAAAAYAAAA/PwA/AACAAAAAAAA8L8CYxBYObTI5D8C0bNZ9bnawr8AAAAAAREAAAD8/AD8AAIAAAAAAADwvwLByqFFtnMJQAL6fmq8dJO4vwAAAAABEQAAAPz8APwAAgAAAAAAAPC/Au9aQj7o2RBAAoLix5i7lrC/AAAAADQEAAFlBAAAAAAAAAAABAgBZQQAAAAAAAAAAAgMAWUEAAAAAAAAAAAMEAFlBAAAAAAAAAAAEAgBZQQAAAAAAAAAAAQUAWUEAAAAAAAAAAAUGAFlCAwAAAAAAAAAGBwBZQQAAAAAAAAAABwgAWUICAAAAAAAAAAgJAFlBAAAAAAAAAAAJCgBZQQAAAAAAAAAACQsAWUICAAAAAAAAAAsFAFlBAAAAAAAAAAAAAAAAA==</t>
        </r>
      </text>
    </comment>
    <comment ref="A1395" authorId="0" shapeId="0" xr:uid="{D4EDC94F-6BCF-436E-9B12-F81EAC74C83B}">
      <text>
        <r>
          <rPr>
            <sz val="9"/>
            <color indexed="81"/>
            <rFont val="MS P ゴシック"/>
            <family val="3"/>
            <charset val="128"/>
          </rPr>
          <t>Insight iXlW00001C0001395R0585476093S00002788P01288LAocjBAQBF1NjaVRlZ2ljLmRhdGEuTW9sZWN1bGUBbwF/ARJTY2lUZWdpYy5Nb2xlY3VsZQAAAQFkAv5qAQAAAAIAAgERHAAAAPz8APwAAgAAAAAAAPC/AkLPZtXnavY/AjQRNjy9Uve/AAAAABgAAAD8/AD8AAIAAAAAAADwvwJCz2bV52r2PwLQRNjw9ErdvwAAAAAYAAAA/PwA/AACAAAAAAAA8L8CwhcmUwUjAkACgNk9eViopT8AAAAAGAAAAPz8APwAAgAAAAAAAPC/AsIXJlMFIwpAAoDZPXlYqKU/AAAAABgAAAD8/AD8AAIAAAAAAADwvwLCFyZTBSMGQAIbnl4pyxDtPwAAAAAYAAAA/PwA/AACAAAAAAAA8L8CAd4CCYof4T8CgNk9eViopT8AAAAAGAAAAPz8APwAAgAAAAAAAPC/AgHeAgmKH+E/AszuycNCrfA/AAAAABwAAAD8/AD8AAIAAAAAAADwvwIFxY8xdy3VvwLM7snDQq34PwAAAAAYAAAA/PwA/AACAAAAAAAA8L8Cg1FJnYAm878CzO7Jw0Kt8D8AAAAAGAAAAPz8APwAAgAAAAAAAPC/AoNRSZ2AJvO/AoDZPXlYqKU/AAAAABgAAAD8/AD8AAIAAAAAAADwvwIFxY8xdy3VvwLQRNjw9ErdvwAAAAAYAAAA/PwA/AACAAAAAAAA8L8CGy/dJAaBAMAC0ETY8PRK3b8AAAAAJAAAAPz8APwAAgAAAAAAAPC/AjZeukkMAvm/Aucdp+hILvW/AAAAACQAAAD8/AD8AAIAAAAAAADwvwI830+Nl24HwAJoImx4eqXuvwAAAAAkAAAA/PwA/AACAAAAAAAA8L8CGy/dJAaBBMACNjy9UpYh2j8AAAAAAREAAAD8/AD8AAIAAAAAAADwvwIUP8bctUQQQAIQejarPlebPwAAAAABEQAAAPz8APwAAgAAAAAAAPC/AqK0N/jCZBRAAvd14JwRpa0/AAAAAAEQBAABZQQAAAAAAAAAAAQIAWUEAAAAAAAAAAAIDAFlBAAAAAAAAAAADBABZQQAAAAAAAAAABAIAWUEAAAAAAAAAAAEFAFlBAAAAAAAAAAAFBgBZQQAAAAAAAAAABgcAWUICAAAAAAAAAAcIAFlBAAAAAAAAAAAICQBZQgIAAAAAAAAACQoAWUEAAAAAAAAAAAoFAFlCAwAAAAAAAAAJCwBZQQAAAAAAAAAACwwAWUEAAAAAAAAAAAsNAFlBAAAAAAAAAAALDgBZQQAAAAAAAAAAAAAAAA=</t>
        </r>
      </text>
    </comment>
    <comment ref="A1396" authorId="0" shapeId="0" xr:uid="{06557DA6-930E-44F1-8F1F-1920DF689C9F}">
      <text>
        <r>
          <rPr>
            <sz val="9"/>
            <color indexed="81"/>
            <rFont val="MS P ゴシック"/>
            <family val="3"/>
            <charset val="128"/>
          </rPr>
          <t>Insight iXlW00001C0001396R0585476093S00002790P01056LAocjBAQBF1NjaVRlZ2ljLmRhdGEuTW9sZWN1bGUBbwF/ARJTY2lUZWdpYy5Nb2xlY3VsZQAAAQFkAv5qAQAAAAIAAjgYAAAA/PwA/AACAAAAAAAA8L8CUB4Wak3z5D8Cg8DKoUW24z8AAAAAGAAAAPz8APwAAgAAAAAAAPC/AigPC7WmefI/AgAAAAAAANC/AAAAABgAAAD8/AD8AAIAAAAAAADwvwIoDwu1pnn6PwJCYOXQItvxvwAAAAAYAAAA/PwA/AACAAAAAAAA8L8CtTf4wmQqAEACAAAAAAAA0D8AAAAAHAAAAPz8APwAAgAAAAAAAPC/Ag6+MJkqGAdAAgAAAAAAANC/AAAAABgAAAD8/AD8AAIAAAAAAADwvwKZu5aQD3rSPwIAAAAAAADovwAAAAAYAAAA/PwA/AACAAAAAAAA8L8CmbuWkA964r8CAAAAAAAA0L8AAAAAGAAAAPz8APwAAgAAAAAAAPC/Ag6+MJkqGPe/AgAAAAAAAOi/AAAAABgAAAD8/AD8AAIAAAAAAADwvwIoDwu1pnkCwAIAAAAAAADQvwAAAAAcAAAA/PwA/AACAAAAAAAA8L8CKA8LtaZ5AsACAAAAAAAA6D8AAAAAGAAAAPz8APwAAgAAAAAAAPC/Ag6+MJkqGPe/AgAAAAAAAPQ/AAAAABgAAAD8/AD8AAIAAAAAAADwvwKZu5aQD3rivwIAAAAAAADoPwAAAAABEQAAAPz8APwAAgAAAAAAAPC/AnUkl/+Qfg1AAnBfB84ZUao/AAAAAAERAAAA/PwA/AACAAAAAAAA8L8CyQc9m1XfEkACMEymCkYltT8AAAAAMAAEAWUEAAAAAAAAAAAECAFlBAAAAAAAAAAABAwBZQQAAAAAAAAAAAwQAWUEAAAAAAAAAAAEFAFlBAAAAAAAAAAAFBgBZQQAAAAAAAAAABgcAWUIDAAAAAAAAAAcIAFlBAAAAAAAAAAAICQBZQgIAAAAAAAAACQoAWUEAAAAAAAAAAAoLAFlCAgAAAAAAAAALBgBZQQAAAAAAAAAAAAAAAA=</t>
        </r>
      </text>
    </comment>
    <comment ref="A1397" authorId="0" shapeId="0" xr:uid="{601D635C-50F7-412C-A4DD-6390C7B6FE52}">
      <text>
        <r>
          <rPr>
            <sz val="9"/>
            <color indexed="81"/>
            <rFont val="MS P ゴシック"/>
            <family val="3"/>
            <charset val="128"/>
          </rPr>
          <t>Insight iXlW00001C0001397R0585476093S00002792P01448LAocjBAQBF1NjaVRlZ2ljLmRhdGEuTW9sZWN1bGUBbwF/ARJTY2lUZWdpYy5Nb2xlY3VsZQAAAQFkAv5qAQAAAAIAAgETIAD8APz8APwAAgAAAAAAAPC/AtsbfGEyVQRAAhaMSuoENPe/AAAAABgAAAD8/AD8AAIAAAAAAADwvwLbG3xhMlUAQAKoV8oyxLHivwAAAAAgAAAA/PwA/AACAAAAAAAA8L8C2xt8YTJVBEACt9EA3gIJ0j8AAAAAGAAAAPz8APwAAgAAAAAAAPC/ArU3+MJkqvA/AqhXyjLEseK/AAAAABwAAAD8/AD8AAIAAAAAAADwvwLtL7snDwvdPwJfmEwVjEr2vwAAAAAYAAAA/PwA/AACAAAAAAAA8L8CT0ATYcPT378C1CtlGeJY8b8AAAAAGAAAAPz8APwAAgAAAAAAAPC/AlUwKqkT0PW/AtQrZRniWPm/AAAAACQAAAD8/AD8AAIAAAAAAADwvwJVMCqpE9D1vwLqlbIMcawEwAAAAAAYAAAA/PwA/AACAAAAAAAA8L8CTMgHPZvVAcAC1CtlGeJY8b8AAAAAGAAAAPz8APwAAgAAAAAAAPC/AkzIBz2b1QHAAj29UpYhjrW/AAAAABgAAAD8/AD8AAIAAAAAAADwvwJVMCqpE9D1vwKxUGuad5zaPwAAAAAYAAAA/PwA/AACAAAAAAAA8L8CT0ATYcPT378CPb1SliGOtb8AAAAAHAAAAPz8APwAAgAAAAAAAPC/Au0vuycPC90/ArwFEhQ/xsw/AAAAABgAAAD8/AD8AAIAAAAAAADwvwLvycNCrWnoPwJVMCqpE9DyPwAAAAAYAAAA/PwA/AACAAAAAAAA8L8CeJyiI7n8tz8CTmIQWDm0/j8AAAAAJAAAAPz8APwAAgAAAAAAAPC/AoC3QILix+S/Ao9TdCSX//M/AAAAACQAAAD8/AD8AAIAAAAAAADwvwLvycNCrWnivwLrc7UV+0sFQAAAAAAkAAAA/PwA/AACAAAAAAAA8L8CgbdAguLH6j8ChzjWxW20BEAAAAAALAAEAPz8APwAAgAAAAAAAPC/AkGC4seYuwpAAgr5oGez6qM/AAAAAAETAAQBZQQAAAAAAAAAAAQIAWUIAAAAAAAAAAAEDAFlBAAAAAAAAAAADBABZQgMAAAAAAAAABAUAWUEAAAAAAAAAAAUGAFlBAAAAAAAAAAAGBwBZQQAAAAAAAAAABggAWUICAAAAAAAAAAgJAFlBAAAAAAAAAAAJCgBZQgIAAAAAAAAACgsAWUEAAAAAAAAAAAsFAFlCAwAAAAAAAAALDABZQQAAAAAAAAAADAMAWUEAAAAAAAAAAAwNAFlBAAAAAAAAAAANDgBZQQAAAAAAAAAADg8AWUEAAAAAAAAAAA4ARABZQQAAAAAAAAAADgBEQFlBAAAAAAAAAAAAAAAAA==</t>
        </r>
      </text>
    </comment>
    <comment ref="A1398" authorId="0" shapeId="0" xr:uid="{8FB554E3-E75D-4236-A271-A7B6EB8BD162}">
      <text>
        <r>
          <rPr>
            <sz val="9"/>
            <color indexed="81"/>
            <rFont val="MS P ゴシック"/>
            <family val="3"/>
            <charset val="128"/>
          </rPr>
          <t>Insight iXlW00001C0001398R0585476093S00002794P01468LAocjBAQBF1NjaVRlZ2ljLmRhdGEuTW9sZWN1bGUBbwF/ARJTY2lUZWdpYy5Nb2xlY3VsZQAAAQFkAv5qAQAAAAIAAgETIAD8APz8APwAAgAAAAAAAPC/Av8h/fZ14ARAAn4dOGdEafi/AAAAABgAAAD8/AD8AAIAAAAAAADwvwL/If32deAAQAJ5eqUsQxzlvwAAAAAgAAAA/PwA/AACAAAAAAAA8L8C/yH99nXgBEACKxiV1Aloyj8AAAAAGAAAAPz8APwAAgAAAAAAAPC/Av9D+u3rwPE/Anl6pSxDHOW/AAAAABwAAAD8/AD8AAIAAAAAAADwvwKKsOHplbLgPwLIKTqSy3/3vwAAAAAYAAAA/PwA/AACAAAAAAAA8L8CKA8LtaZ5278CPL1SliGO8r8AAAAAGAAAAPz8APwAAgAAAAAAAPC/AgwkKH6MufS/Aj29UpYhjvq/AAAAACQAAAD8/AD8AAIAAAAAAADwvwIMJCh+jLn0vwKeXinLEEcFwAAAAAAYAAAA/PwA/AACAAAAAAAA8L8CJ8KGp1dKAcACPL1SliGO8r8AAAAAGAAAAPz8APwAAgAAAAAAAPC/AifChqdXSgHAAuLplbIMccS/AAAAABgAAAD8/AD8AAIAAAAAAADwvwIMJCh+jLn0vwIPC7WmecfVPwAAAAAYAAAA/PwA/AACAAAAAAAA8L8CKA8LtaZ5278C4umVsgxxxL8AAAAAHAAAAPz8APwAAgAAAAAAAPC/Aoqw4emVsuA/Anl6pSxDHMM/AAAAABgAAAD8/AD8AAIAAAAAAADwvwKhibDh6ZXqPwLtnjws1JrxPwAAAAAYAAAA/PwA/AACAAAAAAAA8L8CirDh6ZWyxD8C5tAi2/l+/T8AAAAAGAAAAPz8APwAAgAAAAAAAPC/AoG3QILix+q/AtsbfGEyVf4/AAAAABgAAAD8/AD8AAIAAAAAAADwvwKXIY51cRvpvwIPLbKd7ycHQAAAAAAYAAAA/PwA/AACAAAAAAAA8L8CMgisHFpkyz8CXLG/7J68BkAAAAAALAAEAPz8APwAAgAAAAAAAPC/AmaIY13cRgtAAgTnjCjtDb4/AAAAAAEUAAQBZQQAAAAAAAAAAAQIAWUIAAAAAAAAAAAEDAFlBAAAAAAAAAAADBABZQgMAAAAAAAAABAUAWUEAAAAAAAAAAAUGAFlBAAAAAAAAAAAGBwBZQQAAAAAAAAAABggAWUICAAAAAAAAAAgJAFlBAAAAAAAAAAAJCgBZQgIAAAAAAAAACgsAWUEAAAAAAAAAAAsFAFlCAwAAAAAAAAALDABZQQAAAAAAAAAADAMAWUEAAAAAAAAAAAwNAFlBAAAAAAAAAAANDgBZQQAAAAAAAAAADg8AWUEAAAAAAAAAAA8ARABZQQAAAAAAAAAAAEQAREBZQQAAAAAAAAAAAEROAFlBAAAAAAAAAAAAAAAAA==</t>
        </r>
      </text>
    </comment>
    <comment ref="A1399" authorId="0" shapeId="0" xr:uid="{8E924D19-1040-4ECF-820B-17349D4C36B8}">
      <text>
        <r>
          <rPr>
            <sz val="9"/>
            <color indexed="81"/>
            <rFont val="MS P ゴシック"/>
            <family val="3"/>
            <charset val="128"/>
          </rPr>
          <t>Insight iXlW00001C0001399R0585476093S00002796P01088LAocjBAQBF1NjaVRlZ2ljLmRhdGEuTW9sZWN1bGUBbwF/ARJTY2lUZWdpYy5Nb2xlY3VsZQAAAQFkAv5qAQAAAAIAAjgcAAAA/PwA/AACAAAAAAAA8L8CJ8KGp1fK8j8CBOeMKO0N8b8AAAAAGAAAAPz8APwAAgAAAAAAAPC/Ak2EDU+vlOU/AonS3uALk8m/AAAAABgAAAD8/AD8AAIAAAAAAADwvwInwoanV8ryPwLhC5OpglHlPwAAAAAYAAAA/PwA/AACAAAAAAAA8L8CE2HD0ytlAUAC4QuTqYJR5T8AAAAAGAAAAPz8APwAAgAAAAAAAPC/Am3n+6nxUghAAoQvTKYKRsU/AAAAABgAAAD8/AD8AAIAAAAAAADwvwJt5/up8VIIQALxhclUwajyPwAAAAAYAAAA/PwA/AACAAAAAAAA8L8CZvfkYaHW1L8CidLe4AuTyb8AAAAAGAAAAPz8APwAAgAAAAAAAPC/ArN78rBQa+q/AgTnjCjtDfG/AAAAABgAAAD8/AD8AAIAAAAAAADwvwJpke18PzX9vwIE54wo7Q3xvwAAAAAYAAAA/PwA/AACAAAAAAAA8L8CtMh2vp+aAsACEjY8vVKWyb8AAAAAJAAAAPz8APwAAgAAAAAAAPC/ArXIdr6fmgrAAhI2PL1Slsm/AAAAABgAAAD8/AD8AAIAAAAAAADwvwJpke18PzX9vwLhC5OpglHlPwAAAAAYAAAA/PwA/AACAAAAAAAA8L8C0SLb+X5q6r8C4QuTqYJR5T8AAAAAAREAAAD8/AD8AAIAAAAAAADwvwLTTWIQWLkOQALdtYR80LOpPwAAAAA4BAABZQQAAAAAAAAAAAQIAWUEAAAAAAAAAAAIDAFlBAAAAAAAAAAADBABZQQAAAAAAAAAABAUAWUEAAAAAAAAAAAUDAFlBAAAAAAAAAAABBgBZQQAAAAAAAAAABgcAWUIDAAAAAAAAAAcIAFlBAAAAAAAAAAAICQBZQgMAAAAAAAAACQoAWUEAAAAAAAAAAAkLAFlBAAAAAAAAAAALDABZQgIAAAAAAAAADAYAWUEAAAAAAAAAAAAAAAA</t>
        </r>
      </text>
    </comment>
    <comment ref="A1400" authorId="0" shapeId="0" xr:uid="{CC198272-85EB-4A45-A622-5B0350FA0E85}">
      <text>
        <r>
          <rPr>
            <sz val="9"/>
            <color indexed="81"/>
            <rFont val="MS P ゴシック"/>
            <family val="3"/>
            <charset val="128"/>
          </rPr>
          <t>Insight iXlW00001C0001400R0585476093S00002798P01284LAocjBAQBF1NjaVRlZ2ljLmRhdGEuTW9sZWN1bGUBbwF/ARJTY2lUZWdpYy5Nb2xlY3VsZQAAAQFkAv5qAQAAAAIAAgERHAAAAPz8APwAAgAAAAAAAPC/AgAAAAAAAOC/ApM6AU2EDfM/AAAAABgAAAD8/AD8AAIAAAAAAADwvwACgLdAguLH1D8AAAAAGAAAAPz8APwAAgAAAAAAAPC/AgAAAAAAAOC/AsNkqmBUUuG/AAAAABgAAAD8/AD8AAIAAAAAAADwvwIAAAAAAAD4vwLDZKpgVFLhvwAAAAAYAAAA/PwA/AACAAAAAAAA8L8CAAAAAAAAAMACo5I6AU2E9r8AAAAAGAAAAPz8APwAAgAAAAAAAPC/AgAAAAAAAAjAAqOSOgFNhPa/AAAAACAAAAD8/AD8AAIAAAAAAADwvwIAAAAAAAAMwALDZKpgVFLhvwAAAAAYAAAA/PwA/AACAAAAAAAA8L8CAAAAAAAACMACgLdAguLH1D8AAAAAGAAAAPz8APwAAgAAAAAAAPC/AgAAAAAAAADAAoC3QILix9Q/AAAAABgAAAD8/AD8AAIAAAAAAADwvwECRWlv8IXJ1D8AAAAAGAAAAPz8APwAAgAAAAAAAPC/AgAAAAAAAPg/ApM6AU2EDfM/AAAAABgAAAD8/AD8AAIAAAAAAADwvwIAAAAAAAAEQAKTOgFNhA3zPwAAAAAYAAAA/PwA/AACAAAAAAAA8L8CAAAAAAAACEACRWlv8IXJ1D8AAAAAJAAAAPz8APwAAgAAAAAAAPC/AgAAAAAAABBAAkVpb/CFydQ/AAAAABgAAAD8/AD8AAIAAAAAAADwvwIAAAAAAAAEQALhC5OpglHhvwAAAAAYAAAA/PwA/AACAAAAAAAA8L8CAAAAAAAA+D8Cw2SqYFRS4b8AAAAAAREAAAD8/AD8AAIAAAAAAADwvwIzMzMzMzMTQAL7XG3F/rK7vwAAAAABEQQAAWUEAAAAAAAAAAAECAFlBAAAAAAAAAAACAwBZQQAAAAAAAAAAAwQAWUEAAAAAAAAAAAQFAFlBAAAAAAAAAAAFBgBZQQAAAAAAAAAABgcAWUEAAAAAAAAAAAcIAFlBAAAAAAAAAAAIAwBZQQAAAAAAAAAAAQkAWUEAAAAAAAAAAAkKAFlCAwAAAAAAAAAKCwBZQQAAAAAAAAAACwwAWUIDAAAAAAAAAAwNAFlBAAAAAAAAAAAMDgBZQQAAAAAAAAAADg8AWUICAAAAAAAAAA8JAFlBAAAAAAAAAAAAAAAAA==</t>
        </r>
      </text>
    </comment>
    <comment ref="A1401" authorId="0" shapeId="0" xr:uid="{A2FA9DF5-7114-4F87-9390-60549B8BB2BB}">
      <text>
        <r>
          <rPr>
            <sz val="9"/>
            <color indexed="81"/>
            <rFont val="MS P ゴシック"/>
            <family val="3"/>
            <charset val="128"/>
          </rPr>
          <t>Insight iXlW00001C0001401R0585476093S00002800P01072LAocjBAQBF1NjaVRlZ2ljLmRhdGEuTW9sZWN1bGUBbwF/ARJTY2lUZWdpYy5Nb2xlY3VsZQAAAQFkAv5qAQAAAAIAAjgcAAAA/PwA/AACAAAAAAAA8L8CUI2XbhKD+b8C7Q2+MJkq8j8AAAAAGAAAAPz8APwAAgAAAAAAAPC/AlCNl24Sg/G/AusENBE2PNE/AAAAABgAAAD8/AD8AAIAAAAAAADwvwJQjZduEoP5vwIOvjCZKhjjvwAAAAAYAAAA/PwA/AACAAAAAAAA8L8CyXa+nxqvA8ACB1+YTBWM8b8AAAAAGAAAAPz8APwAAgAAAAAAAPC/AlCNl24Sg/m/AgdfmEwVjPm/AAAAABgAAAD8/AD8AAIAAAAAAADwvwL+1HjpJjG4vwLrBDQRNjzRPwAAAAAYAAAA/PwA/AACAAAAAAAA8L8CwcqhRbbz2T8C7Q2+MJkq8j8AAAAAGAAAAPz8APwAAgAAAAAAAPC/ArByaJHtfPY/Au0NvjCZKvI/AAAAABgAAAD8/AD8AAIAAAAAAADwvwKxcmiR7Xz+PwKvtmJ/2T3RPwAAAAAkAAAA/PwA/AACAAAAAAAA8L8CWDm0yHY+B0AC6wQ0ETY80T8AAAAAGAAAAPz8APwAAgAAAAAAAPC/ArByaJHtfPY/Ag6+MJkqGOO/AAAAABwAAAD8/AD8AAIAAAAAAADwvwLByqFFtvPZPwIOvjCZKhjjvwAAAAABEQAAAPz8APwAAgAAAAAAAPC/Ar+fGi/dpA1AAsE5I0p7g8+/AAAAAAERAAAA/PwA/AACAAAAAAAA8L8CbsX+snvyEkAChetRuB6Fy78AAAAANAQAAWUEAAAAAAAAAAAECAFlBAAAAAAAAAAACAwBZQQAAAAAAAAAAAwQAWUEAAAAAAAAAAAQCAFlBAAAAAAAAAAABBQBZQQAAAAAAAAAABQYAWUIDAAAAAAAAAAYHAFlBAAAAAAAAAAAHCABZQgMAAAAAAAAACAkAWUEAAAAAAAAAAAgKAFlBAAAAAAAAAAAKCwBZQgIAAAAAAAAACwUAWUEAAAAAAAAAAAAAAAA</t>
        </r>
      </text>
    </comment>
    <comment ref="A1402" authorId="0" shapeId="0" xr:uid="{3FA9C149-7E8A-47AA-9515-A58E28F02BBE}">
      <text>
        <r>
          <rPr>
            <sz val="9"/>
            <color indexed="81"/>
            <rFont val="MS P ゴシック"/>
            <family val="3"/>
            <charset val="128"/>
          </rPr>
          <t>Insight iXlW00001C0001402R0585476093S00002802P00984LAocjBAQBF1NjaVRlZ2ljLmRhdGEuTW9sZWN1bGUBbwF/ARJTY2lUZWdpYy5Nb2xlY3VsZQAAAQFkAv5qAQAAAAIAAjQYAAAA/PwA/AACAAAAAAAA8L8C1CtlGeJY7T8CB/AWSFD84j8AAAAAGAAAAPz8APwAAgAAAAAAAPC/AuqVsgxxrPY/AvmgZ7Pqc9G/AAAAABgAAAD8/AD8AAIAAAAAAADwvwJO0ZFc/kMCQAIOvjCZKhjNPwAAAAAcAAAA/PwA/AACAAAAAAAA8L8C6pWyDHGs/j8C8fRKWYY48r8AAAAAGAAAAPz8APwAAgAAAAAAAPC/AlFrmnecouE/An3Qs1n1uei/AAAAABgAAAD8/AD8AAIAAAAAAADwvwJlqmBUUifUvwL5oGez6nPRvwAAAAAYAAAA/PwA/AACAAAAAAAA8L8C24r9Zffk8r8CfdCzWfW56L8AAAAAGAAAAPz8APwAAgAAAAAAAPC/AsdLN4lBYADAAvmgZ7Pqc9G/AAAAABwAAAD8/AD8AAIAAAAAAADwvwLHSzeJQWAAwAKEL0ymCkbnPwAAAAAYAAAA/PwA/AACAAAAAAAA8L8CTDeJQWDl8r8CwhcmUwWj8z8AAAAAGAAAAPz8APwAAgAAAAAAAPC/AmWqYFRSJ9S/AoQvTKYKRuc/AAAAAAERAAAA/PwA/AACAAAAAAAA8L8CtTf4wmSqCEACDJOpglFJnT8AAAAAAREAAAD8/AD8AAIAAAAAAADwvwJpke18P3UQQAJ2ApoIG56uPwAAAAAsAAQBZQQAAAAAAAAAAAQIAWUEAAAAAAAAAAAEDAFlBAAAAAAAAAAABBABZQQAAAAAAAAAABAUAWUEAAAAAAAAAAAUGAFlCAwAAAAAAAAAGBwBZQQAAAAAAAAAABwgAWUICAAAAAAAAAAgJAFlBAAAAAAAAAAAJCgBZQgIAAAAAAAAACgUAWUEAAAAAAAAAAAAAAAA</t>
        </r>
      </text>
    </comment>
    <comment ref="A1403" authorId="0" shapeId="0" xr:uid="{F07FEDA6-5F8A-4760-A3B0-79B25086E8E2}">
      <text>
        <r>
          <rPr>
            <sz val="9"/>
            <color indexed="81"/>
            <rFont val="MS P ゴシック"/>
            <family val="3"/>
            <charset val="128"/>
          </rPr>
          <t>Insight iXlW00001C0001403R0585476093S00002804P01304LAocjBAQBF1NjaVRlZ2ljLmRhdGEuTW9sZWN1bGUBbwF/ARJTY2lUZWdpYy5Nb2xlY3VsZQAAAQFkAv5qAQAAAAIAAgERHAAAAPz8APwAAgAAAAAAAPC/AkVpb/CFycQ/AjnWxW00gPI/AAAAABgAAAD8/AD8AAIAAAAAAADwvwJFaW/whcnEPwLEsS5uowHEPwAAAAAYAAAA/PwA/AACAAAAAAAA8L8CMuauJeSD5r8CHqfoSC7/1b8AAAAAGAAAAPz8APwAAgAAAAAAAPC/Asx/SL99Hfm/AsSxLm6jAcQ/AAAAABgAAAD8/AD8AAIAAAAAAADwvwIH8BZIUHwDwAIep+hILv/VvwAAAAAYAAAA/PwA/AACAAAAAAAA8L8CKKCJsOFpCsACxLEubqMBxD8AAAAAIAAAAPz8APwAAgAAAAAAAPC/AiigibDhaQrAAjnWxW00gPI/AAAAABgAAAD8/AD8AAIAAAAAAADwvwIH8BZIUHwDwALIKTqSy3/6PwAAAAAYAAAA/PwA/AACAAAAAAAA8L8CzH9Iv30d+b8CyCk6kst/8j8AAAAAGAAAAPz8APwAAgAAAAAAAPC/AmpN845TdPA/Ah6n6Egu/9W/AAAAABgAAAD8/AD8AAIAAAAAAADwvwJqTfOOU3TwPwLIKTqSy3/1vwAAAAAYAAAA/PwA/AACAAAAAAAA8L8CrK3YX3ZP/j8COdbFbTSA/b8AAAAAGAAAAPz8APwAAgAAAAAAAPC/AvcGX5hMFQZAAjnWxW00gPW/AAAAABgAAAD8/AD8AAIAAAAAAADwvwL3Bl+YTBUGQALiWBe30QDWvwAAAAAkAAAA/PwA/AACAAAAAAAA8L8CUI2XbhIDDUACPE7RkVz+wz8AAAAAGAAAAPz8APwAAgAAAAAAAPC/Aqyt2F92T/4/AjxO0ZFc/sM/AAAAAAERAAAA/PwA/AACAAAAAAAA8L8C2/l+ary0EUACiWNd3EYDuL8AAAAAAREEAAFlBAAAAAAAAAAABAgBZQQAAAAAAAAAAAgMAWUEAAAAAAAAAAAMEAFlBAAAAAAAAAAAEBQBZQQAAAAAAAAAABQYAWUEAAAAAAAAAAAYHAFlBAAAAAAAAAAAHCABZQQAAAAAAAAAACAMAWUEAAAAAAAAAAAEJAFlBAAAAAAAAAAAJCgBZQgMAAAAAAAAACgsAWUEAAAAAAAAAAAsMAFlCAgAAAAAAAAAMDQBZQQAAAAAAAAAADQ4AWUEAAAAAAAAAAA0PAFlCAgAAAAAAAAAPCQBZQQAAAAAAAAAAAAAAAA=</t>
        </r>
      </text>
    </comment>
    <comment ref="A1404" authorId="0" shapeId="0" xr:uid="{0E7506BE-A785-49A2-BF83-7C4A632154FD}">
      <text>
        <r>
          <rPr>
            <sz val="9"/>
            <color indexed="81"/>
            <rFont val="MS P ゴシック"/>
            <family val="3"/>
            <charset val="128"/>
          </rPr>
          <t>Insight iXlW00001C0001404R0585476093S00002806P01320LAocjBAQBF1NjaVRlZ2ljLmRhdGEuTW9sZWN1bGUBbwF/ARJTY2lUZWdpYy5Nb2xlY3VsZQAAAQFkAv5qAQAAAAIAAgERGAAAAPz8APwAAgAAAAAAAPC/AsKGp1fKMuI/AjqSy39Iv9G/AAAAABgAAAD8/AD8AAIAAAAAAADwvwLyQc9m1WcCQALjNhrAWyDnPwAAAAAYAAAA/PwA/AACAAAAAAAA8L8C/mX35GGh2r8CB1+YTBWMur8AAAAAGAAAAPz8APwAAgAAAAAAAPC/AhrAWyBB8fC/AjGZKhiV1Ou/AAAAABgAAAD8/AD8AAIAAAAAAADwvwKjI7n8h/T2PwIdyeU/pN/ovwAAAAAYAAAA/PwA/AACAAAAAAAA8L8CwoanV8oy4j8C4zYawFsg5z8AAAAAGAAAAPz8APwAAgAAAAAAAPC/AqMjufyH9PY/AnIbDeAtkPM/AAAAABgAAAD8/AD8AAIAAAAAAADwvwLyQc9m1WcCQAI6kst/SL/RvwAAAAAcAAAA/PwA/AACAAAAAAAA8L8C3GgAb4EEzT8CRrbz/dR4878AAAAAJAAAAPz8APwAAgAAAAAAAPC/AhUdyeU/JAVAAintDb4wmfo/AAAAACQAAAD8/AD8AAIAAAAAAADwvwJjEFg5tEgKQALFILByaJHhPwAAAAAYAAAA/PwA/AACAAAAAAAA8L8Cfq62Yn9ZAMACE4PAyqFF5r8AAAAAIAAAAPz8APwAAgAAAAAAAPC/AsuhRbbzfQXAAqO0N/jCZPe/AAAAABgAAAD8/AD8AAIAAAAAAADwvwKKH2PuWkLovwKOl24Sg8DqPwAAAAAYAAAA/PwA/AACAAAAAAAA8L8CpixDHOvi+78C1lbsL7sn8D8AAAAAGAAAAPz8APwAAgAAAAAAAPC/AqCJsOHpFQPAAm+BBMWPMc8/AAAAABgAAAD8/AD8AAIAAAAAAADwvwI7cM6I0l4NwAKTqYJRSZ30vwAAAAABEgQYAWUEAAAAAAAAAAAIAAFlBAAAAAAAAAAADAgBZQQAAAAAAAAAABAAAWUEAAAAAAAAAAAUAAFlBAAAAAAAAAAAGBQBZQQAAAAAAAAAABwQAWUEAAAAAAAAAAAgAAFlBAAAAAAAAAAAJAQBZQQAAAAAAAAAACgEAWUEAAAAAAAAAAAsDAFlCAwAAAAAAAAAMCwBZQQAAAAAAAAAADQIAWUIDAAAAAAAAAA4NAFlBAAAAAAAAAAAPDgBZQgIAAAAAAAAAAEQMAFlBAAAAAAAAAAABBwBZQQAAAAAAAAAACw8AWUEAAAAAAAAAAAAAAAA</t>
        </r>
      </text>
    </comment>
    <comment ref="A1405" authorId="0" shapeId="0" xr:uid="{BFEB7236-32CF-4A01-AE62-315A806CB8C5}">
      <text>
        <r>
          <rPr>
            <sz val="9"/>
            <color indexed="81"/>
            <rFont val="MS P ゴシック"/>
            <family val="3"/>
            <charset val="128"/>
          </rPr>
          <t>Insight iXlW00001C0001405R0585476093S00002808P00788LAocjBAQBF1NjaVRlZ2ljLmRhdGEuTW9sZWN1bGUBbwF/ARJTY2lUZWdpYy5Nb2xlY3VsZQAAAQFkAv5qAQAAAAIAAigYAAAA/PwA/AACAAAAAAAA8L8Cw/UoXI/C1T8CZ2ZmZmZm6j8AAAAAGAAAAPz8APwAAgAAAAAAAPC/Av9D+u3rwPA/AljKMsSxLr4/AAAAABgAAAD8/AD8AAIAAAAAAADwvwKMSuoENBH8PwJnZmZmZmbqPwAAAAAcAAAA/PwA/AACAAAAAAAA8L8CjErqBDQR/D8C0bNZ9bna4r8AAAAAGAAAAPz8APwAAgAAAAAAAPC/AsP1KFyPwtU/AtGzWfW52uK/AAAAABgAAAD8/AD8AAIAAAAAAADwvwLzH9JvXwfkvwIwTKYKRiXVvwAAAAAYAAAA/PwA/AACAAAAAAAA8L8CO3DOiNLe978CGCZTBaOS6r8AAAAAGAAAAPz8APwAAgAAAAAAAPC/AjtwzojS3v+/ArWmeccpOqI/AAAAABgAAAD8/AD8AAIAAAAAAADwvwL6D+m3rwPyvwJsmnecoiPhPwAAAAABEQAAAPz8APwAAgAAAAAAAPC/Aq2L22gAbwRAAq7YX3ZPHma/AAAAACQABAFlBAAAAAAAAAAABAgBZQQAAAAAAAAAAAQMAWUEAAAAAAAAAAAEEAFlBAAAAAAAAAAAEBQBZQQAAAAAAAAAABQYAWUEAAAAAAAAAAAYHAFlBAAAAAAAAAAAHCABZQQAAAAAAAAAACAUAWUEAAAAAAAAAAAAAAAA</t>
        </r>
      </text>
    </comment>
    <comment ref="A1406" authorId="0" shapeId="0" xr:uid="{52C2E830-2660-422E-B760-59E97E4AA3AC}">
      <text>
        <r>
          <rPr>
            <sz val="9"/>
            <color indexed="81"/>
            <rFont val="MS P ゴシック"/>
            <family val="3"/>
            <charset val="128"/>
          </rPr>
          <t>Insight iXlW00001C0001406R0585476093S00002810P00892LAocjBAQBF1NjaVRlZ2ljLmRhdGEuTW9sZWN1bGUBbwF/ARJTY2lUZWdpYy5Nb2xlY3VsZQAAAQFkAv5qAQAAAAIAAiwcAAAA/PwA/AACAAAAAAAA8L8CC0YldQKa+j8CjnVxGw3g1T8AAAAAGAAAAPz8APwAAgAAAAAAAPC/Aibkg57Nqr8/AuQUHcnlP8S/AAAAABwAAAD8/AD8AAIAAAAAAADwvwJR2ht8YTLxPwLvycNCrWnyPwAAAAAYAAAA/PwA/AACAAAAAAAA8L8CUdobfGEy8T8Cnzws1Jrm3b8AAAAAGAAAAPz8APwAAgAAAAAAAPC/Aibkg57Nqr8/Ase6uI0G8Oo/AAAAABgAAAD8/AD8AAIAAAAAAADwvwL/Q/rt68DnvwI5RUdy+Q/lvwAAAAAkAAAA/PwA/AACAAAAAAAA8L8C/0P67evA578CnaIjufyH+r8AAAAAGAAAAPz8APwAAgAAAAAAAPC/At1GA3gLJPY/Asb+snvysPa/AAAAABgAAAD8/AD8AAIAAAAAAADwvwJBguLHmLv5vwLHuriNBvDqPwAAAAAYAAAA/PwA/AACAAAAAAAA8L8C/0P67evA578CZF3cRgN49T8AAAAAGAAAAPz8APwAAgAAAAAAAPC/AkGC4seYu/m/AuQUHcnlP8S/AAAAADAEDAFlBAAAAAAAAAAACAABZQQAAAAAAAAAAAwAAWUICAAAAAAAAAAQCAFlBAAAAAAAAAAAFAQBZQgIAAAAAAAAABgUAWUEAAAAAAAAAAAcDAFlBAAAAAAAAAAAICQBZQQAAAAAAAAAACQQAWUIDAAAAAAAAAAoFAFlBAAAAAAAAAAAEAQBZQQAAAAAAAAAACAoAWUICAAAAAAAAAAAAAAA</t>
        </r>
      </text>
    </comment>
    <comment ref="A1407" authorId="0" shapeId="0" xr:uid="{9E29C838-5289-4A14-AD24-F5542FE7325E}">
      <text>
        <r>
          <rPr>
            <sz val="9"/>
            <color indexed="81"/>
            <rFont val="MS P ゴシック"/>
            <family val="3"/>
            <charset val="128"/>
          </rPr>
          <t>Insight iXlW00001C0001407R0585476093S00002812P01104LAocjBAQBF1NjaVRlZ2ljLmRhdGEuTW9sZWN1bGUBbwF/ARJTY2lUZWdpYy5Nb2xlY3VsZQAAAQFkAv5qAQAAAAIAAjgcAAAA/PwA/AACAAAAAAAA8L8CgnNGlPYGA0ACk6mCUUmd3D8AAAAAGAAAAPz8APwAAgAAAAAAAPC/Ane+nxov3eo/Amiz6nO1Fau/AAAAABgAAAD8/AD8AAIAAAAAAADwvwKKQWDl0CL8vwJVUiegibDhvwAAAAAcAAAA/PwA/AACAAAAAAAA8L8CS3uDL0ym/D8C8BZIUPwY9D8AAAAAGAAAAPz8APwAAgAAAAAAAPC/AopBYOXQIpu/AjerPldbseG/AAAAABgAAAD8/AD8AAIAAAAAAADwvwJLe4MvTKb8PwKaCBueXinXvwAAAAAYAAAA/PwA/AACAAAAAAAA8L8CkML1KFyP7L8CaLPqc7UVq78AAAAAGAAAAPz8APwAAgAAAAAAAPC/Ane+nxov3eo/AspUwaikTu4/AAAAABgAAAD8/AD8AAIAAAAAAADwvwKQwvUoXI/svwLKVMGopE7uPwAAAAAYAAAA/PwA/AACAAAAAAAA8L8CikFg5dAim78CZapgVFIn9z8AAAAAJAAAAPz8APwAAgAAAAAAAPC/AolBYOXQIvS/At21hHzQs/a/AAAAACQAAAD8/AD8AAIAAAAAAADwvwIep+hILv8EwAIqqRPQRNjwvwAAAAAkAAAA/PwA/AACAAAAAAAA8L8CxSCwcmgRAsACXtxGA3gL1D8AAAAAGAAAAPz8APwAAgAAAAAAAPC/AutztRX7ywBAAsSxLm6jAfW/AAAAADwEFAFlCAwAAAAAAAAACBgBZQQAAAAAAAAAAAwAAWUEAAAAAAAAAAAQBAFlBAAAAAAAAAAAFAABZQQAAAAAAAAAABgQAWUIDAAAAAAAAAAcDAFlCAwAAAAAAAAAICQBZQgIAAAAAAAAACQcAWUEAAAAAAAAAAAoCAFlBAAAAAAAAAAALAgBZQQAAAAAAAAAADAIAWUEAAAAAAAAAAA0FAFlBAAAAAAAAAAAHAQBZQQAAAAAAAAAACAYAWUEAAAAAAAAAAAAAAAA</t>
        </r>
      </text>
    </comment>
    <comment ref="A1408" authorId="0" shapeId="0" xr:uid="{66808B2F-491A-44F6-A6FE-2E578AF41BED}">
      <text>
        <r>
          <rPr>
            <sz val="9"/>
            <color indexed="81"/>
            <rFont val="MS P ゴシック"/>
            <family val="3"/>
            <charset val="128"/>
          </rPr>
          <t>Insight iXlW00001C0001408R0585476093S00002814P01196LAocjBAQBF1NjaVRlZ2ljLmRhdGEuTW9sZWN1bGUBbwF/ARJTY2lUZWdpYy5Nb2xlY3VsZQAAAQFkAv5qAQAAAAIAAjwcAAAA/PwA/AACAAAAAAAA8L8CNDMzMzMz278CzqrP1Vbs9j8AAAAAGAAAAPz8APwAAgAAAAAAAPC/AgU0ETY8vZK/ApOpglFJneA/AAAAABwAAAD8/AD8AAIAAAAAAADwvwL0bFZ9rrb2vwJVwaikTkD1PwAAAAAYAAAA/PwA/AACAAAAAAAA8L8Cku18PzVe6L8CMzMzMzMzw78AAAAAGAAAAPz8APwAAgAAAAAAAPC/AgvXo3A9Cvq/AmdmZmZmZtY/AAAAABgAAAD8/AD8AAIAAAAAAADwvwL1bFZ9rrbuPwIK+aBns+rTPwAAAAAcAAAA/PwA/AACAAAAAAAA8L8CwOyePCxUB0ACnl4pyxDHur8AAAAAGAAAAPz8APwAAgAAAAAAAPC/ApLtfD81Xui/AmdmZmZmZvK/AAAAABgAAAD8/AD8AAIAAAAAAADwvwJ6Nqs+V9sEQAJKDAIrhxbrPwAAAAAYAAAA/PwA/AACAAAAAAAA8L8CYOXQItv5AUAC4zYawFsg678AAAAAGAAAAPz8APwAAgAAAAAAAPC/AqabxCCw8gPAAjMzMzMzM8O/AAAAABgAAAD8/AD8AAIAAAAAAADwvwJ3Tx4Wak30PwK3Yn/ZPXnkvwAAAAAYAAAA/PwA/AACAAAAAAAA8L8COUVHcvkP+j8CO3DOiNLe8D8AAAAAGAAAAPz8APwAAgAAAAAAAPC/AgvXo3A9Cvq/AmdmZmZmZvq/AAAAABgAAAD8/AD8AAIAAAAAAADwvwKmm8QgsPIDwAJnZmZmZmbyvwAAAAABEQQAAWUICAAAAAAAAAAIAAFlBAAAAAAAAAAADAQBZQQAAAAAAAAAABAIAWUEAAAAAAAAAAAUBAFlBAAAAAAAAAAAGCABZQQAAAAAAAAAABwMAWUIDAAAAAAAAAAgMAFlCAgAAAAAAAAAJCwBZQQAAAAAAAAAACgQAWUIDAAAAAAAAAAsFAFlCAwAAAAAAAAAMBQBZQQAAAAAAAAAADQcAWUEAAAAAAAAAAA4KAFlBAAAAAAAAAAADBABZQQAAAAAAAAAACQYAWUICAAAAAAAAAA0OAFlCAgAAAAAAAAAAAAAAA==</t>
        </r>
      </text>
    </comment>
    <comment ref="A1409" authorId="0" shapeId="0" xr:uid="{103C50EA-E518-44B3-94C4-9AC9B3C9233D}">
      <text>
        <r>
          <rPr>
            <sz val="9"/>
            <color indexed="81"/>
            <rFont val="MS P ゴシック"/>
            <family val="3"/>
            <charset val="128"/>
          </rPr>
          <t>Insight iXlW00001C0001409R0585476093S00002816P00892LAocjBAQBF1NjaVRlZ2ljLmRhdGEuTW9sZWN1bGUBbwF/ARJTY2lUZWdpYy5Nb2xlY3VsZQAAAQFkAv5qAQAAAAIAAiwcAAAA/PwA/AACAAAAAAAA8L8CkDF3LSEf/T8CVVInoImwsb8AAAAAHAAAAPz8APwAAgAAAAAAAPC/AtbFbTSAt/M/AmHD0ytlGey/AAAAABgAAAD8/AD8AAIAAAAAAADwvwIep+hILv/RPwJL6gQ0ETbivwAAAAAYAAAA/PwA/AACAAAAAAAA8L8CHqfoSC7/0T8Cayv2l92T2z8AAAAAGAAAAPz8APwAAgAAAAAAAPC/AtbFbTSAt/M/AszuycNCrec/AAAAABgAAAD8/AD8AAIAAAAAAADwvwL0bFZ9rrbivwImdQKaCBvxvwAAAAAYAAAA/PwA/AACAAAAAAAA8L8C9GxWfa624r8CthX7y+7J7T8AAAAAGAAAAPz8APwAAgAAAAAAAPC/AryWkA96Nve/AkvqBDQRNuK/AAAAABgAAAD8/AD8AAIAAAAAAADwvwK8lpAPejb3vwJrK/aX3ZPbPwAAAAAkAAAA/PwA/AACAAAAAAAA8L8Ct9EA3gKJAsACJnUCmggb8b8AAAAAGAAAAPz8APwAAgAAAAAAAPC/AmIyVTAqqfg/AnWTGARWDvs/AAAAADAEAAFlBAAAAAAAAAAACAQBZQgMAAAAAAAAAAwQAWUIDAAAAAAAAAAQAAFlBAAAAAAAAAAAFAgBZQQAAAAAAAAAABgMAWUEAAAAAAAAAAAcFAFlCAwAAAAAAAAAIBgBZQgIAAAAAAAAACQcAWUEAAAAAAAAAAAoEAFlBAAAAAAAAAAACAwBZQQAAAAAAAAAABwgAWUEAAAAAAAAAAAAAAAA</t>
        </r>
      </text>
    </comment>
    <comment ref="A1410" authorId="0" shapeId="0" xr:uid="{1336025D-C128-4E8D-A69A-FC22692D614A}">
      <text>
        <r>
          <rPr>
            <sz val="9"/>
            <color indexed="81"/>
            <rFont val="MS P ゴシック"/>
            <family val="3"/>
            <charset val="128"/>
          </rPr>
          <t>Insight iXlW00001C0001410R0585476093S00002818P00892LAocjBAQBF1NjaVRlZ2ljLmRhdGEuTW9sZWN1bGUBbwF/ARJTY2lUZWdpYy5Nb2xlY3VsZQAAAQFkAv5qAQAAAAIAAiwcAAAA/PwA/AACAAAAAAAA8L8CjSjtDb4w4b8CjNtoAG+B8z8AAAAAGAAAAPz8APwAAgAAAAAAAPC/Akw3iUFg5cA/AhFYObTIdt4/AAAAABwAAAD8/AD8AAIAAAAAAADwvwK8lpAPejb3vwIep+hILv/pPwAAAAAYAAAA/PwA/AACAAAAAAAA8L8CWmQ730+N178CutqK/WX32L8AAAAAGAAAAPz8APwAAgAAAAAAAPC/AtIA3gIJivW/AjsBTYQNT8e/AAAAABgAAAD8/AD8AAIAAAAAAADwvwJ5eqUsQxzyPwIRWDm0yHbePwAAAAAkAAAA/PwA/AACAAAAAAAA8L8CeXqlLEMc+j8CRrbz/dR49T8AAAAAGAAAAPz8APwAAgAAAAAAAPC/AsTTK2UZ4sA/AvAWSFD8GPS/AAAAABgAAAD8/AD8AAIAAAAAAADwvwJ5eqUsQxzyPwJ/arx0kxj0vwAAAAAYAAAA/PwA/AACAAAAAAAA8L8CZRniWBe3AMACzV1LyAc9678AAAAAGAAAAPz8APwAAgAAAAAAAPC/Anl6pSxDHPo/AvYoXI/C9di/AAAAADAEAAFlBAAAAAAAAAAACAABZQQAAAAAAAAAAAwEAWUEAAAAAAAAAAAQCAFlCAwAAAAAAAAAFAQBZQgIAAAAAAAAABgUAWUEAAAAAAAAAAAcDAFlCAgAAAAAAAAAIBwBZQQAAAAAAAAAACQQAWUEAAAAAAAAAAAoFAFlBAAAAAAAAAAADBABZQQAAAAAAAAAACggAWUICAAAAAAAAAAAAAAA</t>
        </r>
      </text>
    </comment>
    <comment ref="A1411" authorId="0" shapeId="0" xr:uid="{C88DCA81-E45C-4D48-9C84-8B5DA9D758A7}">
      <text>
        <r>
          <rPr>
            <sz val="9"/>
            <color indexed="81"/>
            <rFont val="MS P ゴシック"/>
            <family val="3"/>
            <charset val="128"/>
          </rPr>
          <t>Insight iXlW00001C0001411R0585476093S00002820P01072LAocjBAQBF1NjaVRlZ2ljLmRhdGEuTW9sZWN1bGUBbwF/ARJTY2lUZWdpYy5Nb2xlY3VsZQAAAQFkAv5qAQAAAAIAAjgYAAAA/PwA/AACAAAAAAAA8L8CGLfRAN4C8b8CsHJoke18+L8AAAAAGAAAAPz8APwAAgAAAAAAAPC/Ahi30QDeAvG/AmDl0CLb+eC/AAAAABwAAAD8/AD8AAIAAAAAAADwvwJZF7fRAN7+vwIJrBxaZDufvwAAAAAYAAAA/PwA/AACAAAAAAAA8L8CWRe30QDe/r8CoBov3SQG7z8AAAAAGAAAAPz8APwAAgAAAAAAAPC/Ahi30QDeAvG/AlCNl24Sg/c/AAAAABgAAAD8/AD8AAIAAAAAAADwvwKvtmJ/2T3JvwKgGi/dJAbvPwAAAAAYAAAA/PwA/AACAAAAAAAA8L8Cr7Zif9k9yb8CCawcWmQ7n78AAAAAGAAAAPz8APwAAgAAAAAAAPC/AtgS8kHPZuU/AmDl0CLb+eC/AAAAABwAAAD8/AD8AAIAAAAAAADwvwLYEvJBz2blPwKwcmiR7Xz4vwAAAAAYAAAA/PwA/AACAAAAAAAA8L8CHxZqTfOO+D8CCawcWmQ7n78AAAAAGAAAAPz8APwAAgAAAAAAAPC/Ag8LtaZ5RwRAAgmsHFpkO5+/AAAAABgAAAD8/AD8AAIAAAAAAADwvwIPC7WmeUcAQAIj2/l+arzqPwAAAAABEQAAAPz8APwAAgAAAAAAAPC/AnZxGw3grQpAAnzysFBrmqe/AAAAAAERAAAA/PwA/AACAAAAAAAA8L8CSS7/If12EUACMuauJeSDjr8AAAAANAAEAWUEAAAAAAAAAAAECAFlCAwAAAAAAAAACAwBZQQAAAAAAAAAAAwQAWUICAAAAAAAAAAQFAFlBAAAAAAAAAAAFBgBZQgIAAAAAAAAABgEAWUEAAAAAAAAAAAYHAFlBAAAAAAAAAAAHCABZQQAAAAAAAAAABwkAWUEAAAAAAAAAAAkKAFlBAAAAAAAAAAAKCwBZQQAAAAAAAAAACwkAWUEAAAAAAAAAAAAAAAA</t>
        </r>
      </text>
    </comment>
    <comment ref="A1412" authorId="0" shapeId="0" xr:uid="{593F6814-C094-4743-A311-4CE1DB2F7122}">
      <text>
        <r>
          <rPr>
            <sz val="9"/>
            <color indexed="81"/>
            <rFont val="MS P ゴシック"/>
            <family val="3"/>
            <charset val="128"/>
          </rPr>
          <t>Insight iXlW00001C0001412R0585476093S00002822P01004LAocjBAQBF1NjaVRlZ2ljLmRhdGEuTW9sZWN1bGUBbwF/ARJTY2lUZWdpYy5Nb2xlY3VsZQAAAQFkAv5qAQAAAAIAAjQcAAAA/PwA/AACAAAAAAAA8L8CDJOpglFJ9T8CrmnecYqO8r8AAAAAGAAAAPz8APwAAgAAAAAAAPC/AhgmUwWjkuo/Aq8l5IOezdK/AAAAABgAAAD8/AD8AAIAAAAAAADwvwIMk6mCUUn1PwKsrdhfdk/iPwAAAAAYAAAA/PwA/AACAAAAAAAA8L8Cp3nHKTqSAUAC1lbsL7sn8T8AAAAAGAAAAPz8APwAAgAAAAAAAPC/AgyTqYJRSfU/AtZW7C+7J/k/AAAAABgAAAD8/AD8AAIAAAAAAADwvwKhZ7Pqc7XFvwKvJeSDns3SvwAAAAAYAAAA/PwA/AACAAAAAAAA8L8C6dms+lxt5b8CrmnecYqO8r8AAAAAGAAAAPz8APwAAgAAAAAAAPC/AvRsVn2utvq/Aq5p3nGKjvK/AAAAABwAAAD8/AD8AAIAAAAAAADwvwJ6Nqs+V1sBwAKvJeSDns3SvwAAAAAYAAAA/PwA/AACAAAAAAAA8L8C9GxWfa62+r8CrK3YX3ZP4j8AAAAAGAAAAPz8APwAAgAAAAAAAPC/AunZrPpcbeW/Aqyt2F92T+I/AAAAAAERAAAA/PwA/AACAAAAAAAA8L8CDeAtkKD4B0AChQ1Pr5RlyD8AAAAAAREAAAD8/AD8AAIAAAAAAADwvwKVZYhjXRwQQALAWyBB8WPMPwAAAAAwBAABZQQAAAAAAAAAAAQIAWUEAAAAAAAAAAAIDAFlBAAAAAAAAAAADBABZQQAAAAAAAAAABAIAWUEAAAAAAAAAAAEFAFlBAAAAAAAAAAAFBgBZQgMAAAAAAAAABgcAWUEAAAAAAAAAAAcIAFlCAgAAAAAAAAAICQBZQQAAAAAAAAAACQoAWUICAAAAAAAAAAoFAFlBAAAAAAAAAAAAAAAAA==</t>
        </r>
      </text>
    </comment>
    <comment ref="A1413" authorId="0" shapeId="0" xr:uid="{1DA3D361-E83E-49FF-8CBF-7DE706DD91D5}">
      <text>
        <r>
          <rPr>
            <sz val="9"/>
            <color indexed="81"/>
            <rFont val="MS P ゴシック"/>
            <family val="3"/>
            <charset val="128"/>
          </rPr>
          <t>Insight iXlW00001C0001413R0585476093S00002824P01036LAocjBAQBF1NjaVRlZ2ljLmRhdGEuTW9sZWN1bGUBbwF/ARJTY2lUZWdpYy5Nb2xlY3VsZQAAAQFkAv5qAQAAAAIAAjQYAAAA/PwA/AACAAAAAAAA8L8CMuauJeSD+D8CpAG8BRIU278AAAAAHAAAAPz8APwAAgAAAAAAAPC/AuELk6mCUeU/AtIA3gIJiu2/AAAAABwAAAD8/AD8AAIAAAAAAADwvwIy5q4l5IP4PwIv/yH99nXiPwAAAAAYAAAA/PwA/AACAAAAAAAA8L8CEjY8vVKWyb8CpAG8BRIU278AAAAAGAAAAPz8APwAAgAAAAAAAPC/AhI2PL1Slsm/Ai//If32deI/AAAAABgAAAD8/AD8AAIAAAAAAADwvwLhC5OpglHlPwKX/5B++zrxPwAAAAAYAAAA/PwA/AACAAAAAAAA8L8CBOeMKO0N8b8C0gDeAgmK7b8AAAAAIAAAAPz8APwAAgAAAAAAAPC/AjojSnuDLwNAAtIA3gIJiu2/AAAAABgAAAD8/AD8AAIAAAAAAADwvwIE54wo7Q3xvwKX/5B++zrxPwAAAAAYAAAA/PwA/AACAAAAAAAA8L8CRkdy+Q/p/r8CpAG8BRIU278AAAAAGAAAAPz8APwAAgAAAAAAAPC/AkZHcvkP6f6/Ai//If32deI/AAAAABgAAAD8/AD8AAIAAAAAAADwvwI6I0p7gy8DQAKX/5B++zrxPwAAAAABIwAAAPz8APwAAgAAAAAAAPC/AsTTK2UZYgbAAtIA3gIJiu2/AAAAADgEAAFlBAAAAAAAAAAACAABZQQAAAAAAAAAAAwEAWUEAAAAAAAAAAAQDAFlCAwAAAAAAAAAFAgBZQQAAAAAAAAAABgMAWUEAAAAAAAAAAAcAAFlCAAAAAAAAAAAIBABZQQAAAAAAAAAACQYAWUIDAAAAAAAAAAoIAFlCAgAAAAAAAAALAgBZQQAAAAAAAAAADAkAWUEAAAAAAAAAAAUEAFlBAAAAAAAAAAAKCQBZQQAAAAAAAAAAAAAAAA=</t>
        </r>
      </text>
    </comment>
    <comment ref="A1414" authorId="0" shapeId="0" xr:uid="{923FDBF0-33F8-4752-9A46-6EB63B8F175D}">
      <text>
        <r>
          <rPr>
            <sz val="9"/>
            <color indexed="81"/>
            <rFont val="MS P ゴシック"/>
            <family val="3"/>
            <charset val="128"/>
          </rPr>
          <t>Insight iXlW00001C0001414R0585476093S00002826P00932LAocjBAQBF1NjaVRlZ2ljLmRhdGEuTW9sZWN1bGUBbwF/ARJTY2lUZWdpYy5Nb2xlY3VsZQAAAQFkAv5qAQAAAAIAAjAgAAAA/PwA/AACAAAAAAAA8L8CYHZPHhZqBcAChC9MpgpG5z8AAAAAGAAAAPz8APwAAgAAAAAAAPC/An+MuWsJ+fy/Ag6+MJkqGM0/AAAAACAAAAD8/AD8AAIAAAAAAADwvwJ/jLlrCfn8vwJ90LNZ9bnovwAAAAAYAAAA/PwA/AACAAAAAAAA8L8CmP+Qfvs67r8ChC9MpgpG5z8AAAAAGAAAAPz8APwAAgAAAAAAAPC/AqH4MeauJbS/Ag6+MJkqGM0/AAAAABgAAAD8/AD8AAIAAAAAAADwvwKh+DHmriW0vwJ90LNZ9bnovwAAAAAYAAAA/PwA/AACAAAAAAAA8L8Cb4EExY8x6T8CP+jZrPpc9L8AAAAAGAAAAPz8APwAAgAAAAAAAPC/AvmgZ7Pqc/o/An3Qs1n1uei/AAAAABgAAAD8/AD8AAIAAAAAAADwvwL5oGez6nP6PwIOvjCZKhjNPwAAAAABEQAAAPz8APwAAgAAAAAAAPC/Ap6AJsKGJwRAAoQvTKYKRuc/AAAAABwAAAD8/AD8AAIAAAAAAADwvwJvgQTFjzHpPwKEL0ymCkbnPwAAAAABEQAAAPz8APwAAgAAAAAAAPC/AgTnjCjtjQpAAvmgZ7Pqc9G/AAAAACwABAFlBAAAAAAAAAAABAgBZQgAAAAAAAAAAAQMAWUEAAAAAAAAAAAMEAFlBAAAAAAAAAAAEBQBZQgMAAAAAAAAABQYAWUEAAAAAAAAAAAYHAFlCAgAAAAAAAAAHCABZQQAAAAAAAAAACAkAWUEAAAAAAAAAAAgKAFlCAgAAAAAAAAAKBABZQQAAAAAAAAAAAAAAAA=</t>
        </r>
      </text>
    </comment>
    <comment ref="A1415" authorId="0" shapeId="0" xr:uid="{331DA5C5-8D72-404F-B263-A3C0D9CBB815}">
      <text>
        <r>
          <rPr>
            <sz val="9"/>
            <color indexed="81"/>
            <rFont val="MS P ゴシック"/>
            <family val="3"/>
            <charset val="128"/>
          </rPr>
          <t>Insight iXlW00001C0001415R0585476093S00002828P01268LAocjBAQBF1NjaVRlZ2ljLmRhdGEuTW9sZWN1bGUBbwF/ARJTY2lUZWdpYy5Nb2xlY3VsZQAAAQFkAv5qAQAAAAIAAgEQGAAAAPz8APwAAgAAAAAAAPC/Ak9AE2HD0/O/AjnWxW00gOU/AAAAABwAAAD8/AD8AAIAAAAAAADwvwIqqRPQRNjkvwIZBFYOLbL3PwAAAAAYAAAA/PwA/AACAAAAAAAA8L8CKqkT0ETY5L8C8KfGSzeJwb8AAAAAGAAAAPz8APwAAgAAAAAAAPC/Aucdp+hILtM/Amu8dJMYBMY/AAAAABgAAAD8/AD8AAIAAAAAAADwvwLnHafoSC7TPwId6+I2GsDyPwAAAAAYAAAA/PwA/AACAAAAAAAA8L8CuycPC7Wm8j8Cy6FFtvP91L8AAAAAIAAAAPz8APwAAgAAAAAAAPC/AiigibDh6QHAAld9rrZif+U/AAAAABgAAAD8/AD8AAIAAAAAAADwvwK7Jw8LtabyPwId6+I2GsD6PwAAAAAgAAAA/PwA/AACAAAAAAAA8L8COwFNhA1P9L8CjgbwFkhQAMAAAAAAGAAAAPz8APwAAgAAAAAAAPC/Av9D+u3rQABAAmu8dJMYBMY/AAAAABgAAAD8/AD8AAIAAAAAAADwvwL/Q/rt60AAQAKOl24Sg8DyPwAAAAAYAAAA/PwA/AACAAAAAAAA8L8CtaZ5xyk6kj8CC7Wmeccp7L8AAAAAGAAAAPz8APwAAgAAAAAAAPC/AuBPjZduEvq/AhWuR+F6FNa/AAAAACQAAAD8/AD8AAIAAAAAAADwvwIf9GxWfS4HQALLoUW28/3UvwAAAAAYAAAA/PwA/AACAAAAAAAA8L8CwhcmUwWj0r8ClfYGX5hM/b8AAAAAGAAAAPz8APwAAgAAAAAAAPC/Amu8dJMYBP+/AiPb+X5qvPS/AAAAAAESBAABZQQAAAAAAAAAAAgAAWUEAAAAAAAAAAAMCAFlBAAAAAAAAAAAEAQBZQQAAAAAAAAAABQMAWUIDAAAAAAAAAAYAAFlCAAAAAAAAAAAHBABZQgMAAAAAAAAACA4AWUEAAAAAAAAAAAkFAFlBAAAAAAAAAAAKBwBZQQAAAAAAAAAACwIAWUEAAAAAAAAAAAwCAFlBAAAAAAAAAAANCQBZQQAAAAAAAAAADgsAWUEAAAAAAAAAAA8MAFlBAAAAAAAAAAAEAwBZQQAAAAAAAAAACA8AWUEAAAAAAAAAAAoJAFlCAgAAAAAAAAAAAAAAA==</t>
        </r>
      </text>
    </comment>
    <comment ref="A1416" authorId="0" shapeId="0" xr:uid="{8CD78177-7E2D-40A9-AFE1-218F44EFEDEC}">
      <text>
        <r>
          <rPr>
            <sz val="9"/>
            <color indexed="81"/>
            <rFont val="MS P ゴシック"/>
            <family val="3"/>
            <charset val="128"/>
          </rPr>
          <t>Insight iXlW00001C0001416R0585476093S00002830P01124LAocjBAQBF1NjaVRlZ2ljLmRhdGEuTW9sZWN1bGUBbwF/ARJTY2lUZWdpYy5Nb2xlY3VsZQAAAQFkAv5qAQAAAAIAAjgcAAAA/PwA/AACAAAAAAAA8L8Cx0s3iUFgzT8CqFfKMsSx+b8AAAAAGAAAAPz8APwAAgAAAAAAAPC/AgdfmEwVjOK/AqXfvg6cM8q/AAAAABgAAAD8/AD8AAIAAAAAAADwvwIbL90kBoHZPwItQxzr4jZqPwAAAAAYAAAA/PwA/AACAAAAAAAA8L8CjpduEoPA7D8CQKTfvg6c678AAAAAGAAAAPz8APwAAgAAAAAAAPC/Avkx5q4l5OW/Ahx8YTJVMPO/AAAAACAAAAD8/AD8AAIAAAAAAADwvwK7SQwCK4cAwAKJQWDl0CLyPwAAAAAYAAAA/PwA/AACAAAAAAAA8L8CIh/0bFZ9+L8C4umVsgxx4L8AAAAAGAAAAPz8APwAAgAAAAAAAPC/AnrHKTqSy9e/Aqw+V1uxv+g/AAAAABgAAAD8/AD8AAIAAAAAAADwvwKOl24Sg8DsPwLH3LWEfNDrPwAAAAAYAAAA/PwA/AACAAAAAAAA8L8CjSjtDb4wAsACcM6I0t7gwz8AAAAAGAAAAPz8APwAAgAAAAAAAPC/Amb35GGh1vG/AhWuR+F6FPc/AAAAABgAAAD8/AD8AAIAAAAAAADwvwLHSzeJQWD+PwJApN++DpzrvwAAAAAYAAAA/PwA/AACAAAAAAAA8L8Cx0s3iUFg/j8Cx9y1hHzQ6z8AAAAAGAAAAPz8APwAAgAAAAAAAPC/AuSlm8QgMANAAi1DHOviNmo/AAAAAAEQBBABZQQAAAAAAAAAAAgMAWUIDAAAAAAAAAAMAAFlBAAAAAAAAAAAEAABZQQAAAAAAAAAABQoAWUEAAAAAAAAAAAYBAFlBAAAAAAAAAAAHAQBZQQAAAAAAAAAACAIAWUEAAAAAAAAAAAkGAFlBAAAAAAAAAAAKBwBZQQAAAAAAAAAACwMAWUEAAAAAAAAAAAwIAFlCAgAAAAAAAAANCwBZQgIAAAAAAAAAAgEAWUEAAAAAAAAAAA0MAFlBAAAAAAAAAAAFCQBZQQAAAAAAAAAAAAAAAA=</t>
        </r>
      </text>
    </comment>
    <comment ref="A1417" authorId="0" shapeId="0" xr:uid="{E25AB0A2-AE79-452C-BF4B-FD1A17A217F0}">
      <text>
        <r>
          <rPr>
            <sz val="9"/>
            <color indexed="81"/>
            <rFont val="MS P ゴシック"/>
            <family val="3"/>
            <charset val="128"/>
          </rPr>
          <t>Insight iXlW00001C0001417R0585476093S00002832P01196LAocjBAQBF1NjaVRlZ2ljLmRhdGEuTW9sZWN1bGUBbwF/ARJTY2lUZWdpYy5Nb2xlY3VsZQAAAQFkAv5qAQAAAAIAAjwcAAAA/PwA/AACAAAAAAAA8L8CLbKd76fG6T8C0m9fB84Z9D8AAAAAGAAAAPz8APwAAgAAAAAAAPC/Ap7vp8ZLN/A/AiDSb18HztE/AAAAABgAAAD8/AD8AAIAAAAAAADwvwLiehSuR+HCPwLAWyBB8WPMvwAAAAAYAAAA/PwA/AACAAAAAAAA8L8COUVHcvkP478CHA3gLZCg3D8AAAAAGAAAAPz8APwAAgAAAAAAAPC/Av7UeOkmMci/AktZhjjWxfU/AAAAABgAAAD8/AD8AAIAAAAAAADwvwLgT42XbhL+PwLAWyBB8WPMvwAAAAAgAAAA/PwA/AACAAAAAAAA8L8CmUwVjEpqBMACEce6uI0GoD8AAAAAJAAAAPz8APwAAgAAAAAAAPC/AhFYObTI9gVAAiDSb18HztE/AAAAABgAAAD8/AD8AAIAAAAAAADwvwLiehSuR+HCPwJ4CyQofozzvwAAAAAYAAAA/PwA/AACAAAAAAAA8L8CXLG/7J489L8CXtxGA3gL8z8AAAAAGAAAAPz8APwAAgAAAAAAAPC/Am7F/rJ78uy/ApAxdy0hH+C/AAAAABgAAAD8/AD8AAIAAAAAAADwvwKe76fGSzfwPwJ4CyQofoz7vwAAAAAYAAAA/PwA/AACAAAAAAAA8L8C4E+Nl24S/j8CeAskKH6M878AAAAAGAAAAPz8APwAAgAAAAAAAPC/AnKKjuTyH/6/Ap5eKcsQx+a/AAAAABgAAAD8/AD8AAIAAAAAAADwvwKMbOf7qfEBwAKP5PIf0m/vPwAAAAABEQQAAWUEAAAAAAAAAAAIBAFlCAwAAAAAAAAADBABZQQAAAAAAAAAABAAAWUEAAAAAAAAAAAUBAFlBAAAAAAAAAAAGDgBZQQAAAAAAAAAABwUAWUEAAAAAAAAAAAgCAFlBAAAAAAAAAAAJAwBZQQAAAAAAAAAACgMAWUEAAAAAAAAAAAsIAFlCAgAAAAAAAAAMBQBZQgIAAAAAAAAADQoAWUEAAAAAAAAAAA4JAFlBAAAAAAAAAAACAwBZQQAAAAAAAAAADAsAWUEAAAAAAAAAAAYNAFlBAAAAAAAAAAAAAAAAA==</t>
        </r>
      </text>
    </comment>
    <comment ref="A1418" authorId="0" shapeId="0" xr:uid="{2F20F9BA-F01C-4DFC-885F-4F485A30E1DB}">
      <text>
        <r>
          <rPr>
            <sz val="9"/>
            <color indexed="81"/>
            <rFont val="MS P ゴシック"/>
            <family val="3"/>
            <charset val="128"/>
          </rPr>
          <t>Insight iXlW00001C0001418R0585476093S00002834P01252LAocjBAQBF1NjaVRlZ2ljLmRhdGEuTW9sZWN1bGUBbwF/ARJTY2lUZWdpYy5Nb2xlY3VsZQAAAQFkAv5qAQAAAAIAAgEQAREAAAD8/AD8AAIAAAAAAADwvwIRWDm0yPYFwALRItv5fmr5vwAAAAAYAAAA/PwA/AACAAAAAAAA8L8C4E+Nl24S/r8C0SLb+X5q8b8AAAAAGAAAAPz8APwAAgAAAAAAAPC/Ap7vp8ZLN/C/AtEi2/l+avm/AAAAABgAAAD8/AD8AAIAAAAAAADwvwLiehSuR+HCvwLRItv5fmrxvwAAAAAYAAAA/PwA/AACAAAAAAAA8L8C4noUrkfhwr8CDy2yne+ntr8AAAAAGAAAAPz8APwAAgAAAAAAAPC/Ap7vp8ZLN/C/Ar10kxgEVto/AAAAABwAAAD8/AD8AAIAAAAAAADwvwIQC7WmecfpvwIIrBxaZDv2PwAAAAAYAAAA/PwA/AACAAAAAAAA8L8CdnEbDeAtyD8C8kHPZtXn9z8AAAAAGAAAAPz8APwAAgAAAAAAAPC/AjlFR3L5D+M/AtzXgXNGlOI/AAAAABgAAAD8/AD8AAIAAAAAAADwvwJcsb/snjz0PwJ2cRsN4C31PwAAAAAYAAAA/PwA/AACAAAAAAAA8L8CU5YhjnXxAUACYAfOGVHa8T8AAAAAIAAAAPz8APwAAgAAAAAAAPC/AtEi2/l+agRAAg6+MJkqGMU/AAAAABgAAAD8/AD8AAIAAAAAAADwvwLjNhrAWyD+PwKM22gAb4HivwAAAAAYAAAA/PwA/AACAAAAAAAA8L8CUB4Wak3z7D8Cvw6cM6K0178AAAAAGAAAAPz8APwAAgAAAAAAAPC/AuBPjZduEv6/Ag8tsp3vp7a/AAAAAAERAAAA/PwA/AACAAAAAAAA8L8COIlBYOXQCkAC7Q2+MJkqqL8AAAAAAREABAFlBAAAAAAAAAAABAgBZQgMAAAAAAAAAAgMAWUEAAAAAAAAAAAMEAFlCAgAAAAAAAAAEBQBZQQAAAAAAAAAABQYAWUEAAAAAAAAAAAYHAFlBAAAAAAAAAAAHCABZQQAAAAAAAAAACAQAWUEAAAAAAAAAAAgJAFlBAAAAAAAAAAAJCgBZQQAAAAAAAAAACgsAWUEAAAAAAAAAAAsMAFlBAAAAAAAAAAAMDQBZQQAAAAAAAAAADQgAWUEAAAAAAAAAAAUOAFlCAgAAAAAAAAAOAQBZQQAAAAAAAAAAAAAAAA=</t>
        </r>
      </text>
    </comment>
    <comment ref="A1419" authorId="0" shapeId="0" xr:uid="{3018042F-AAB4-4AC4-BFDF-3B69194E30BD}">
      <text>
        <r>
          <rPr>
            <sz val="9"/>
            <color indexed="81"/>
            <rFont val="MS P ゴシック"/>
            <family val="3"/>
            <charset val="128"/>
          </rPr>
          <t>Insight iXlW00001C0001419R0585476093S00002836P01412LAocjBAQBF1NjaVRlZ2ljLmRhdGEuTW9sZWN1bGUBbwF/ARJTY2lUZWdpYy5Nb2xlY3VsZQAAAQFkAv5qAQAAAAIAAgESGAAAAPz8APwAAgAAAAAAAPC/AgCRfvs68AFAAkp7gy9Mpsq/AAAAABgAAAD8/AD8AAIAAAAAAADwvwLarPpcbcXWvwKXkA96NqvSPwAAAAAcAAAA/PwA/AACAAAAAAAA8L8CRkdy+Q/p9L8CsVBrmnec+T8AAAAAGAAAAPz8APwAAgAAAAAAAPC/AhZqTfOOU+A/Akp7gy9Mpsq/AAAAABgAAAD8/AD8AAIAAAAAAADwvwJNFYxK6gT2PwJbQj7o2azSPwAAAAAYAAAA/PwA/AACAAAAAAAA8L8C1JrmHafo9L8CIv32deCckb8AAAAAGAAAAPz8APwAAgAAAAAAAPC/Atqs+lxtxda/Aibkg57NqvQ/AAAAABgAAAD8/AD8AAIAAAAAAADwvwKOBvAWSFD+vwJMyAc9m1XpPwAAAAAYAAAA/PwA/AACAAAAAAAA8L8CTRWMSuoE9j8CJuSDns2q9D8AAAAAGAAAAPz8APwAAgAAAAAAAPC/AhZqTfOOU+A/Aibkg57Nqvw/AAAAACQAAAD8/AD8AAIAAAAAAADwvwIAkX77OvAFQAKx4emVsgzlPwAAAAAkAAAA/PwA/AACAAAAAAAA8L8CIUHxY8zdCEAC097gC5Op5r8AAAAAJAAAAPz8APwAAgAAAAAAAPC/Ao91cRsN4Ps/Ahx8YTJVMPG/AAAAACAAAAD8/AD8AAIAAAAAAADwvwLrc7UV+8v+vwISFD/G3LX+vwAAAAAYAAAA/PwA/AACAAAAAAAA8L8CDwu1pnlHAsAC3pOHhVrTzL8AAAAAGAAAAPz8APwAAgAAAAAAAPC/AisYldQJaOS/AtsbfGEyVei/AAAAABgAAAD8/AD8AAIAAAAAAADwvwJC8WPMXUvuvwKL/WX35GH7vwAAAAAYAAAA/PwA/AACAAAAAAAA8L8CVcGopE7ABMACi47k8h/S8r8AAAAAARQEDAFlCAwAAAAAAAAACBgBZQQAAAAAAAAAAAwQAWUEAAAAAAAAAAAQAAFlBAAAAAAAAAAAFAQBZQQAAAAAAAAAABgEAWUEAAAAAAAAAAAcFAFlBAAAAAAAAAAAIBABZQgIAAAAAAAAACQgAWUEAAAAAAAAAAAoAAFlBAAAAAAAAAAALAABZQQAAAAAAAAAADAAAWUEAAAAAAAAAAA0ARABZQQAAAAAAAAAADgUAWUEAAAAAAAAAAA8FAFlBAAAAAAAAAAAARA8AWUEAAAAAAAAAAABETgBZQQAAAAAAAAAABgkAWUIDAAAAAAAAAAcCAFlBAAAAAAAAAAANAERAWUEAAAAAAAAAAAAAAAA</t>
        </r>
      </text>
    </comment>
    <comment ref="A1420" authorId="0" shapeId="0" xr:uid="{B6907DC9-FA65-405E-A4CB-69761EF1E204}">
      <text>
        <r>
          <rPr>
            <sz val="9"/>
            <color indexed="81"/>
            <rFont val="MS P ゴシック"/>
            <family val="3"/>
            <charset val="128"/>
          </rPr>
          <t>Insight iXlW00001C0001420R0585476093S00002838P01268LAocjBAQBF1NjaVRlZ2ljLmRhdGEuTW9sZWN1bGUBbwF/ARJTY2lUZWdpYy5Nb2xlY3VsZQAAAQFkAv5qAQAAAAIAAgEQGAAAAPz8APwAAgAAAAAAAPC/AjbNO07Rkay/AqmkTkATYeM/AAAAABwAAAD8/AD8AAIAAAAAAADwvwKamZmZmZndvwJZqDXNO074PwAAAAAcAAAA/PwA/AACAAAAAAAA8L8CHVpkO99P978C4L4OnDOi9j8AAAAAGAAAAPz8APwAAgAAAAAAAPC/AsUgsHJokem/ArmNBvAWSLC/AAAAABgAAAD8/AD8AAIAAAAAAADwvwLBOSNKe4PtPwL5oGez6nPZPwAAAAAYAAAA/PwA/AACAAAAAAAA8L8CpHA9Ctej+r8Cklz+Q/rt2z8AAAAAGAAAAPz8APwAAgAAAAAAAPC/At21hHzQs/M/AqFns+pzteG/AAAAACQAAAD8/AD8AAIAAAAAAADwvwJa9bnaiv3hPwJYObTIdr70vwAAAAAYAAAA/PwA/AACAAAAAAAA8L8C48eYu5aQ6b8C3GgAb4EE8b8AAAAAGAAAAPz8APwAAgAAAAAAAPC/AhFYObTIdvk/AsZtNIC3QPI/AAAAABgAAAD8/AD8AAIAAAAAAADwvwJzaJHtfD8EwAK5jQbwFkiwvwAAAAAYAAAA/PwA/AACAAAAAAAA8L8ClBgEVg6tAUACzjtO0ZFc6L8AAAAAGAAAAPz8APwAAgAAAAAAAPC/AqRwPQrXo/q/Amu8dJMYBPm/AAAAABgAAAD8/AD8AAIAAAAAAADwvwKuad5xio4EQAJgB84ZUdrtPwAAAAAYAAAA/PwA/AACAAAAAAAA8L8Cc2iR7Xw/BMACa7x0kxgE8b8AAAAAGAAAAPz8APwAAgAAAAAAAPC/AvMf0m9fBwdAAn/7OnDOiJK/AAAAAAESBAABZQgIAAAAAAAAAAgEAWUEAAAAAAAAAAAMAAFlBAAAAAAAAAAAEAABZQQAAAAAAAAAABQMAWUIDAAAAAAAAAAYEAFlBAAAAAAAAAAAHBgBZQQAAAAAAAAAACAMAWUEAAAAAAAAAAAkEAFlCAwAAAAAAAAAKBQBZQQAAAAAAAAAACwYAWUICAAAAAAAAAAwIAFlCAgAAAAAAAAANCQBZQQAAAAAAAAAADgoAWUICAAAAAAAAAA8NAFlCAgAAAAAAAAACBQBZQQAAAAAAAAAADwsAWUEAAAAAAAAAAA4MAFlBAAAAAAAAAAAAAAAAA==</t>
        </r>
      </text>
    </comment>
    <comment ref="A1421" authorId="0" shapeId="0" xr:uid="{6F212A65-4AA6-4C6A-9421-5C4E5090DBF8}">
      <text>
        <r>
          <rPr>
            <sz val="9"/>
            <color indexed="81"/>
            <rFont val="MS P ゴシック"/>
            <family val="3"/>
            <charset val="128"/>
          </rPr>
          <t>Insight iXlW00001C0001421R0585476093S00002840P01268LAocjBAQBF1NjaVRlZ2ljLmRhdGEuTW9sZWN1bGUBbwF/ARJTY2lUZWdpYy5Nb2xlY3VsZQAAAQFkAv5qAQAAAAIAAgEQHAAAAPz8APwAAgAAAAAAAPC/AmWqYFRSJ+S/AkzIBz2bVfU/AAAAABgAAAD8/AD8AAIAAAAAAADwvwKuad5xio7MvwJZF7fRAN7aPwAAAAAcAAAA/PwA/AACAAAAAAAA8L8C6Ugu/yH9+b8CYjJVMCqp8z8AAAAAGAAAAPz8APwAAgAAAAAAAPC/AnulLEMc6+6/As6qz9VW7M+/AAAAABgAAAD8/AD8AAIAAAAAAADwvwILtaZ5xynoPwIB3gIJih/LPwAAAAAYAAAA/PwA/AACAAAAAAAA8L8CcF8HzhlR/b8CmSoYldQJ0D8AAAAAGAAAAPz8APwAAgAAAAAAAPC/AkVpb/CFyfY/ApDC9Shcj+4/AAAAABgAAAD8/AD8AAIAAAAAAADwvwJIcvkP6TcDQAJj7lpCPujnPwAAAAAkAAAA/PwA/AACAAAAAAAA8L8Cp3nHKTqSCEACK6kT0ETY9z8AAAAAGAAAAPz8APwAAgAAAAAAAPC/AnulLEMc6+6/AulILv8h/fO/AAAAABgAAAD8/AD8AAIAAAAAAADwvwIRx7q4jQbxPwKegCbChqfnvwAAAAAYAAAA/PwA/AACAAAAAAAA8L8CLiEf9GxWAEACylTBqKRO7r8AAAAAGAAAAPz8APwAAgAAAAAAAPC/Atlfdk8elgXAAkZHcvkP6c+/AAAAABgAAAD8/AD8AAIAAAAAAADwvwKNKO0NvrAFQAJhw9MrZRnKvwAAAAAYAAAA/PwA/AACAAAAAAAA8L8C/7J78rBQ/b8C6Ugu/yH9+78AAAAAGAAAAPz8APwAAgAAAAAAAPC/Atlfdk8elgXAAulILv8h/fO/AAAAAAESBAABZQgIAAAAAAAAAAgAAWUEAAAAAAAAAAAMBAFlBAAAAAAAAAAAEAQBZQQAAAAAAAAAABQIAWUEAAAAAAAAAAAYEAFlCAwAAAAAAAAAHBgBZQQAAAAAAAAAACAcAWUEAAAAAAAAAAAkDAFlCAwAAAAAAAAAKBABZQQAAAAAAAAAACwoAWUICAAAAAAAAAAwFAFlCAwAAAAAAAAANCwBZQQAAAAAAAAAADgkAWUEAAAAAAAAAAA8MAFlBAAAAAAAAAAAFAwBZQQAAAAAAAAAADw4AWUICAAAAAAAAAA0HAFlCAgAAAAAAAAAAAAAAA==</t>
        </r>
      </text>
    </comment>
    <comment ref="A1422" authorId="0" shapeId="0" xr:uid="{FED4BE58-B9CE-413F-B410-635068982159}">
      <text>
        <r>
          <rPr>
            <sz val="9"/>
            <color indexed="81"/>
            <rFont val="MS P ゴシック"/>
            <family val="3"/>
            <charset val="128"/>
          </rPr>
          <t>Insight iXlW00001C0001422R0585476093S00002842P00892LAocjBAQBF1NjaVRlZ2ljLmRhdGEuTW9sZWN1bGUBbwF/ARJTY2lUZWdpYy5Nb2xlY3VsZQAAAQFkAv5qAQAAAAIAAiwcAAAA/PwA/AACAAAAAAAA8L8CkDF3LSEf/T8C5j+k374O0D8AAAAAGAAAAPz8APwAAgAAAAAAAPC/Ah6n6Egu/9E/AjWAt0CC4s+/AAAAABwAAAD8/AD8AAIAAAAAAADwvwLWxW00gLfzPwKFfNCzWfXwPwAAAAAYAAAA/PwA/AACAAAAAAAA8L8C1sVtNIC38z8CJLn8h/Tb4b8AAAAAGAAAAPz8APwAAgAAAAAAAPC/Ah6n6Egu/9E/AvMf0m9fB+g/AAAAABgAAAD8/AD8AAIAAAAAAADwvwL0bFZ9rrbivwIN4C2QoPjnvwAAAAAYAAAA/PwA/AACAAAAAAAA8L8C9GxWfa624r8C+g/pt68D9D8AAAAAGAAAAPz8APwAAgAAAAAAAPC/AryWkA96Nve/AjWAt0CC4s+/AAAAABgAAAD8/AD8AAIAAAAAAADwvwK8lpAPejb3vwLzH9JvXwfoPwAAAAAkAAAA/PwA/AACAAAAAAAA8L8Ct9EA3gKJAsACDeAtkKD4578AAAAAGAAAAPz8APwAAgAAAAAAAPC/AmIyVTAqqfg/AjBMpgpGJfi/AAAAADAEDAFlCAwAAAAAAAAACAABZQQAAAAAAAAAAAwAAWUEAAAAAAAAAAAQCAFlCAwAAAAAAAAAFAQBZQQAAAAAAAAAABgQAWUEAAAAAAAAAAAcFAFlCAwAAAAAAAAAIBgBZQgIAAAAAAAAACQcAWUEAAAAAAAAAAAoDAFlBAAAAAAAAAAAEAQBZQQAAAAAAAAAABwgAWUEAAAAAAAAAAAAAAAA</t>
        </r>
      </text>
    </comment>
    <comment ref="A1423" authorId="0" shapeId="0" xr:uid="{F740E67F-9D42-4EC7-B6AB-32440B24C3B7}">
      <text>
        <r>
          <rPr>
            <sz val="9"/>
            <color indexed="81"/>
            <rFont val="MS P ゴシック"/>
            <family val="3"/>
            <charset val="128"/>
          </rPr>
          <t>Insight iXlW00001C0001423R0585476093S00002844P00980LAocjBAQBF1NjaVRlZ2ljLmRhdGEuTW9sZWN1bGUBbwF/ARJTY2lUZWdpYy5Nb2xlY3VsZQAAAQFkAv5qAQAAAAIAAjAYAAAA/PwA/AACAAAAAAAA8L8CexSuR+F68b8Cz4jS3uAL3z8AAAAAHAAAAPz8APwAAgAAAAAAAPC/AuGcEaW9wdM/AjC7Jw8LtfQ/AAAAABgAAAD8/AD8AAIAAAAAAADwvwJ/+zpwzojgPwLTTWIQWDnUPwAAAAAYAAAA/PwA/AACAAAAAAAA8L8CCYofY+5a1r8CWmQ730+Nx78AAAAAGAAAAPz8APwAAgAAAAAAAPC/Ag0CK4cWWQDAAn4dOGdEaek/AAAAABgAAAD8/AD8AAIAAAAAAADwvwKS7Xw/NV79vwLjx5i7lpDHvwAAAAAYAAAA/PwA/AACAAAAAAAA8L8C/Rhz1xLy5b8COPjCZKpg9j8AAAAAGAAAAPz8APwAAgAAAAAAAPC/AgHeAgmKH/Y/AlpkO99Pjce/AAAAACQAAAD8/AD8AAIAAAAAAADwvwIhH/RsVv0BQALTTWIQWDnUPwAAAAAYAAAA/PwA/AACAAAAAAAA8L8CCYofY+5a1r8CjGzn+6nx8r8AAAAAGAAAAPz8APwAAgAAAAAAAPC/An/7OnDOiOA/Aoxs5/up8fq/AAAAABgAAAD8/AD8AAIAAAAAAADwvwIB3gIJih/2PwKMbOf7qfHyvwAAAAA4BBgBZQQAAAAAAAAAAAgMAWUIDAAAAAAAAAAMAAFlBAAAAAAAAAAAEAABZQQAAAAAAAAAABQAAWUEAAAAAAAAAAAYAAFlBAAAAAAAAAAAHAgBZQQAAAAAAAAAACAcAWUEAAAAAAAAAAAkDAFlBAAAAAAAAAAAKCQBZQgIAAAAAAAAACwcAWUICAAAAAAAAAAQFAFlBAAAAAAAAAAABAgBZQQAAAAAAAAAACwoAWUEAAAAAAAAAAAAAAAA</t>
        </r>
      </text>
    </comment>
    <comment ref="A1424" authorId="0" shapeId="0" xr:uid="{98D2E7C5-2F93-487B-8167-204A651A9F6C}">
      <text>
        <r>
          <rPr>
            <sz val="9"/>
            <color indexed="81"/>
            <rFont val="MS P ゴシック"/>
            <family val="3"/>
            <charset val="128"/>
          </rPr>
          <t>Insight iXlW00001C0001424R0585476093S00002846P01544LAocjBAQBF1NjaVRlZ2ljLmRhdGEuTW9sZWN1bGUBbwF/ARJTY2lUZWdpYy5Nb2xlY3VsZQAAAQFkAv5qAQAAAAIAAgEUJAAAAPz8APwAAgAAAAAAAPC/AkcDeAskKAdAAmUZ4lgXt+M/AAAAABgAAAD8/AD8AAIAAAAAAADwvwJHA3gLJCgDQAJ4nKIjufzPvwAAAAAkAAAA/PwA/AACAAAAAAAA8L8CaLPqc7UVCkACHqfoSC7/578AAAAAJAAAAPz8APwAAgAAAAAAAPC/Ao4G8BZIUP4/AtGzWfW52vG/AAAAABgAAAD8/AD8AAIAAAAAAADwvwJNpgpGJXX4PwLEsS5uowHQPwAAAAAYAAAA/PwA/AACAAAAAAAA8L8CTaYKRiV1+D8CcayL22gA9D8AAAAAGAAAAPz8APwAAgAAAAAAAPC/AhaMSuoENOU/AnGsi9toAPw/AAAAABgAAAD8/AD8AAIAAAAAAADwvwK30QDeAgnKvwJxrIvbaAD0PwAAAAAcAAAA/PwA/AACAAAAAAAA8L8CRrbz/dR48r8C/Rhz1xLy+D8AAAAAGAAAAPz8APwAAgAAAAAAAPC/AgAi/fZ14Pu/AgAAAAAAAOg/AAAAACAAAAD8/AD8AAIAAAAAAADwvwIAkX77OvAFwAIep+hILv/nPwAAAAAYAAAA/PwA/AACAAAAAAAA8L8CRrbz/dR48r8CRwN4CyQorr8AAAAAGAAAAPz8APwAAgAAAAAAAPC/AlfsL7snD9+/AkSLbOf7qem/AAAAABgAAAD8/AD8AAIAAAAAAADwvwJCz2bV52rpvwKx4emVsgz8vwAAAAAcAAAA/PwA/AACAAAAAAAA8L8C6+I2GsBb/L8Cx0s3iUFg/78AAAAAGAAAAPz8APwAAgAAAAAAAPC/Ag5Pr5RliAPAAj/G3LWEfPO/AAAAABgAAAD8/AD8AAIAAAAAAADwvwLImLuWkA8BwAKGWtO84xTRvwAAAAAYAAAA/PwA/AACAAAAAAAA8L8CQDVeukkMyr8CxLEubqMB0D8AAAAAGAAAAPz8APwAAgAAAAAAAPC/AhaMSuoENOU/AnicoiO5/M+/AAAAAAERAAAA/PwA/AACAAAAAAAA8L8C54wo7Q0+EEACNl66SQwCu78AAAAAARUABAFlBAAAAAAAAAAABAgBZQQAAAAAAAAAAAQMAWUEAAAAAAAAAAAEEAFlBAAAAAAAAAAAEBQBZQgMAAAAAAAAABQYAWUEAAAAAAAAAAAYHAFlCAwAAAAAAAAAHCABZQQAAAAAAAAAACAkAWUEAAAAAAAAAAAkKAFlCAAAAAAAAAAAJCwBZQQAAAAAAAAAACwwAWUEAAAAAAAAAAAwNAFlBAAAAAAAAAAANDgBZQQAAAAAAAAAADg8AWUEAAAAAAAAAAA8ARABZQQAAAAAAAAAAAEQLAFlBAAAAAAAAAAALAERAWUEAAAAAAAAAAABERwBZQQAAAAAAAAAAAERARIBZQgMAAAAAAAAAAESEAFlBAAAAAAAAAAAAAAAAA==</t>
        </r>
      </text>
    </comment>
    <comment ref="A1425" authorId="0" shapeId="0" xr:uid="{3E748422-9EB3-4784-BF48-E8FC87A3B7D6}">
      <text>
        <r>
          <rPr>
            <sz val="9"/>
            <color indexed="81"/>
            <rFont val="MS P ゴシック"/>
            <family val="3"/>
            <charset val="128"/>
          </rPr>
          <t>Insight iXlW00001C0001425R0585476093S00002848P01036LAocjBAQBF1NjaVRlZ2ljLmRhdGEuTW9sZWN1bGUBbwF/ARJTY2lUZWdpYy5Nb2xlY3VsZQAAAQFkAv5qAQAAAAIAAjQBIwAAAPz8APwAAgAAAAAAAPC/AiEf9GxW/QHAAmaIY13cRvi/AAAAABgAAAD8/AD8AAIAAAAAAADwvwIB3gIJih/2vwJmiGNd3EbwvwAAAAAYAAAA/PwA/AACAAAAAAAA8L8Cf/s6cM6I4L8CZohjXdxG+L8AAAAAGAAAAPz8APwAAgAAAAAAAPC/AgmKH2PuWtY/AmaIY13cRvC/AAAAABgAAAD8/AD8AAIAAAAAAADwvwIJih9j7lrWPwJlGeJYF7eRvwAAAAAYAAAA/PwA/AACAAAAAAAA8L8Cf/s6cM6I4L8Cat5xio7k3j8AAAAAHAAAAPz8APwAAgAAAAAAAPC/AuGcEaW9wdO/AuXyH9JvX/c/AAAAABgAAAD8/AD8AAIAAAAAAADwvwIbwFsgQfHlPwJe3EYDeAv5PwAAAAAYAAAA/PwA/AACAAAAAAAA8L8CexSuR+F68T8CswxxrIvb5D8AAAAAGAAAAPz8APwAAgAAAAAAAPC/AnRGlPYGX/0/AmUZ4lgXt5G/AAAAABgAAAD8/AD8AAIAAAAAAADwvwINAiuHFlkAQALK5T+k377uPwAAAAAYAAAA/PwA/AACAAAAAAAA8L8CAd4CCYof9r8CZRniWBe3kb8AAAAAAREAAAD8/AD8AAIAAAAAAADwvwJzaJHtfL8GQAL6fmq8dJOYPwAAAAA4AAQBZQQAAAAAAAAAAAQIAWUIDAAAAAAAAAAIDAFlBAAAAAAAAAAADBABZQgIAAAAAAAAABAUAWUEAAAAAAAAAAAUGAFlBAAAAAAAAAAAGBwBZQQAAAAAAAAAABwgAWUEAAAAAAAAAAAgEAFlBAAAAAAAAAAAICQBZQQAAAAAAAAAACQoAWUEAAAAAAAAAAAoIAFlBAAAAAAAAAAAFCwBZQgIAAAAAAAAACwEAWUEAAAAAAAAAAAAAAAA</t>
        </r>
      </text>
    </comment>
    <comment ref="A1426" authorId="0" shapeId="0" xr:uid="{F4F1C6B5-EEA5-4F4D-81EC-007879ADE6E2}">
      <text>
        <r>
          <rPr>
            <sz val="9"/>
            <color indexed="81"/>
            <rFont val="MS P ゴシック"/>
            <family val="3"/>
            <charset val="128"/>
          </rPr>
          <t>Insight iXlW00001C0001426R0585476093S00002850P01036LAocjBAQBF1NjaVRlZ2ljLmRhdGEuTW9sZWN1bGUBbwF/ARJTY2lUZWdpYy5Nb2xlY3VsZQAAAQFkAv5qAQAAAAIAAjQYAAAA/PwA/AACAAAAAAAA8L8CIR/0bFb9AUAC001iEFg51D8AAAAAGAAAAPz8APwAAgAAAAAAAPC/AgHeAgmKH/Y/AlpkO99Pjce/AAAAABgAAAD8/AD8AAIAAAAAAADwvwIB3gIJih/2PwKMbOf7qfHyvwAAAAAYAAAA/PwA/AACAAAAAAAA8L8Cf/s6cM6I4D8CjGzn+6nx+r8AAAAAGAAAAPz8APwAAgAAAAAAAPC/AgmKH2PuWta/Aoxs5/up8fK/AAAAABgAAAD8/AD8AAIAAAAAAADwvwIJih9j7lrWvwJaZDvfT43HvwAAAAAYAAAA/PwA/AACAAAAAAAA8L8Cf/s6cM6I4D8C001iEFg51D8AAAAAHAAAAPz8APwAAgAAAAAAAPC/AuGcEaW9wdM/AjC7Jw8LtfQ/AAAAABgAAAD8/AD8AAIAAAAAAADwvwL9GHPXEvLlvwI4+MJkqmD2PwAAAAAYAAAA/PwA/AACAAAAAAAA8L8CexSuR+F68b8Cz4jS3uAL3z8AAAAAGAAAAPz8APwAAgAAAAAAAPC/Ag0CK4cWWQDAAn4dOGdEaek/AAAAABgAAAD8/AD8AAIAAAAAAADwvwKS7Xw/NV79vwLjx5i7lpDHvwAAAAABEQAAAPz8APwAAgAAAAAAAPC/AoiFWtO8YwhAAk7RkVz+Q8K/AAAAADgABAFlBAAAAAAAAAAABAgBZQQAAAAAAAAAAAgMAWUICAAAAAAAAAAMEAFlBAAAAAAAAAAAEBQBZQgIAAAAAAAAABQYAWUEAAAAAAAAAAAYBAFlCAwAAAAAAAAAGBwBZQQAAAAAAAAAABwgAWUEAAAAAAAAAAAgJAFlBAAAAAAAAAAAJBQBZQQAAAAAAAAAACQoAWUEAAAAAAAAAAAoLAFlBAAAAAAAAAAALCQBZQQAAAAAAAAAAAAAAAA=</t>
        </r>
      </text>
    </comment>
    <comment ref="A1427" authorId="0" shapeId="0" xr:uid="{0BEE52D4-A2E4-46DC-8670-590362DCEAAC}">
      <text>
        <r>
          <rPr>
            <sz val="9"/>
            <color indexed="81"/>
            <rFont val="MS P ゴシック"/>
            <family val="3"/>
            <charset val="128"/>
          </rPr>
          <t>Insight iXlW00001C0001427R0585476093S00002852P01144LAocjBAQBF1NjaVRlZ2ljLmRhdGEuTW9sZWN1bGUBbwF/ARJTY2lUZWdpYy5Nb2xlY3VsZQAAAQFkAv5qAQAAAAIAAjwgAAAA/PwA/AACAAAAAAAA8L8CDwu1pnlHBUAC9GxWfa62+T8AAAAAGAAAAPz8APwAAgAAAAAAAPC/At21hHzQs/w/AvRsVn2utvE/AAAAACAAAAD8/AD8AAIAAAAAAADwvwI3qz5XW7HtPwL0bFZ9rrb5PwAAAAAYAAAA/PwA/AACAAAAAAAA8L8C3bWEfNCz/D8CQs9m1edquz8AAAAAGAAAAPz8APwAAgAAAAAAAPC/AjerPldbse0/AjBMpgpGJdm/AAAAABgAAAD8/AD8AAIAAAAAAADwvwI3qz5XW7HtPwIMk6mCUUn2vwAAAAAYAAAA/PwA/AACAAAAAAAA8L8CN6s+V1uxrz8CDJOpglFJ/r8AAAAAGAAAAPz8APwAAgAAAAAAAPC/AtDVVuwvu+m/AgyTqYJRSfa/AAAAABgAAAD8/AD8AAIAAAAAAADwvwLQ1VbsL7vpvwIwTKYKRiXZvwAAAAAcAAAA/PwA/AACAAAAAAAA8L8CN6s+V1uxrz8CQs9m1edquz8AAAAAGAAAAPz8APwAAgAAAAAAAPC/Apt3nKIjufq/AkLPZtXnars/AAAAACQAAAD8/AD8AAIAAAAAAADwvwLNO07RkVwBwAKb5h2n6EjovwAAAAAkAAAA/PwA/AACAAAAAAAA8L8C7uvAOSNKBMAC6dms+lxt4z8AAAAAJAAAAPz8APwAAgAAAAAAAPC/Apt3nKIjufK/Ak7zjlN0JO8/AAAAAAERAAAA/PwA/AACAAAAAAAA8L8CdnEbDeCtC0ACX5hMFYxKwr8AAAAAOAAEAWUEAAAAAAAAAAAECAFlCAAAAAAAAAAABAwBZQQAAAAAAAAAAAwQAWUEAAAAAAAAAAAQFAFlBAAAAAAAAAAAFBgBZQgIAAAAAAAAABgcAWUEAAAAAAAAAAAcIAFlCAgAAAAAAAAAICQBZQQAAAAAAAAAACQQAWUIDAAAAAAAAAAgKAFlBAAAAAAAAAAAKCwBZQQAAAAAAAAAACgwAWUEAAAAAAAAAAAoNAFlBAAAAAAAAAAAAAAAAA==</t>
        </r>
      </text>
    </comment>
    <comment ref="A1428" authorId="0" shapeId="0" xr:uid="{CD5314E2-0047-4750-ACBB-5419D8A12120}">
      <text>
        <r>
          <rPr>
            <sz val="9"/>
            <color indexed="81"/>
            <rFont val="MS P ゴシック"/>
            <family val="3"/>
            <charset val="128"/>
          </rPr>
          <t>Insight iXlW00001C0001428R0585476093S00002854P00932LAocjBAQBF1NjaVRlZ2ljLmRhdGEuTW9sZWN1bGUBbwF/ARJTY2lUZWdpYy5Nb2xlY3VsZQAAAQFkAv5qAQAAAAIAAjAYAAAA/PwA/AACAAAAAAAA8L8CnoAmwoYnBEAChC9MpgpG5z8AAAAAGAAAAPz8APwAAgAAAAAAAPC/AvmgZ7Pqc/o/Ag6+MJkqGM0/AAAAABgAAAD8/AD8AAIAAAAAAADwvwL5oGez6nP6PwJ90LNZ9bnovwAAAAAYAAAA/PwA/AACAAAAAAAA8L8Cb4EExY8x6T8CP+jZrPpc9L8AAAAAGAAAAPz8APwAAgAAAAAAAPC/AqH4MeauJbS/An3Qs1n1uei/AAAAABgAAAD8/AD8AAIAAAAAAADwvwKh+DHmriW0vwIOvjCZKhjNPwAAAAAYAAAA/PwA/AACAAAAAAAA8L8CmP+Qfvs67r8ChC9MpgpG5z8AAAAAGAAAAPz8APwAAgAAAAAAAPC/An+MuWsJ+fy/Ag6+MJkqGM0/AAAAACAAAAD8/AD8AAIAAAAAAADwvwJ/jLlrCfn8vwJ90LNZ9bnovwAAAAAgAAAA/PwA/AACAAAAAAAA8L8CYHZPHhZqBcAChC9MpgpG5z8AAAAAHAAAAPz8APwAAgAAAAAAAPC/Am+BBMWPMek/AoQvTKYKRuc/AAAAAAERAAAA/PwA/AACAAAAAAAA8L8CBOeMKO2NCkAC+aBns+pz0b8AAAAALAAEAWUEAAAAAAAAAAAECAFlCAwAAAAAAAAACAwBZQQAAAAAAAAAAAwQAWUICAAAAAAAAAAQFAFlBAAAAAAAAAAAFBgBZQQAAAAAAAAAABgcAWUEAAAAAAAAAAAcIAFlCAAAAAAAAAAAHCQBZQQAAAAAAAAAABQoAWUICAAAAAAAAAAoBAFlBAAAAAAAAAAAAAAAAA==</t>
        </r>
      </text>
    </comment>
    <comment ref="A1429" authorId="0" shapeId="0" xr:uid="{C2463005-82BC-4021-9D2D-696A4A82AAC3}">
      <text>
        <r>
          <rPr>
            <sz val="9"/>
            <color indexed="81"/>
            <rFont val="MS P ゴシック"/>
            <family val="3"/>
            <charset val="128"/>
          </rPr>
          <t>Insight iXlW00001C0001429R0585476093S00002856P01628LAocjBAQBF1NjaVRlZ2ljLmRhdGEuTW9sZWN1bGUBbwF/ARJTY2lUZWdpYy5Nb2xlY3VsZQAAAQFkAv5qAQAAAAIAAgEVGAAAAPz8APwAAgAAAAAAAPC/ApM6AU2EDf2/AqwcWmQ738c/AAAAABwAAAD8/AD8AAIAAAAAAADwvwKvJeSDns3qvwIooImw4emVvwAAAAAYAAAA/PwA/AACAAAAAAAA8L8CLpCg+DHm8T8C8DhFR3L5278AAAAAHAAAAPz8APwAAgAAAAAAAPC/Ailcj8L1KARAAlYOLbKd7/O/AAAAABgAAAD8/AD8AAIAAAAAAADwvwK2FfvL7sn9PwIZBFYOLbLNPwAAAAAgAAAA/PwA/AACAAAAAAAA8L8CqaROQBPhA8ACxty1hHzQ4b8AAAAAGAAAAPz8APwAAgAAAAAAAPC/Avw6cM6I0gVAAjBMpgpGJdG/AAAAABgAAAD8/AD8AAIAAAAAAADwvwKcxCCwcmj4PwKxUGuad5z1vwAAAAAcAAAA/PwA/AACAAAAAAAA8L8CthX7y+7J/T8Cg8DKoUW28z8AAAAAIAAAAPz8APwAAgAAAAAAAPC/Ao9TdCSX/wDAAjMzMzMzM/I/AAAAABgAAAD8/AD8AAIAAAAAAADwvwKZTBWMSurgvwI9LNSa5h3vvwAAAAAYAAAA/PwA/AACAAAAAAAA8L8CxSCwcmiRxb8C8BZIUPwY5z8AAAAAGAAAAPz8APwAAgAAAAAAAPC/ArwFEhQ/xtw/AjWAt0CC4vK/AAAAABgAAAD8/AD8AAIAAAAAAADwvwJj7lpCPujpPwLEQq1p3nHgPwAAAAAYAAAA/PwA/AACAAAAAAAA8L8CTmIQWDm0C8ACNBE2PL1S1r8AAAAAGAAAAPz8APwAAgAAAAAAAPC/AjQRNjy90gVAAoPAyqFFtvs/AAAAABgAAAD8/AD8AAIAAAAAAADwvwJVwaikTsAMQAKhZ7Pqc7XNPwAAAAAYAAAA/PwA/AACAAAAAAAA8L8CWRe30QBeDcACCKwcWmQ79b8AAAAAGAAAAPz8APwAAgAAAAAAAPC/Ahb7y+7JwxHAArfRAN4CCcK/AAAAABgAAAD8/AD8AAIAAAAAAADwvwJ8gy9MpgoKwAL77evAOSPkPwAAAAAYAAAA/PwA/AACAAAAAAAA8L8CVcGopE7ADEACg8DKoUW28z8AAAAAARcEAAFlBAAAAAAAAAAACDQBZQQAAAAAAAAAAAwcAWUEAAAAAAAAAAAQCAFlBAAAAAAAAAAAFAABZQQAAAAAAAAAABgQAWUIDAAAAAAAAAAcCAFlBAAAAAAAAAAAIBABZQQAAAAAAAAAACQAAWUIAAAAAAAAAAAoBAFlBAAAAAAAAAAALAQBZQQAAAAAAAAAADAoAWUEAAAAAAAAAAA0LAFlBAAAAAAAAAAAOBQBZQQAAAAAAAAAADwgAWUICAAAAAAAAAABEBgBZQQAAAAAAAAAAAEROAFlBAAAAAAAAAAAARI4AWUEAAAAAAAAAAABEzgBZQQAAAAAAAAAAAEUARABZQgIAAAAAAAAADAIAWUEAAAAAAAAAAAMGAFlBAAAAAAAAAAAARQ8AWUEAAAAAAAAAAAAAAAA</t>
        </r>
      </text>
    </comment>
    <comment ref="A1430" authorId="0" shapeId="0" xr:uid="{A47F6584-AF10-46F1-A918-C730315E3F1A}">
      <text>
        <r>
          <rPr>
            <sz val="9"/>
            <color indexed="81"/>
            <rFont val="MS P ゴシック"/>
            <family val="3"/>
            <charset val="128"/>
          </rPr>
          <t>Insight iXlW00001C0001430R0585476093S00002858P01160LAocjBAQBF1NjaVRlZ2ljLmRhdGEuTW9sZWN1bGUBbwF/ARJTY2lUZWdpYy5Nb2xlY3VsZQAAAQFkAv5qAQAAAAIAAjwYAAAA/PwA/AACAAAAAAAA8L8Cc/kP6bev+D8C7nw/NV66778AAAAAGAAAAPz8APwAAgAAAAAAAPC/AueMKO0NvvM/AgJNhA1Pr6S/AAAAABwAAAD8/AD8AAIAAAAAAADwvwKh+DHmriX9PwJHlPYGX5joPwAAAAAcAAAA/PwA/AACAAAAAAAA8L8C54wo7Q2+8z8Cr7Zif9k9+T8AAAAAGAAAAPz8APwAAgAAAAAAAPC/AmHD0ytlGdI/AiNKe4MvTPQ/AAAAABgAAAD8/AD8AAIAAAAAAADwvwLT3uALk6nivwIkSnuDL0z8PwAAAAAYAAAA/PwA/AACAAAAAAAA8L8Cq8/VVuwv978CI0p7gy9M9D8AAAAAGAAAAPz8APwAAgAAAAAAAPC/AqvP1VbsL/e/Ao0o7Q2+MNE/AAAAABgAAAD8/AD8AAIAAAAAAADwvwLT3uALk6nivwLnriXkg57NvwAAAAAYAAAA/PwA/AACAAAAAAAA8L8CYcPTK2UZ0j8CjSjtDb4w0T8AAAAAGAAAAPz8APwAAgAAAAAAAPC/AtPe4AuTqeK/At21hHzQs/O/AAAAACQAAAD8/AD8AAIAAAAAAADwvwJbQj7o2azaPwLdtYR80LPzvwAAAAAkAAAA/PwA/AACAAAAAAAA8L8C097gC5Op4r8C71pCPujZAcAAAAAAJAAAAPz8APwAAgAAAAAAAPC/Ampv8IXJVPm/At21hHzQs/O/AAAAAAERAAAA/PwA/AACAAAAAAAA8L8Ct2J/2T35BEAC564l5IOezb8AAAAAPAAEAWUEAAAAAAAAAAAECAFlBAAAAAAAAAAACAwBZQQAAAAAAAAAAAwQAWUIDAAAAAAAAAAQFAFlBAAAAAAAAAAAFBgBZQgIAAAAAAAAABgcAWUEAAAAAAAAAAAcIAFlCAgAAAAAAAAAICQBZQQAAAAAAAAAACQEAWUICAAAAAAAAAAkEAFlBAAAAAAAAAAAICgBZQQAAAAAAAAAACgsAWUEAAAAAAAAAAAoMAFlBAAAAAAAAAAAKDQBZQQAAAAAAAAAAAAAAAA=</t>
        </r>
      </text>
    </comment>
    <comment ref="A1431" authorId="0" shapeId="0" xr:uid="{E3F27B3C-8E0D-4BFF-8077-040B15A212D6}">
      <text>
        <r>
          <rPr>
            <sz val="9"/>
            <color indexed="81"/>
            <rFont val="MS P ゴシック"/>
            <family val="3"/>
            <charset val="128"/>
          </rPr>
          <t>Insight iXlW00001C0001431R0585476093S00002860P01104LAocjBAQBF1NjaVRlZ2ljLmRhdGEuTW9sZWN1bGUBbwF/ARJTY2lUZWdpYy5Nb2xlY3VsZQAAAQFkAv5qAQAAAAIAAjgcAAAA/PwA/AACAAAAAAAA8L8C+8vuycNCAcAC/7J78rBQ8D8AAAAAHAAAAPz8APwAAgAAAAAAAPC/AvJBz2bV5/O/Avw6cM6I0vY/AAAAABgAAAD8/AD8AAIAAAAAAADwvwI+eVioNc3+PwJtVn2utmLHvwAAAAAYAAAA/PwA/AACAAAAAAAA8L8ChQ1Pr5Rl4r8C6Gor9pfd5T8AAAAAGAAAAPz8APwAAgAAAAAAAPC/AsKGp1fKMvG/Ava52or9Zce/AAAAABgAAAD8/AD8AAIAAAAAAADwvwI/V1uxv2wAwAIg0m9fB86ZPwAAAAAYAAAA/PwA/AACAAAAAAAA8L8CfPKwUGua7T8CbVZ9rrZix78AAAAAGAAAAPz8APwAAgAAAAAAAPC/AvjkYaHWNNs/AuhqK/aX3eU/AAAAABgAAAD8/AD8AAIAAAAAAADwvwKFDU+vlGXivwKAt0CC4sfwvwAAAAAYAAAA/PwA/AACAAAAAAAA8L8C+ORhodY02z8CgLdAguLH8L8AAAAAJAAAAPz8APwAAgAAAAAAAPC/Aj55WKg1zf4/AmWqYFRSJ+o/AAAAACQAAAD8/AD8AAIAAAAAAADwvwKfPCzUmmYHQAJtVn2utmLHvwAAAAAkAAAA/PwA/AACAAAAAAAA8L8CPnlYqDXN/j8CzqrP1Vbs8r8AAAAAGAAAAPz8APwAAgAAAAAAAPC/AgOaCBueXgbAAu2ePCzUmuS/AAAAADwEAAFlBAAAAAAAAAAACBgBZQQAAAAAAAAAAAwEAWUIDAAAAAAAAAAQFAFlCAwAAAAAAAAAFAABZQQAAAAAAAAAABgcAWUIDAAAAAAAAAAcDAFlBAAAAAAAAAAAIBABZQQAAAAAAAAAACQgAWUICAAAAAAAAAAoCAFlBAAAAAAAAAAALAgBZQQAAAAAAAAAADAIAWUEAAAAAAAAAAA0FAFlBAAAAAAAAAAADBABZQQAAAAAAAAAABgkAWUEAAAAAAAAAAAAAAAA</t>
        </r>
      </text>
    </comment>
    <comment ref="A1432" authorId="0" shapeId="0" xr:uid="{B5E02941-67F5-48AC-AC98-8A2BD8B96EAD}">
      <text>
        <r>
          <rPr>
            <sz val="9"/>
            <color indexed="81"/>
            <rFont val="MS P ゴシック"/>
            <family val="3"/>
            <charset val="128"/>
          </rPr>
          <t>Insight iXlW00001C0001432R0585476093S00002862P01540LAocjBAQBF1NjaVRlZ2ljLmRhdGEuTW9sZWN1bGUBbwF/ARJTY2lUZWdpYy5Nb2xlY3VsZQAAAQFkAv5qAQAAAAIAAgEUJAAAAPz8APwAAgAAAAAAAPC/AhkEVg4tsgVAAka28/3UePE/AAAAABgAAAD8/AD8AAIAAAAAAADwvwIZBFYOLbIFQAJaZDvfT423PwAAAAAkAAAA/PwA/AACAAAAAAAA8L8CGQRWDi2yDUACSp2AJsKGtz8AAAAAJAAAAPz8APwAAgAAAAAAAPC/AhkEVg4tsgVAAnWTGARWDu2/AAAAABgAAAD8/AD8AAIAAAAAAADwvwIyCKwcWmT7PwJaZDvfT423PwAAAAAYAAAA/PwA/AACAAAAAAAA8L8CMQisHFpk8z8CDy2yne+n7j8AAAAAGAAAAPz8APwAAgAAAAAAAPC/AopBYOXQIss/Ag8tsp3vp+4/AAAAABgAAAD8/AD8AAIAAAAAAADwvwI830+Nl27SvwJKnYAmwoa3PwAAAAAYAAAA/PwA/AACAAAAAAAA8L8CikFg5dAiyz8C2qz6XG3F6L8AAAAAHAAAAPz8APwAAgAAAAAAAPC/AjcawFsgQd2/AvXb14FzRvi/AAAAABgAAAD8/AD8AAIAAAAAAADwvwKSXP5D+u31vwL4U+Olm8TxvwAAAAAgAAAA/PwA/AACAAAAAAAA8L8Cat5xio7kAcACaQBvgQTF+b8AAAAAGAAAAPz8APwAAgAAAAAAAPC/Ahlz1xLyQfS/AhkEVg4tsr2/AAAAABgAAAD8/AD8AAIAAAAAAADwvwKUh4Va07wBwAI0MzMzMzPbvwAAAAAYAAAA/PwA/AACAAAAAAAA8L8CWMoyxLGuB8ACkQ96Nqs+zz8AAAAAHAAAAPz8APwAAgAAAAAAAPC/Ak0VjErqBAbAAq5p3nGKjvM/AAAAABgAAAD8/AD8AAIAAAAAAADwvwL8OnDOiNL8vwI51sVtNID4PwAAAAAYAAAA/PwA/AACAAAAAAAA8L8CdLUV+8vu8L8C9I5TdCSX6z8AAAAAGAAAAPz8APwAAgAAAAAAAPC/AjEIrBxaZPM/Atqs+lxtxei/AAAAAAERAAAA/PwA/AACAAAAAAAA8L8CQDVeukkMEkAC9dvXgXNGpL8AAAAAARUABAFlBAAAAAAAAAAABAgBZQQAAAAAAAAAAAQMAWUEAAAAAAAAAAAEEAFlBAAAAAAAAAAAEBQBZQgMAAAAAAAAABQYAWUEAAAAAAAAAAAYHAFlCAgAAAAAAAAAHCABZQQAAAAAAAAAACAkAWUEAAAAAAAAAAAkKAFlBAAAAAAAAAAAKCwBZQgAAAAAAAAAACgwAWUEAAAAAAAAAAAwHAFlBAAAAAAAAAAAMDQBZQQAAAAAAAAAADQ4AWUEAAAAAAAAAAA4PAFlBAAAAAAAAAAAPAEQAWUEAAAAAAAAAAABEAERAWUEAAAAAAAAAAABETABZQQAAAAAAAAAACABEgFlCAgAAAAAAAAAARIQAWUEAAAAAAAAAAAAAAAA</t>
        </r>
      </text>
    </comment>
    <comment ref="A1433" authorId="0" shapeId="0" xr:uid="{6E20468D-7F60-46A9-8840-96753B1618FC}">
      <text>
        <r>
          <rPr>
            <sz val="9"/>
            <color indexed="81"/>
            <rFont val="MS P ゴシック"/>
            <family val="3"/>
            <charset val="128"/>
          </rPr>
          <t>Insight iXlW00001C0001433R0585476093S00002864P00980LAocjBAQBF1NjaVRlZ2ljLmRhdGEuTW9sZWN1bGUBbwF/ARJTY2lUZWdpYy5Nb2xlY3VsZQAAAQFkAv5qAQAAAAIAAjAYAAAA/PwA/AACAAAAAAAA8L8C/Yf029eB678CJuSDns2qvz8AAAAAGAAAAPz8APwAAgAAAAAAAPC/Au9aQj7o2e6/AsrDQq1p3uu/AAAAABwAAAD8/AD8AAIAAAAAAADwvwJj7lpCPuipvwJxPQrXo3D0vwAAAAAYAAAA/PwA/AACAAAAAAAA8L8C+1xtxf6y8r8C4C2QoPgx8T8AAAAAGAAAAPz8APwAAgAAAAAAAPC/ArprCfmgZ/2/AmKh1jTvONU/AAAAABgAAAD8/AD8AAIAAAAAAADwvwK9dJMYBFa+PwJiodY07zjVPwAAAAAYAAAA/PwA/AACAAAAAAAA8L8CmG4Sg8DK4z8C0m9fB84Z4b8AAAAAIAAAAPz8APwAAgAAAAAAAPC/ArmNBvAWSP2/AlYOLbKd7/W/AAAAABwAAAD8/AD8AAIAAAAAAADwvwKmm8QgsPIAQAJiodY07zjVPwAAAAAYAAAA/PwA/AACAAAAAAAA8L8CTDeJQWDl+T8C0m9fB84Z4b8AAAAAGAAAAPz8APwAAgAAAAAAAPC/AphuEoPAyuM/ApoIG55eKfM/AAAAABgAAAD8/AD8AAIAAAAAAADwvwJMN4lBYOX5PwKaCBueXinzPwAAAAA4BAABZQQAAAAAAAAAAAgEAWUEAAAAAAAAAAAMAAFlBAAAAAAAAAAAEAABZQQAAAAAAAAAABQAAWUEAAAAAAAAAAAYFAFlCAwAAAAAAAAAHAQBZQgAAAAAAAAAACAkAWUICAAAAAAAAAAkGAFlBAAAAAAAAAAAKBQBZQQAAAAAAAAAACwoAWUICAAAAAAAAAAQDAFlBAAAAAAAAAAACBgBZQQAAAAAAAAAACAsAWUEAAAAAAAAAAAAAAAA</t>
        </r>
      </text>
    </comment>
    <comment ref="A1434" authorId="0" shapeId="0" xr:uid="{07C1209F-675A-4CAE-9EF0-B10A193B2516}">
      <text>
        <r>
          <rPr>
            <sz val="9"/>
            <color indexed="81"/>
            <rFont val="MS P ゴシック"/>
            <family val="3"/>
            <charset val="128"/>
          </rPr>
          <t>Insight iXlW00001C0001434R0585476093S00002866P01072LAocjBAQBF1NjaVRlZ2ljLmRhdGEuTW9sZWN1bGUBbwF/ARJTY2lUZWdpYy5Nb2xlY3VsZQAAAQFkAv5qAQAAAAIAAjgYAAAA/PwA/AACAAAAAAAA8L8CqTXNO05RBcACk6mCUUmd2L8AAAAAGAAAAPz8APwAAgAAAAAAAPC/Ap5eKcsQx/y/ArRZ9bnair0/AAAAABgAAAD8/AD8AAIAAAAAAADwvwIQC7Wmecf8vwKbVZ+rrdjxPwAAAAAYAAAA/PwA/AACAAAAAAAA8L8CuvyH9NvX7b8Ck6mCUUmd2L8AAAAAGAAAAPz8APwAAgAAAAAAAPC/Arr8h/Tb1+2/AmWqYFRSJ/a/AAAAABgAAAD8/AD8AAIAAAAAAADwvwKx4emVsgyxvwJlqmBUUif+vwAAAAAYAAAA/PwA/AACAAAAAAAA8L8CTYQNT6+U6T8CZapgVFIn9r8AAAAAGAAAAPz8APwAAgAAAAAAAPC/Ak2EDU+vlOk/ApOpglFJndi/AAAAABgAAAD8/AD8AAIAAAAAAADwvwJoImx4eqX6PwK0WfW52oq9PwAAAAAYAAAA/PwA/AACAAAAAAAA8L8CaCJseHql+j8Cm1Wfq63Y8T8AAAAAIAAAAPz8APwAAgAAAAAAAPC/Ak2EDU+vlOk/ApxVn6ut2Pk/AAAAACAAAAD8/AD8AAIAAAAAAADwvwJVwaikTkAEQAKcVZ+rrdj5PwAAAAAcAAAA/PwA/AACAAAAAAAA8L8CseHplbIMsb8CtFn1udqKvT8AAAAAAREAAAD8/AD8AAIAAAAAAADwvwK8Jw8LtaYKQAImUwWjkjrBvwAAAAA0AAQBZQQAAAAAAAAAAAQIAWUEAAAAAAAAAAAEDAFlBAAAAAAAAAAADBABZQgMAAAAAAAAABAUAWUEAAAAAAAAAAAUGAFlCAgAAAAAAAAAGBwBZQQAAAAAAAAAABwgAWUEAAAAAAAAAAAgJAFlBAAAAAAAAAAAJCgBZQgAAAAAAAAAACQsAWUEAAAAAAAAAAAcMAFlCAgAAAAAAAAAMAwBZQQAAAAAAAAAAAAAAAA=</t>
        </r>
      </text>
    </comment>
    <comment ref="A1435" authorId="0" shapeId="0" xr:uid="{BD7AEA63-B68B-49EE-8B27-48EF27BB491D}">
      <text>
        <r>
          <rPr>
            <sz val="9"/>
            <color indexed="81"/>
            <rFont val="MS P ゴシック"/>
            <family val="3"/>
            <charset val="128"/>
          </rPr>
          <t>Insight iXlW00001C0001435R0585476093S00002868P01000LAocjBAQBF1NjaVRlZ2ljLmRhdGEuTW9sZWN1bGUBbwF/ARJTY2lUZWdpYy5Nb2xlY3VsZQAAAQFkAv5qAQAAAAIAAjQYAAAA/PwA/AACAAAAAAAA8L8Ct2J/2T154r8CJuSDns2q/r8AAAAAIAAAAPz8APwAAgAAAAAAAPC/Ardif9k9eeK/AkzIBz2bVe2/AAAAABgAAAD8/AD8AAIAAAAAAADwvwKZu5aQD3rSPwKXkA96NqvavwAAAAAYAAAA/PwA/AACAAAAAAAA8L8CKA8LtaZ58j8CTMgHPZtV7b8AAAAAGAAAAPz8APwAAgAAAAAAAPC/ArU3+MJkKgBAApeQD3o2q9q/AAAAABgAAAD8/AD8AAIAAAAAAADwvwK1N/jCZCoAQAK1N/jCZKriPwAAAAAcAAAA/PwA/AACAAAAAAAA8L8CKA8LtaZ58j8C2xt8YTJV8T8AAAAAGAAAAPz8APwAAgAAAAAAAPC/Apm7lpAPetI/ArU3+MJkquI/AAAAABgAAAD8/AD8AAIAAAAAAADwvwK3Yn/ZPXnivwLbG3xhMlXxPwAAAAAYAAAA/PwA/AACAAAAAAAA8L8CDr4wmSoY978CtTf4wmSq4j8AAAAAIAAAAPz8APwAAgAAAAAAAPC/Ag6+MJkqGPe/ApeQD3o2q9q/AAAAACAA/AD8/AD8AAIAAAAAAADwvwIoDwu1pnkCwALbG3xhMlXxPwAAAAAsAAQA/PwA/AACAAAAAAAA8L8CG55eKcuQBkACl5APejar2r8AAAAAMAAEAWUEAAAAAAAAAAAECAFlBAAAAAAAAAAACAwBZQgMAAAAAAAAAAwQAWUEAAAAAAAAAAAQFAFlCAgAAAAAAAAAFBgBZQQAAAAAAAAAABgcAWUICAAAAAAAAAAcCAFlBAAAAAAAAAAAHCABZQQAAAAAAAAAACAkAWUEAAAAAAAAAAAkKAFlCAAAAAAAAAAAJCwBZQQAAAAAAAAAAAAAAAA=</t>
        </r>
      </text>
    </comment>
    <comment ref="A1436" authorId="0" shapeId="0" xr:uid="{FB39CD6A-BCDE-4365-A5BF-512DAD0067D6}">
      <text>
        <r>
          <rPr>
            <sz val="9"/>
            <color indexed="81"/>
            <rFont val="MS P ゴシック"/>
            <family val="3"/>
            <charset val="128"/>
          </rPr>
          <t>Insight iXlW00001C0001436R0585476093S00002870P01140LAocjBAQBF1NjaVRlZ2ljLmRhdGEuTW9sZWN1bGUBbwF/ARJTY2lUZWdpYy5Nb2xlY3VsZQAAAQFkAv5qAQAAAAIAAjwgAPwA/PwA/AACAAAAAAAA8L8CTvOOU3QkBcACN6s+V1ux/T8AAAAAGAAAAPz8APwAAgAAAAAAAPC/AobJVMGoJAHAAgg9m1Wfq+8/AAAAACAAAAD8/AD8AAIAAAAAAADwvwKGyVTBqCQFwAIm5IOezaq/PwAAAAAYAAAA/PwA/AACAAAAAAAA8L8CDJOpglFJ8r8CCD2bVZ+r7z8AAAAAGAAAAPz8APwAAgAAAAAAAPC/AhgmUwWjkuS/Aibkg57Nqr8/AAAAABgAAAD8/AD8AAIAAAAAAADwvwLRs1n1udrWPwIm5IOezaq/PwAAAAAYAAAA/PwA/AACAAAAAAAA8L8C6dms+lxt6z8C/0P67evA578AAAAAIAAAAPz8APwAAgAAAAAAAPC/AvVsVn2utv0/Av9D+u3rwOe/AAAAABgAAAD8/AD8AAIAAAAAAADwvwJ6Nqs+V9sCQAIm5IOezaq/PwAAAAAkAAAA/PwA/AACAAAAAAAA8L8C9WxWfa62/T8CCD2bVZ+r7z8AAAAAJAAAAPz8APwAAgAAAAAAAPC/Ano2qz5X2wpAAibkg57Nqr8/AAAAABgAAAD8/AD8AAIAAAAAAADwvwLRs1n1udrWPwJBguLHmLv5vwAAAAAYAAAA/PwA/AACAAAAAAAA8L8CGCZTBaOS5L8CQYLix5i7+b8AAAAAHAAAAPz8APwAAgAAAAAAAPC/AgyTqYJRSfK/Av9D+u3rwOe/AAAAACwABAD8/AD8AAIAAAAAAADwvwJwzojS3qAQQAIm5IOezaq/PwAAAAA4AAQBZQQAAAAAAAAAAAQIAWUIAAAAAAAAAAAEDAFlBAAAAAAAAAAADBABZQQAAAAAAAAAABAUAWUIDAAAAAAAAAAUGAFlBAAAAAAAAAAAGBwBZQQAAAAAAAAAABwgAWUEAAAAAAAAAAAgJAFlBAAAAAAAAAAAICgBZQQAAAAAAAAAABgsAWUICAAAAAAAAAAsMAFlBAAAAAAAAAAAMDQBZQgIAAAAAAAAADQQAWUEAAAAAAAAAAAAAAAA</t>
        </r>
      </text>
    </comment>
    <comment ref="A1437" authorId="0" shapeId="0" xr:uid="{D45BFFE0-20B1-4534-A1BA-21D80370A5F5}">
      <text>
        <r>
          <rPr>
            <sz val="9"/>
            <color indexed="81"/>
            <rFont val="MS P ゴシック"/>
            <family val="3"/>
            <charset val="128"/>
          </rPr>
          <t>Insight iXlW00001C0001437R0585476093S00002872P01072LAocjBAQBF1NjaVRlZ2ljLmRhdGEuTW9sZWN1bGUBbwF/ARJTY2lUZWdpYy5Nb2xlY3VsZQAAAQFkAv5qAQAAAAIAAjgYAAAA/PwA/AACAAAAAAAA8L8CvsEXJlOFAEACl/+Qfvs6+T8AAAAAHAAAAPz8APwAAgAAAAAAAPC/Ar7BFyZThQBAAi//If32deI/AAAAABgAAAD8/AD8AAIAAAAAAADwvwIXSFD8GHMHQAJz+Q/pt6+zPwAAAAAYAAAA/PwA/AACAAAAAAAA8L8COiNKe4Mv8z8Cc/kP6bevsz8AAAAAGAAAAPz8APwAAgAAAAAAAPC/AjojSnuDL/M/AtIA3gIJiu2/AAAAABgAAAD8/AD8AAIAAAAAAADwvwLhC5OpglHVPwJpAG+BBMX2vwAAAAAcAAAA/PwA/AACAAAAAAAA8L8CkzoBTYQN4b8C0gDeAgmK7b8AAAAAGAAAAPz8APwAAgAAAAAAAPC/ApM6AU2EDeG/AnP5D+m3r7M/AAAAABgAAAD8/AD8AAIAAAAAAADwvwL8qfHSTWL2vwIv/yH99nXiPwAAAAAYAAAA/PwA/AACAAAAAAAA8L8CH4XrUbgeAsACc/kP6bevsz8AAAAAIAAAAPz8APwAAgAAAAAAAPC/Ah+F61G4HgLAAtIA3gIJiu2/AAAAACAA/AD8/AD8AAIAAAAAAADwvwJANV66SQwJwAIv/yH99nXiPwAAAAAYAAAA/PwA/AACAAAAAAAA8L8C4QuTqYJR1T8CL/8h/fZ14j8AAAAALAAEAPz8APwAAgAAAAAAAPC/An6utmJ/2Q1AAnP5D+m3r7M/AAAAADQABAFlBAAAAAAAAAAABAgBZQQAAAAAAAAAAAQMAWUEAAAAAAAAAAAMEAFlCAwAAAAAAAAAEBQBZQQAAAAAAAAAABQYAWUICAAAAAAAAAAYHAFlBAAAAAAAAAAAHCABZQQAAAAAAAAAACAkAWUEAAAAAAAAAAAkKAFlCAAAAAAAAAAAJCwBZQQAAAAAAAAAABwwAWUICAAAAAAAAAAwDAFlBAAAAAAAAAAAAAAAAA==</t>
        </r>
      </text>
    </comment>
    <comment ref="A1438" authorId="0" shapeId="0" xr:uid="{C8916530-56F1-497F-8911-6D8FBFAB541A}">
      <text>
        <r>
          <rPr>
            <sz val="9"/>
            <color indexed="81"/>
            <rFont val="MS P ゴシック"/>
            <family val="3"/>
            <charset val="128"/>
          </rPr>
          <t>Insight iXlW00001C0001438R0585476093S00002874P01000LAocjBAQBF1NjaVRlZ2ljLmRhdGEuTW9sZWN1bGUBbwF/ARJTY2lUZWdpYy5Nb2xlY3VsZQAAAQFkAv5qAQAAAAIAAjQYAAAA/PwA/AACAAAAAAAA8L8C3pOHhVrTCEACTMgHPZtV4b8AAAAAIAAAAPz8APwAAgAAAAAAAPC/Ar3jFB3J5QFAAibkg57NqvC/AAAAABgAAAD8/AD8AAIAAAAAAADwvwI4Z0Rpb/D1PwJMyAc9m1XhvwAAAAAYAAAA/PwA/AACAAAAAAAA8L8C7Q2+MJkq4D8CJuSDns2q8L8AAAAAGAAAAPz8APwAAgAAAAAAAPC/AixlGeJYF9e/AkzIBz2bVeG/AAAAABgAAAD8/AD8AAIAAAAAAADwvwIsZRniWBfXvwJqb/CFyVTdPwAAAAAYAAAA/PwA/AACAAAAAAAA8L8C/mX35GGh878CtTf4wmSq7j8AAAAAGAAAAPz8APwAAgAAAAAAAPC/AiBj7lpCvgDAAmpv8IXJVN0/AAAAACAAAAD8/AD8AAIAAAAAAADwvwIgY+5aQr4AwAJMyAc9m1XhvwAAAAAgAPwA/PwA/AACAAAAAAAA8L8CQRNhw9OrB8ACtTf4wmSq7j8AAAAAHAAAAPz8APwAAgAAAAAAAPC/Au0NvjCZKuA/ArU3+MJkqu4/AAAAABgAAAD8/AD8AAIAAAAAAADwvwI4Z0Rpb/D1PwJqb/CFyVTdPwAAAAAsAAQA/PwA/AACAAAAAAAA8L8CRPrt68A5D0ACtoR80LNZpb8AAAAAMAAEAWUEAAAAAAAAAAAECAFlBAAAAAAAAAAACAwBZQgMAAAAAAAAAAwQAWUEAAAAAAAAAAAQFAFlCAwAAAAAAAAAFBgBZQQAAAAAAAAAABgcAWUEAAAAAAAAAAAcIAFlCAAAAAAAAAAAHCQBZQQAAAAAAAAAABQoAWUEAAAAAAAAAAAoLAFlCAgAAAAAAAAALAgBZQQAAAAAAAAAAAAAAAA=</t>
        </r>
      </text>
    </comment>
    <comment ref="A1439" authorId="0" shapeId="0" xr:uid="{882F9CBC-88E5-4BD4-AE32-C467EF2582CF}">
      <text>
        <r>
          <rPr>
            <sz val="9"/>
            <color indexed="81"/>
            <rFont val="MS P ゴシック"/>
            <family val="3"/>
            <charset val="128"/>
          </rPr>
          <t>Insight iXlW00001C0001439R0585476093S00002876P01072LAocjBAQBF1NjaVRlZ2ljLmRhdGEuTW9sZWN1bGUBbwF/ARJTY2lUZWdpYy5Nb2xlY3VsZQAAAQFkAv5qAQAAAAIAAjggAPwA/PwA/AACAAAAAAAA8L8CVcGopE5ABEACnFWfq63Y+T8AAAAAGAAAAPz8APwAAgAAAAAAAPC/AmgibHh6pfo/AptVn6ut2PE/AAAAACAAAAD8/AD8AAIAAAAAAADwvwJNhA1Pr5TpPwKcVZ+rrdj5PwAAAAAYAAAA/PwA/AACAAAAAAAA8L8CaCJseHql+j8CtFn1udqKvT8AAAAAGAAAAPz8APwAAgAAAAAAAPC/Ak2EDU+vlOk/ApOpglFJndi/AAAAABgAAAD8/AD8AAIAAAAAAADwvwJNhA1Pr5TpPwJlqmBUUif2vwAAAAAYAAAA/PwA/AACAAAAAAAA8L8CseHplbIMsb8CZapgVFIn/r8AAAAAGAAAAPz8APwAAgAAAAAAAPC/Arr8h/Tb1+2/AmWqYFRSJ/a/AAAAABgAAAD8/AD8AAIAAAAAAADwvwK6/If029ftvwKTqYJRSZ3YvwAAAAAcAAAA/PwA/AACAAAAAAAA8L8CseHplbIMsb8CtFn1udqKvT8AAAAAGAAAAPz8APwAAgAAAAAAAPC/Ap5eKcsQx/y/ArRZ9bnair0/AAAAACQAAAD8/AD8AAIAAAAAAADwvwKpNc07TlEFwAKTqYJRSZ3YvwAAAAAkAAAA/PwA/AACAAAAAAAA8L8CEAu1pnnH/L8Cm1Wfq63Y8T8AAAAALAAEAPz8APwAAgAAAAAAAPC/ArwnDwu1pgpAAiZTBaOSOsG/AAAAADQABAFlBAAAAAAAAAAABAgBZQgAAAAAAAAAAAQMAWUEAAAAAAAAAAAMEAFlBAAAAAAAAAAAEBQBZQQAAAAAAAAAABQYAWUICAAAAAAAAAAYHAFlBAAAAAAAAAAAHCABZQgIAAAAAAAAACAkAWUEAAAAAAAAAAAkEAFlCAwAAAAAAAAAICgBZQQAAAAAAAAAACgsAWUEAAAAAAAAAAAoMAFlBAAAAAAAAAAAAAAAAA==</t>
        </r>
      </text>
    </comment>
    <comment ref="A1440" authorId="0" shapeId="0" xr:uid="{F910A428-1552-4346-A631-4AD6F3388DF9}">
      <text>
        <r>
          <rPr>
            <sz val="9"/>
            <color indexed="81"/>
            <rFont val="MS P ゴシック"/>
            <family val="3"/>
            <charset val="128"/>
          </rPr>
          <t>Insight iXlW00001C0001440R0585476093S00002878P01392LAocjBAQBF1NjaVRlZ2ljLmRhdGEuTW9sZWN1bGUBbwF/ARJTY2lUZWdpYy5Nb2xlY3VsZQAAAQFkAv5qAQAAAAIAAgESGAAAAPz8APwAAgAAAAAAAPC/AmMQWDm0yPQ/AqW9wRcmU7W/AAAAABwAAAD8/AD8AAIAAAAAAADwvwKDwMqhRbbbPwK1N/jCZKrivwAAAAAgAAAA/PwA/AACAAAAAAAA8L8CYxBYObTI9D8CTMgHPZtV7T8AAAAAGAAAAPz8APwAAgAAAAAAAPC/AoPAyqFFttu/AqW9wRcmU7W/AAAAACAAAAD8/AD8AAIAAAAAAADwvwJSuB6F61EBQAK1N/jCZKrivwAAAAAcAAAA/PwA/AACAAAAAAAA8L8CrD5XW7E/CMACl5APejar2j8AAAAAGAAAAPz8APwAAgAAAAAAAPC/AmMQWDm0yPS/ArU3+MJkquK/AAAAABgAAAD8/AD8AAIAAAAAAADwvwKLjuTyH1IBQAIm5IOezar2PwAAAAAYAAAA/PwA/AACAAAAAAAA8L8Cg8DKoUW22z8C2xt8YTJV+b8AAAAAGAAAAPz8APwAAgAAAAAAAPC/AoPAyqFFttu/Au0NvjCZqgDAAAAAABgAAAD8/AD8AAIAAAAAAADwvwJjEFg5tMj0vwLbG3xhMlX5vwAAAAAYAAAA/PwA/AACAAAAAAAA8L8CrD5XW7E/CMACtTf4wmSq4r8AAAAAGAAAAPz8APwAAgAAAAAAAPC/AouO5PIfUgHAAmpv8IXJVO0/AAAAABgAAAD8/AD8AAIAAAAAAADwvwJSuB6F61EBwALbG3xhMlXxvwAAAAAYAAAA/PwA/AACAAAAAAAA8L8CYxBYObTI9L8Cl5APejar2j8AAAAAGAAAAPz8APwAAgAAAAAAAPC/AhUdyeU/pPo/AjSitDf4QgJAAAAAABgAAAD8/AD8AAIAAAAAAADwvwKsPldbsT8IQAIm5IOezar+PwAAAAAYAAAA/PwA/AACAAAAAAAA8L8CUrgehetRBUAC5q4l5IOe4T8AAAAAARMEAAFlBAAAAAAAAAAACAABZQQAAAAAAAAAAAwEAWUEAAAAAAAAAAAQAAFlCAAAAAAAAAAAFCwBZQQAAAAAAAAAABgMAWUEAAAAAAAAAAAcCAFlBAAAAAAAAAAAIAQBZQQAAAAAAAAAACQgAWUEAAAAAAAAAAAoJAFlBAAAAAAAAAAALDQBZQQAAAAAAAAAADA4AWUEAAAAAAAAAAA0GAFlBAAAAAAAAAAAOBgBZQQAAAAAAAAAADwcAWUEAAAAAAAAAAABEBwBZQQAAAAAAAAAAAERHAFlBAAAAAAAAAAAGCgBZQQAAAAAAAAAADAUAWUEAAAAAAAAAAAAAAAA</t>
        </r>
      </text>
    </comment>
    <comment ref="A1441" authorId="0" shapeId="0" xr:uid="{32BF0318-45BF-400B-B014-37D42BCB6B7E}">
      <text>
        <r>
          <rPr>
            <sz val="9"/>
            <color indexed="81"/>
            <rFont val="MS P ゴシック"/>
            <family val="3"/>
            <charset val="128"/>
          </rPr>
          <t>Insight iXlW00001C0001441R0585476093S00002880P01780LAocjBAQBF1NjaVRlZ2ljLmRhdGEuTW9sZWN1bGUBbwF/ARJTY2lUZWdpYy5Nb2xlY3VsZQAAAQFkAv5qAQAAAAIAAgEXHAAAAPz8APwAAgAAAAAAAPC/Am40gLdAguq/Au0vuycPC+m/AAAAABgAAAD8/AD8AAIAAAAAAADwvwJuNIC3QILqvwJPQBNhw9PLPwAAAAAYAAAA/PwA/AACAAAAAAAA8L8Cd08eFmpNoz8C9pfdk4eF9L8AAAAAGAAAAPz8APwAAgAAAAAAAPC/Anl6pSxDHPu/AhTQRNjw9OY/AAAAABgAAAD8/AD8AAIAAAAAAADwvwJdbcX+snsEwAJPQBNhw9PLPwAAAAAYAAAA/PwA/AACAAAAAAAA8L8CeXqlLEMc+78C9pfdk4eF9L8AAAAAGAAAAPz8APwAAgAAAAAAAPC/Arfz/dR4aQvAAhTQRNjw9OY/AAAAABgAAAD8/AD8AAIAAAAAAADwvwJdbcX+snsEwALtL7snDwvpvwAAAAAgAAAA/PwA/AACAAAAAAAA8L8Ce6UsQxzr7D8C7S+7Jw8L6b8AAAAAIAAAAPz8APwAAgAAAAAAAPC/AndPHhZqTaM/AvvL7snDQgLAAAAAACAAAAD8/AD8AAIAAAAAAADwvwLsUbgehSsRwAJPQBNhw9PLPwAAAAAgAAAA/PwA/AACAAAAAAAA8L8Ct/P91HhpC8ACCmgibHh6+z8AAAAAGAAAAPz8APwAAgAAAAAAAPC/Av+ye/KwUPw/AvaX3ZOHhfS/AAAAABgAAAD8/AD8AAIAAAAAAADwvwJ3Tx4Wak2jPwIU0ETY8PTmPwAAAAAYAAAA/PwA/AACAAAAAAAA8L8CeXqlLEMc+78CCmgibHh6+z8AAAAAGAAAAPz8APwAAgAAAAAAAPC/AqCJsOHpFQVAAu0vuycPC+m/AAAAABgAAAD8/AD8AAIAAAAAAADwvwLBOSNKewMMQAL2l92Th4X0vwAAAAAYAAAA/PwA/AACAAAAAAAA8L8CoImw4ekVBUACT0ATYcPTyz8AAAAAGAAAAPz8APwAAgAAAAAAAPC/AndPHhZqTaM/AgpoImx4evs/AAAAABgAAAD8/AD8AAIAAAAAAADwvwJuNIC3QILqvwIFNBE2PL0BQAAAAAAYAAAA/PwA/AACAAAAAAAA8L8C+g/pt68DDEACFNBE2PD05j8AAAAAGAAAAPz8APwAAgAAAAAAAPC/Ag3gLZCgeBFAAu0vuycPC+m/AAAAABgAAAD8/AD8AAIAAAAAAADwvwIN4C2QoHgRQAJPQBNhw9PLPwAAAAABGQQAAWUEAAAAAAAAAAAIAAFlBAAAAAAAAAAADAQBZQgIAAAAAAAAABAMAWUEAAAAAAAAAAAUAAFlBAAAAAAAAAAAEBgBZQQAAAAAAAAAABwUAWUEAAAAAAAAAAAgCAFlBAAAAAAAAAAAJAgBZQgAAAAAAAAAACgYAWUIAAAAAAAAAAAsGAFlBAAAAAAAAAAAMCABZQQAAAAAAAAAADQEAWUEAAAAAAAAAAA4DAFlBAAAAAAAAAAAPDABZQQAAAAAAAAAAAEQPAFlBAAAAAAAAAAAARE8AWUIDAAAAAAAAAABEjQBZQgIAAAAAAAAAAETOAFlCAgAAAAAAAAAARQBEQFlBAAAAAAAAAAAARUBEAFlCAgAAAAAAAAAARYBFAFlCAgAAAAAAAAAHBABZQQAAAAAAAAAAAETARIBZQQAAAAAAAAAAAEWARUBZQQAAAAAAAAAAAAAAAA=</t>
        </r>
      </text>
    </comment>
    <comment ref="A1442" authorId="0" shapeId="0" xr:uid="{3ED242C3-2DF4-4B64-B673-531ECAD0C5C8}">
      <text>
        <r>
          <rPr>
            <sz val="9"/>
            <color indexed="81"/>
            <rFont val="MS P ゴシック"/>
            <family val="3"/>
            <charset val="128"/>
          </rPr>
          <t>Insight iXlW00001C0001442R0585476093S00002882P01668LAocjBAQBF1NjaVRlZ2ljLmRhdGEuTW9sZWN1bGUBbwF/ARJTY2lUZWdpYy5Nb2xlY3VsZQAAAQFkAv5qAQAAAAIAAgEWGAAAAPz8APwAAgAAAAAAAPC/AkoMAiuHFgzAAgvXo3A9Cva/AAAAABgAAAD8/AD8AAIAAAAAAADwvwJKDAIrhxYMwAIpXI/C9SjYvwAAAAAYAAAA/PwA/AACAAAAAAAA8L8CJQaBlUMLEsACKVyPwvUo2L8AAAAAGAAAAPz8APwAAgAAAAAAAPC/AoPix5i7FgzAAuxRuB6F6+M/AAAAACAAAAD8/AD8AAIAAAAAAADwvwJKDAIrhxYEwAIpXI/C9SjYvwAAAAAYAAAA/PwA/AACAAAAAAAA8L8CguLHmLsWAMAC3iQGgZVD3z8AAAAAIAAAAPz8APwAAgAAAAAAAPC/AoPix5i7FgTAAnnpJjEIrPU/AAAAABwAAAD8/AD8AAIAAAAAAADwvwIFxY8xdy3wvwLeJAaBlUPfPwAAAAAYAAAA/PwA/AACAAAAAAAA8L8CCYofY+5a4L8CeekmMQis9T8AAAAAGAAAAPz8APwAAgAAAAAAAPC/Au7rwDkjSt8/AnnpJjEIrPU/AAAAABgAAAD8/AD8AAIAAAAAAADwvwL3deCcEaXvPwLeJAaBlUPfPwAAAAAYAAAA/PwA/AACAAAAAAAA8L8Cs53vp8ZL3z8CKVyPwvUo2L8AAAAAGAAAAPz8APwAAgAAAAAAAPC/AicxCKwcWuC/Ailcj8L1KNi/AAAAACAAAAD8/AD8AAIAAAAAAADwvwL8OnDOiNL/PwLeJAaBlUPfPwAAAAAYAAAA/PwA/AACAAAAAAAA8L8Ct/P91HjpA0ACKVyPwvUo2L8AAAAAGAAAAPz8APwAAgAAAAAAAPC/Arfz/dR46QdAAr3jFB3J5fO/AAAAABgAAAD8/AD8AAIAAAAAAADwvwJdbcX+svsAQAK94xQdyeX7vwAAAAAYAAAA/PwA/AACAAAAAAAA8L8CutqK/WX3+T8CFa5H4XoU7L8AAAAAGAAAAPz8APwAAgAAAAAAAPC/AtejcD0K1wpAAl2PwvUoXL8/AAAAACAAAAD8/AD8AAIAAAAAAADwvwLXo3A9CtcKQAL2KFyPwvXxPwAAAAAgAPwA/PwA/AACAAAAAAAA8L8C/Knx0k3iEEACKVyPwvUo2L8AAAAALAAEAPz8APwAAgAAAAAAAPC/Ai/dJAaBFRRAAtWa5h2n6Mi/AAAAAAEWAAQBZQQAAAAAAAAAAAQIAWUEAAAAAAAAAAAEDAFlBAAAAAAAAAAABBABZQQAAAAAAAAAABAUAWUEAAAAAAAAAAAUGAFlCAAAAAAAAAAAFBwBZQQAAAAAAAAAABwgAWUEAAAAAAAAAAAgJAFlBAAAAAAAAAAAJCgBZQQAAAAAAAAAACgsAWUEAAAAAAAAAAAsMAFlBAAAAAAAAAAAMBwBZQQAAAAAAAAAACg0AWUEAAAAAAAAAAA0OAFlBAAAAAAAAAAAODwBZQQAAAAAAAAAADwBEAFlBAAAAAAAAAAAARABEQFlBAAAAAAAAAAAARE4AWUEAAAAAAAAAAA4ARIBZQQAAAAAAAAAAAESARMBZQgAAAAAAAAAAAESARQBZQQAAAAAAAAAAAAAAAA=</t>
        </r>
      </text>
    </comment>
    <comment ref="A1443" authorId="0" shapeId="0" xr:uid="{C67472EC-E48C-4FE5-85D4-BBCF70B3B3CB}">
      <text>
        <r>
          <rPr>
            <sz val="9"/>
            <color indexed="81"/>
            <rFont val="MS P ゴシック"/>
            <family val="3"/>
            <charset val="128"/>
          </rPr>
          <t>Insight iXlW00001C0001443R0585476093S00002884P01248LAocjBAQBF1NjaVRlZ2ljLmRhdGEuTW9sZWN1bGUBbwF/ARJTY2lUZWdpYy5Nb2xlY3VsZQAAAQFkAv5qAQAAAAIAAgEQHAAAAPz8APwAAgAAAAAAAPC/AoiFWtO848S/AgTnjCjtDa4/AAAAABgAAAD8/AD8AAIAAAAAAADwvwIbnl4pyxDyvwIWak3zjlPUPwAAAAAYAAAA/PwA/AACAAAAAAAA8L8CkQ96Nqs+8z8CJuSDns2q078AAAAAGAAAAPz8APwAAgAAAAAAAPC/Aj29UpYhjtU/AhPyQc9m1em/AAAAABgAAAD8/AD8AAIAAAAAAADwvwIhH/RsVn3mPwJwzojS3uDhPwAAAAAYAAAA/PwA/AACAAAAAAAA8L8C/Yf029cBB0ACQDVeukkMwj8AAAAAGAAAAPz8APwAAgAAAAAAAPC/AraEfNCzWQFAAsx/SL99HeK/AAAAABgAAAD8/AD8AAIAAAAAAADwvwKyLm6jAbwOQAISNjy9UpbZPwAAAAAYAAAA/PwA/AACAAAAAAAA8L8Cayv2l90TCUACEhQ/xty18T8AAAAAIAAAAPz8APwAAgAAAAAAAPC/AqmkTkATYf2/AiGwcmiR7di/AAAAACAAAAD8/AD8AAIAAAAAAADwvwL45GGh1jT2vwLwp8ZLN4n0PwAAAAAYAAAA/PwA/AACAAAAAAAA8L8CQs9m1edqBsACXynLEMe6wL8AAAAAHAAAAPz8APwAAgAAAAAAAPC/AiQofoy5awNAAlCNl24Sg/i/AAAAABgAAAD8/AD8AAIAAAAAAADwvwKwcmiR7XwIwAIHX5hMFYzxvwAAAAAYAAAA/PwA/AACAAAAAAAA8L8C93XgnBElDsAChQ1Pr5RlwD8AAAAAGAAAAPz8APwAAgAAAAAAAPC/ApxVn6utWATAAn3Qs1n1ueo/AAAAAAERBAABZQQAAAAAAAAAAAgMAWUEAAAAAAAAAAAMAAFlBAAAAAAAAAAAEAABZQQAAAAAAAAAABQYAWUEAAAAAAAAAAAYCAFlBAAAAAAAAAAAHBQBZQQAAAAAAAAAACAUAWUEAAAAAAAAAAAkBAFlBAAAAAAAAAAAKAQBZQgAAAAAAAAAACwkAWUEAAAAAAAAAAAYMAFlBAAAAAAAAAAANCwBZQQAAAAAAAAAADgsAWUEAAAAAAAAAAA8LAFlBAAAAAAAAAAAEAgBZQQAAAAAAAAAABwgAWUEAAAAAAAAAAAAAAAA</t>
        </r>
      </text>
    </comment>
    <comment ref="A1444" authorId="0" shapeId="0" xr:uid="{554582EE-2747-40AB-A44A-723D4B3175D4}">
      <text>
        <r>
          <rPr>
            <sz val="9"/>
            <color indexed="81"/>
            <rFont val="MS P ゴシック"/>
            <family val="3"/>
            <charset val="128"/>
          </rPr>
          <t>Insight iXlW00001C0001444R0585476093S00002886P01784LAocjBAQBF1NjaVRlZ2ljLmRhdGEuTW9sZWN1bGUBbwF/ARJTY2lUZWdpYy5Nb2xlY3VsZQAAAQFkAv5qAQAAAAIAAgEYGAAAAPz8APwAAgAAAAAAAPC/AuSDns2qDxFAAvT91HjpJsG/AAAAABgAAAD8/AD8AAIAAAAAAADwvwLJBz2bVR8OQAIAAAAAAADwvwAAAAAYAAAA/PwA/AACAAAAAAAA8L8CEce6uI2GEkACAAAAAAAA+L8AAAAAGAAAAPz8APwAAgAAAAAAAPC/AskHPZtVHwpAAkJg5dAi2/2/AAAAACAAAAD8/AD8AAIAAAAAAADwvwKoV8oyxDEHQAIAAAAAAADgvwAAAAAYAAAA/PwA/AACAAAAAAAA8L8Ch6dXyjJEAEACAAAAAAAA8L8AAAAAIAAAAPz8APwAAgAAAAAAAPC/AoenV8oyRABAAgAAAAAAAADAAAAAABwAAAD8/AD8AAIAAAAAAADwvwLM7snDQq3yPwIAAAAAAADgvwAAAAAYAAAA/PwA/AACAAAAAAAA8L8CW0I+6Nms8j8CAAAAAAAA4D8AAAAAGAAAAPz8APwAAgAAAAAAAPC/AmaIY13cRtM/AQAAAAAcAAAA/PwA/AACAAAAAAAA8L8CUfwYc9cS4r8CAAAAAAAA4D8AAAAAGAAAAPz8APwAAgAAAAAAAPC/AlH8GHPXEuK/AgAAAAAAAOC/AAAAABgAAAD8/AD8AAIAAAAAAADwvwJmiGNd3EbTPwIAAAAAAADwvwAAAAAYAAAA/PwA/AACAAAAAAAA8L8Cat5xio7k9r8BAAAAABgAAAD8/AD8AAIAAAAAAADwvwJq3nGKjuT2vwIAAAAAAAAAQAAAAAAgAAAA/PwA/AACAAAAAAAA8L8CjnVxGw1gAsACAAAAAAAABEAAAAAAIAD8APz8APwAAgAAAAAAAPC/AlH8GHPXEuK/AgAAAAAAAARAAAAAABgAAAD8/AD8AAIAAAAAAADwvwKOdXEbDWACwAIAAAAAAADgPwAAAAAYAAAA/PwA/AACAAAAAAAA8L8CjnVxGw1gAsACAAAAAAAA4L8AAAAAGAAAAPz8APwAAgAAAAAAAPC/Aq8l5IOeTQnAAgAAAAAAAPC/AAAAABwAAAD8/AD8AAIAAAAAAADwvwLoaiv2lx0QwAIAAAAAAADgvwAAAAAYAAAA/PwA/AACAAAAAAAA8L8C6Gor9pcdEMACAAAAAAAA4D8AAAAAGAAAAPz8APwAAgAAAAAAAPC/Aq8l5IOeTQnAAQAAAAAsAAQA/PwA/AACAAAAAAAA8L8CRPrt68C5FUACAAAAAAAA0D8AAAAAARgABAFlBAAAAAAAAAAABAgBZQQAAAAAAAAAAAQMAWUEAAAAAAAAAAAEEAFlBAAAAAAAAAAAEBQBZQQAAAAAAAAAABQYAWUIAAAAAAAAAAAUHAFlBAAAAAAAAAAAHCABZQQAAAAAAAAAACAkAWUEAAAAAAAAAAAkKAFlBAAAAAAAAAAAKCwBZQQAAAAAAAAAACwwAWUEAAAAAAAAAAAwHAFlBAAAAAAAAAAANCgBZQQAAAAAAAAAADQ4AWUEAAAAAAAAAAA4PAFlCAAAAAAAAAAAOAEQAWUEAAAAAAAAAAA0AREBZQQAAAAAAAAAAAERARIBZQgMAAAAAAAAAAESARMBZQQAAAAAAAAAAAETARQBZQgIAAAAAAAAAAEUARUBZQQAAAAAAAAAAAEVARYBZQgIAAAAAAAAAAEWAREBZQQAAAAAAAAAAAAAAAA=</t>
        </r>
      </text>
    </comment>
    <comment ref="A1445" authorId="0" shapeId="0" xr:uid="{ABDA21DE-53A2-43CB-AFA7-0262E5536D7D}">
      <text>
        <r>
          <rPr>
            <sz val="9"/>
            <color indexed="81"/>
            <rFont val="MS P ゴシック"/>
            <family val="3"/>
            <charset val="128"/>
          </rPr>
          <t>Insight iXlW00001C0001445R0585476093S00002888P01076LAocjBAQBF1NjaVRlZ2ljLmRhdGEuTW9sZWN1bGUBbwF/ARJTY2lUZWdpYy5Nb2xlY3VsZQAAAQFkAv5qAQAAAAIAAjwgAPwA/PwA/AACAAAAAAAA8L8CvJaQD3q2C8ABAAAAABgAAAD8/AD8AAIAAAAAAADwvwKb5h2n6MgEwAIAAAAAAADgPwAAAAAgAAAA/PwA/AACAAAAAAAA8L8CYxBYObTIBMACAAAAAAAA4L8AAAAAGAAAAPz8APwAAgAAAAAAAPC/AoPAyqFFtvu/AQAAAAAYAAAA/PwA/AACAAAAAAAA8L8Cg8DKoUW2678CAAAAAAAA4D8AAAAAGAAAAPz8APwAAgAAAAAAAPC/AoPAyqFFtuu/AgAAAAAAAOC/AAAAABgAAAD8/AD8AAIAAAAAAADwvwACAAAAAAAA8L8AAAAAGAAAAPz8APwAAgAAAAAAAPC/AoPAyqFFtus/AgAAAAAAAOC/AAAAACAAAAD8/AD8AAIAAAAAAADwvwKDwMqhRbb7PwIAAAAAAADwvwAAAAAYAAAA/PwA/AACAAAAAAAA8L8Cm+Ydp+jIBEACAAAAAAAA4L8AAAAAJAAAAPz8APwAAgAAAAAAAPC/AmMQWDm0yARAAgAAAAAAAOA/AAAAACQAAAD8/AD8AAIAAAAAAADwvwK8lpAPerYLQAIAAAAAAADwvwAAAAAYAAAA/PwA/AACAAAAAAAA8L8Cg8DKoUW26z8CAAAAAAAA4D8AAAAAHAAAAPz8APwAAgAAAAAAAPC/AAEAAAAALAAEAPz8APwAAgAAAAAAAPC/ApF++zpwDhFAAAAAAAA4AAQBZQQAAAAAAAAAAAQIAWUIAAAAAAAAAAAEDAFlBAAAAAAAAAAADBABZQQAAAAAAAAAABAUAWUIDAAAAAAAAAAUGAFlBAAAAAAAAAAAGBwBZQgMAAAAAAAAABwgAWUEAAAAAAAAAAAgJAFlBAAAAAAAAAAAJCgBZQQAAAAAAAAAACQsAWUEAAAAAAAAAAAcMAFlBAAAAAAAAAAAMDQBZQgIAAAAAAAAADQQAWUEAAAAAAAAAAAAAAAA</t>
        </r>
      </text>
    </comment>
    <comment ref="A1446" authorId="0" shapeId="0" xr:uid="{26E51401-60AE-445F-9B2E-F578C7CB024A}">
      <text>
        <r>
          <rPr>
            <sz val="9"/>
            <color indexed="81"/>
            <rFont val="MS P ゴシック"/>
            <family val="3"/>
            <charset val="128"/>
          </rPr>
          <t>Insight iXlW00001C0001446R0585476093S00002890P01140LAocjBAQBF1NjaVRlZ2ljLmRhdGEuTW9sZWN1bGUBbwF/ARJTY2lUZWdpYy5Nb2xlY3VsZQAAAQFkAv5qAQAAAAIAAjwgAPwA/PwA/AACAAAAAAAA8L8C3SQGgZXDBkACp3nHKTqS/D8AAAAAGAAAAPz8APwAAgAAAAAAAPC/AnnpJjEIrP8/Aqd5xyk6kvQ/AAAAACAAAAD8/AD8AAIAAAAAAADwvwLG3LWEfNDxPwKneccpOpL8PwAAAAAYAAAA/PwA/AACAAAAAAAA8L8CeekmMQis/z8Cm+Ydp+hI0j8AAAAAGAAAAPz8APwAAgAAAAAAAPC/AsbctYR80PE/AssyxLEubsu/AAAAABgAAAD8/AD8AAIAAAAAAADwvwLG3LWEfNDxPwJahjjWxW3zvwAAAAAYAAAA/PwA/AACAAAAAAAA8L8CJuSDns2qzz8CWoY41sVt+78AAAAAGAAAAPz8APwAAgAAAAAAAPC/AnrHKTqSy+O/AlqGONbFbfO/AAAAABgAAAD8/AD8AAIAAAAAAADwvwJ6xyk6ksvjvwLLMsSxLm7LvwAAAAAgAAAA/PwA/AACAAAAAAAA8L8C/0P67evA978Cm+Ydp+hI0j8AAAAAGAAAAPz8APwAAgAAAAAAAPC/AiDSb18HzgLAAssyxLEubsu/AAAAACQAAAD8/AD8AAIAAAAAAADwvwIg0m9fB84CwAJahjjWxW3zvwAAAAAkAAAA/PwA/AACAAAAAAAA8L8CQYLix5i7CcACm+Ydp+hI0j8AAAAAHAAAAPz8APwAAgAAAAAAAPC/Aibkg57Nqs8/ApvmHafoSNI/AAAAACwABAD8/AD8AAIAAAAAAADwvwJEi2zn+ykNQALXNO84RUeiPwAAAAA4AAQBZQQAAAAAAAAAAAQIAWUIAAAAAAAAAAAEDAFlBAAAAAAAAAAADBABZQQAAAAAAAAAABAUAWUIDAAAAAAAAAAUGAFlBAAAAAAAAAAAGBwBZQgIAAAAAAAAABwgAWUEAAAAAAAAAAAgJAFlBAAAAAAAAAAAJCgBZQQAAAAAAAAAACgsAWUEAAAAAAAAAAAoMAFlBAAAAAAAAAAAIDQBZQgIAAAAAAAAADQQAWUEAAAAAAAAAAAAAAAA</t>
        </r>
      </text>
    </comment>
    <comment ref="A1447" authorId="0" shapeId="0" xr:uid="{BAECFE2A-5933-4B68-85C6-5F75B38094A6}">
      <text>
        <r>
          <rPr>
            <sz val="9"/>
            <color indexed="81"/>
            <rFont val="MS P ゴシック"/>
            <family val="3"/>
            <charset val="128"/>
          </rPr>
          <t>Insight iXlW00001C0001447R0585476093S00002892P01320LAocjBAQBF1NjaVRlZ2ljLmRhdGEuTW9sZWN1bGUBbwF/ARJTY2lUZWdpYy5Nb2xlY3VsZQAAAQFkAv5qAQAAAAIAAgERGAAAAPz8APwAAgAAAAAAAPC/AsuhRbbz/fM/Atlfdk8eFsq/AAAAABwAAAD8/AD8AAIAAAAAAADwvwJWDi2yne/PPwLZX3ZPHhbKvwAAAAAgAAAA/PwA/AACAAAAAAAA8L8CPE7RkVz++z8Cb4EExY8x5T8AAAAAGAAAAPz8APwAAgAAAAAAAPC/AsWxLm6jAfy/Atlfdk8eFsq/AAAAACAAAAD8/AD8AAIAAAAAAADwvwLLoUW28/37PwI9LNSa5h3xvwAAAAAYAAAA/PwA/AACAAAAAAAA8L8CEce6uI0G0L8Cb4EExY8x5T8AAAAAGAAAAPz8APwAAgAAAAAAAPC/AtV46SYxCNC/Aj0s1JrmHfG/AAAAABgAAAD8/AD8AAIAAAAAAADwvwIep+hILv8FQAJvgQTFjzHlPwAAAAAYAAAA/PwA/AACAAAAAAAA8L8CcF8HzhlRCcAC2V92Tx4Wyr8AAAAAGAAAAPz8APwAAgAAAAAAAPC/Ailcj8L1qAPAAiV1ApoIG+A/AAAAABgAAAD8/AD8AAIAAAAAAADwvwIpXI/C9agDwAISpb3BFybtvwAAAAAYAAAA/PwA/AACAAAAAAAA8L8CxLEubqMB9L8CjSjtDb4w5T8AAAAAGAAAAPz8APwAAgAAAAAAAPC/AsSxLm6jAfS/Aj0s1JrmHfG/AAAAABwAAAD8/AD8AAIAAAAAAADwvwK4rwPnjKgQwALZX3ZPHhbKvwAAAAAYAAAA/PwA/AACAAAAAAAA8L8CHqfoSC7/BUACuECC4seY+j8AAAAAGAAAAPz8APwAAgAAAAAAAPC/Ah6n6Egu/w1AAm+BBMWPMeU/AAAAABgAAAD8/AD8AAIAAAAAAADwvwLm0CLb+f4FQAIi/fZ14JzVvwAAAAABEgQAAWUEAAAAAAAAAAAIAAFlBAAAAAAAAAAADCwBZQQAAAAAAAAAABAAAWUIAAAAAAAAAAAUBAFlBAAAAAAAAAAAGAQBZQQAAAAAAAAAABwIAWUEAAAAAAAAAAAgJAFlBAAAAAAAAAAAJAwBZQQAAAAAAAAAACgMAWUEAAAAAAAAAAAsFAFlBAAAAAAAAAAAMBgBZQQAAAAAAAAAADQgAWUEAAAAAAAAAAA4HAFlBAAAAAAAAAAAPBwBZQQAAAAAAAAAAAEQHAFlBAAAAAAAAAAAMAwBZQQAAAAAAAAAACAoAWUEAAAAAAAAAAAAAAAA</t>
        </r>
      </text>
    </comment>
    <comment ref="A1448" authorId="0" shapeId="0" xr:uid="{F39F4D58-11FE-4A76-BCB5-0D6E6BB30EFF}">
      <text>
        <r>
          <rPr>
            <sz val="9"/>
            <color indexed="81"/>
            <rFont val="MS P ゴシック"/>
            <family val="3"/>
            <charset val="128"/>
          </rPr>
          <t>Insight iXlW00001C0001448R0585476093S00002894P01668LAocjBAQBF1NjaVRlZ2ljLmRhdGEuTW9sZWN1bGUBbwF/ARJTY2lUZWdpYy5Nb2xlY3VsZQAAAQFkAv5qAQAAAAIAAgEWGAAAAPz8APwAAgAAAAAAAPC/AjSitDf4wgxAAg+cM6K0N/s/AAAAABgAAAD8/AD8AAIAAAAAAADwvwI0orQ3+MIMQAIeOGdEaW/mPwAAAAAYAAAA/PwA/AACAAAAAAAA8L8CGlHaG3xhEkACHjhnRGlv5j8AAAAAGAAAAPz8APwAAgAAAAAAAPC/AjSitDf4wgxAAsWPMXctIdO/AAAAACAAAAD8/AD8AAIAAAAAAADwvwI0orQ3+MIEQAIeOGdEaW/mPwAAAAAYAAAA/PwA/AACAAAAAAAA8L8CNKK0N/jCAEAClyGOdXEbxb8AAAAAIAAAAPz8APwAAgAAAAAAAPC/AjSitDf4wgRAAubQItv5fvC/AAAAABwAAAD8/AD8AAIAAAAAAADwvwJnRGlv8IXxPwKXIY51cRvFvwAAAAAYAAAA/PwA/AACAAAAAAAA8L8Cz4jS3uAL4z8CHjhnRGlv5j8AAAAAGAAAAPz8APwAAgAAAAAAAPC/Ap88LNSa5tm/Ah44Z0Rpb+Y/AAAAABgAAAD8/AD8AAIAAAAAAADwvwJQHhZqTfPsvwIfhetRuB7FvwAAAAAYAAAA/PwA/AACAAAAAAAA8L8CKA8LtaZ59r8C5tAi2/l+8L8AAAAAGAAAAPz8APwAAgAAAAAAAPC/ApSHhVrTPAPAAubQItv5fvC/AAAAABgAAAD8/AD8AAIAAAAAAADwvwKUh4Va0zwHwAIfhetRuB7FvwAAAAAYAAAA/PwA/AACAAAAAAAA8L8ClIeFWtM8A8ACPN9PjZdu5j8AAAAAGAAAAPz8APwAAgAAAAAAAPC/AigPC7Wmefa/AjzfT42XbuY/AAAAABgAAAD8/AD8AAIAAAAAAADwvwKUh4Va0zwPwAIfhetRuB7FvwAAAAAgAAAA/PwA/AACAAAAAAAA8L8CysNCrWmeEcAC5tAi2/l+8L8AAAAAIAD8APz8APwAAgAAAAAAAPC/AsrDQq1pnhHAAh44Z0Rpb+Y/AAAAABgAAAD8/AD8AAIAAAAAAADwvwJj7lpCPujZvwLm0CLb+X7wvwAAAAAYAAAA/PwA/AACAAAAAAAA8L8Cz4jS3uAL4z8C5tAi2/l+8L8AAAAADAAEAPz8APwAAgAAAAAAAPC/Ak2EDU+vlBVAAnE9CtejcNU/AAAAAAEWAAQBZQQAAAAAAAAAAAQIAWUEAAAAAAAAAAAEDAFlBAAAAAAAAAAABBABZQQAAAAAAAAAABAUAWUEAAAAAAAAAAAUGAFlCAAAAAAAAAAAFBwBZQQAAAAAAAAAABwgAWUEAAAAAAAAAAAgJAFlBAAAAAAAAAAAJCgBZQQAAAAAAAAAACgsAWUEAAAAAAAAAAAsMAFlBAAAAAAAAAAAMDQBZQQAAAAAAAAAADQ4AWUEAAAAAAAAAAA4PAFlBAAAAAAAAAAAPCgBZQQAAAAAAAAAADQBEAFlBAAAAAAAAAAAARABEQFlCAAAAAAAAAAAARABEgFlBAAAAAAAAAAAKAETAWUEAAAAAAAAAAABEwEUAWUEAAAAAAAAAAABFBwBZQQAAAAAAAAAAAAAAAA=</t>
        </r>
      </text>
    </comment>
    <comment ref="A1449" authorId="0" shapeId="0" xr:uid="{B7F06108-D4DD-4E37-86C8-9A03D11BD908}">
      <text>
        <r>
          <rPr>
            <sz val="9"/>
            <color indexed="81"/>
            <rFont val="MS P ゴシック"/>
            <family val="3"/>
            <charset val="128"/>
          </rPr>
          <t>Insight iXlW00001C0001449R0585476093S00002896P01596LAocjBAQBF1NjaVRlZ2ljLmRhdGEuTW9sZWN1bGUBbwF/ARJTY2lUZWdpYy5Nb2xlY3VsZQAAAQFkAv5qAQAAAAIBAgEVGAAAAPz8APwAAgAAAAAAAPC/AuC+DpwzogfAAvSOU3Qkl+m/AAAAABgAAAD8/AD8AAIAAAAAAADwvwLgvg6cM6IHwAIzxLEubqPJPwAAAAAYAAAA/PwA/AACAAAAAAAA8L8C4L4OnDOiD8ACM8SxLm6jyT8AAAAAGAAAAPz8APwAAgAAAAAAAPC/AuC+DpwzogfAAoc41sVtNPM/AAAAACAAAAD8/AD8AAIAAAAAAADwvwLAfR04Z0T/vwIzxLEubqPJPwAAAAAYAAAA/PwA/AACAAAAAAAA8L8CwH0dOGdE978CyJi7lpAP8T8AAAAAIAAAAPz8APwAAgAAAAAAAPC/AsB9HThnRP+/Agr5oGez6v4/AAAAABwAAAD8/AD8AAIAAAAAAADwvwL+9nXgnBHdvwLImLuWkA/xPwAAAAAYAAAA/PwA/AACAAAAAAAA8L8CSgwCK4cWwT8CVAWjkjoB/j8AAAAAGAAAAPz8APwAAgAAAAAAAPC/Apjdk4eFWvE/AsiYu5aQD/k/AAAAABgMAAD8/AD8AAIAAAAAAADwvwKY3ZOHhVrxPwKQMXctIR/iPwAAAAAYAAAA/PwA/AACAAAAAAAA8L8CSgwCK4cWwT8C87BQa5p30D8AAAAAIAAAAPz8APwAAgAAAAAAAPC/AiRKe4MvTP4/Amu8dJMYBJa/AAAAABgAAAD8/AD8AAIAAAAAAADwvwKrYFRSJ6D8PwKoxks3iUHwvwAAAAAYAAAA/PwA/AACAAAAAAAA8L8CwcqhRbbz+j8CL90kBoEVAMAAAAAAGAAAAPz8APwAAgAAAAAAAPC/AhWuR+F6FOY/AubQItv5fv6/AAAAABgAAAD8/AD8AAIAAAAAAADwvwLp2az6XG3pPwJfukkMAivtvwAAAAAYAAAA/PwA/AACAAAAAAAA8L8CMSqpE9BEBkACIbByaJHt8b8AAAAAIAAAAPz8APwAAgAAAAAAAPC/Ag3gLZCg+ApAAlYOLbKd79O/AAAAACAA/AD8/AD8AAIAAAAAAADwvwIvbqMBvIUJQAJLWYY41kUAwAAAAAAsAAQA/PwA/AACAAAAAAAA8L8COiNKe4OvEEACyJi7lpAPqr8AAAAAARUABAFlBAAAAAAAAAAABAgBZQQAAAAAAAAAAAQMAWUEAAAAAAAAAAAEEAFlBAAAAAAAAAAAEBQBZQQAAAAAAAAAABQYAWUIAAAAAAAAAAAUHAFlBAAAAAAAAAAAHCABZQQAAAAAAAAAACAkAWUEAAAAAAAAAAAkKAFlBAAAAAAAAAAAKCwBZQQAAAAAAAAAACwcAWUEAAAAAAAAAAAoMAFlBBAAAAAAAAAAMDQBZQQAAAAAAAAAADQ4AWUEAAAAAAAAAAA4PAFlBAAAAAAAAAAAPAEQAWUEAAAAAAAAAAABEDQBZQQAAAAAAAAAADQBEQFlBAAAAAAAAAAAAREBEgFlCAAAAAAAAAAAAREBEwFlBAAAAAAAAAAAAAAAAA==</t>
        </r>
      </text>
    </comment>
    <comment ref="A1450" authorId="0" shapeId="0" xr:uid="{B01510BA-3AC3-46F6-95F0-8516A7A96720}">
      <text>
        <r>
          <rPr>
            <sz val="9"/>
            <color indexed="81"/>
            <rFont val="MS P ゴシック"/>
            <family val="3"/>
            <charset val="128"/>
          </rPr>
          <t>Insight iXlW00001C0001450R0585476093S00002898P01596LAocjBAQBF1NjaVRlZ2ljLmRhdGEuTW9sZWN1bGUBbwF/ARJTY2lUZWdpYy5Nb2xlY3VsZQAAAQFkAv5qAQAAAAIBAgEVGAAAAPz8APwAAgAAAAAAAPC/AuC+DpwzogfAAvSOU3Qkl+m/AAAAABgAAAD8/AD8AAIAAAAAAADwvwLgvg6cM6IHwAIzxLEubqPJPwAAAAAYAAAA/PwA/AACAAAAAAAA8L8C4L4OnDOiD8ACM8SxLm6jyT8AAAAAGAAAAPz8APwAAgAAAAAAAPC/AuC+DpwzogfAAoc41sVtNPM/AAAAACAAAAD8/AD8AAIAAAAAAADwvwLAfR04Z0T/vwIzxLEubqPJPwAAAAAYAAAA/PwA/AACAAAAAAAA8L8CwH0dOGdE978CyJi7lpAP8T8AAAAAIAAAAPz8APwAAgAAAAAAAPC/AsB9HThnRP+/Agr5oGez6v4/AAAAABwAAAD8/AD8AAIAAAAAAADwvwL+9nXgnBHdvwLImLuWkA/xPwAAAAAYAAAA/PwA/AACAAAAAAAA8L8CSgwCK4cWwT8CVAWjkjoB/j8AAAAAGAAAAPz8APwAAgAAAAAAAPC/Apjdk4eFWvE/AsiYu5aQD/k/AAAAABgIAAD8/AD8AAIAAAAAAADwvwKY3ZOHhVrxPwKQMXctIR/iPwAAAAAYAAAA/PwA/AACAAAAAAAA8L8CSgwCK4cWwT8C87BQa5p30D8AAAAAIAAAAPz8APwAAgAAAAAAAPC/AiRKe4MvTP4/Amu8dJMYBJa/AAAAABgAAAD8/AD8AAIAAAAAAADwvwKrYFRSJ6D8PwKoxks3iUHwvwAAAAAYAAAA/PwA/AACAAAAAAAA8L8CwcqhRbbz+j8CL90kBoEVAMAAAAAAGAAAAPz8APwAAgAAAAAAAPC/AhWuR+F6FOY/AubQItv5fv6/AAAAABgAAAD8/AD8AAIAAAAAAADwvwLp2az6XG3pPwJfukkMAivtvwAAAAAYAAAA/PwA/AACAAAAAAAA8L8CMSqpE9BEBkACIbByaJHt8b8AAAAAIAAAAPz8APwAAgAAAAAAAPC/Ag3gLZCg+ApAAlYOLbKd79O/AAAAACAA/AD8/AD8AAIAAAAAAADwvwIvbqMBvIUJQAJLWYY41kUAwAAAAAAsAAQA/PwA/AACAAAAAAAA8L8COiNKe4OvEEACyJi7lpAPqr8AAAAAARUABAFlBAAAAAAAAAAABAgBZQQAAAAAAAAAAAQMAWUEAAAAAAAAAAAEEAFlBAAAAAAAAAAAEBQBZQQAAAAAAAAAABQYAWUIAAAAAAAAAAAUHAFlBAAAAAAAAAAAHCABZQQAAAAAAAAAACAkAWUEAAAAAAAAAAAkKAFlBAAAAAAAAAAAKCwBZQQAAAAAAAAAACwcAWUEAAAAAAAAAAAoMAFlBBQAAAAAAAAAMDQBZQQAAAAAAAAAADQ4AWUEAAAAAAAAAAA4PAFlBAAAAAAAAAAAPAEQAWUEAAAAAAAAAAABEDQBZQQAAAAAAAAAADQBEQFlBAAAAAAAAAAAAREBEgFlCAAAAAAAAAAAAREBEwFlBAAAAAAAAAAAAAAAAA==</t>
        </r>
      </text>
    </comment>
    <comment ref="A1451" authorId="0" shapeId="0" xr:uid="{FE2B7B5C-11DB-4117-9D31-9A8F51F65456}">
      <text>
        <r>
          <rPr>
            <sz val="9"/>
            <color indexed="81"/>
            <rFont val="MS P ゴシック"/>
            <family val="3"/>
            <charset val="128"/>
          </rPr>
          <t>Insight iXlW00001C0001451R0585476093S00002900P01088LAocjBAQBF1NjaVRlZ2ljLmRhdGEuTW9sZWN1bGUBbwF/ARJTY2lUZWdpYy5Nb2xlY3VsZQAAAQFkAv5qAQAAAAIAAjgcAAAA/PwA/AACAAAAAAAA8L8CNe84RUdy1T8ClfYGX5hMxT8AAAAAGAAAAPz8APwAAgAAAAAAAPC/AjojSnuDL+S/AryWkA96Nts/AAAAABgAAAD8/AD8AAIAAAAAAADwvwIPnDOitDf7PwIBb4EExY/JvwAAAAAYAAAA/PwA/AACAAAAAAAA8L8Cm3ecoiO56j8CwFsgQfFj5r8AAAAAGAAAAPz8APwAAgAAAAAAAPC/Ag+cM6K0N/M/AqW9wRcmU+U/AAAAACAAAAD8/AD8AAIAAAAAAADwvwIrGJXUCWj1vwJ8gy9MpgrSvwAAAAAgAAAA/PwA/AACAAAAAAAA8L8C87BQa5p37L8CGXPXEvJB9j8AAAAAGAAAAPz8APwAAgAAAAAAAPC/AvVKWYY4VgVAAvLSTWIQWN2/AAAAABgAAAD8/AD8AAIAAAAAAADwvwLLMsSxLm4CwAKegCbChqeXvwAAAAAcAAAA/PwA/AACAAAAAAAA8L8CY+5aQj5oB0ACJ8KGp1fK9r8AAAAAGAAAAPz8APwAAgAAAAAAAPC/AnGsi9togATAAtrO91Pjpe+/AAAAABgAAAD8/AD8AAIAAAAAAADwvwK4rwPnjCgKwALQZtXnaivOPwAAAAAYAAAA/PwA/AACAAAAAAAA8L8CXI/C9ShcAMAC0GbV52or7j8AAAAAGAAAAPz8APwAAgAAAAAAAPC/AjxO0ZFc/gpAAouO5PIf0s8/AAAAADgEAAFlBAAAAAAAAAAACAwBZQQAAAAAAAAAAAwAAWUEAAAAAAAAAAAQAAFlBAAAAAAAAAAAFAQBZQQAAAAAAAAAABgEAWUIAAAAAAAAAAAcCAFlBAAAAAAAAAAAIBQBZQQAAAAAAAAAABwkAWUEAAAAAAAAAAAoIAFlBAAAAAAAAAAALCABZQQAAAAAAAAAADAgAWUEAAAAAAAAAAA0HAFlBAAAAAAAAAAAEAgBZQQAAAAAAAAAAAAAAAA=</t>
        </r>
      </text>
    </comment>
    <comment ref="A1452" authorId="0" shapeId="0" xr:uid="{FEAE2B29-64E2-4D6B-8D87-B17BCAE4DCC3}">
      <text>
        <r>
          <rPr>
            <sz val="9"/>
            <color indexed="81"/>
            <rFont val="MS P ゴシック"/>
            <family val="3"/>
            <charset val="128"/>
          </rPr>
          <t>Insight iXlW00001C0001452R0585476093S00002902P01140LAocjBAQBF1NjaVRlZ2ljLmRhdGEuTW9sZWN1bGUBbwF/ARJTY2lUZWdpYy5Nb2xlY3VsZQAAAQFkAv5qAQAAAAIAAjwgAPwA/PwA/AACAAAAAAAA8L8C/7J78rDQAcACswxxrIvb9j8AAAAAGAAAAPz8APwAAgAAAAAAAPC/ArwFEhQ/xvW/AmYZ4lgXt+0/AAAAACAAAAD8/AD8AAIAAAAAAADwvwK8BRIUP8b1vwLXNO84RUeyvwAAAAAYAAAA/PwA/AACAAAAAAAA8L8C6pWyDHGs378CswxxrIvb9j8AAAAAGAAAAPz8APwAAgAAAAAAAPC/AuGcEaW9wdc/AmYZ4lgXt+0/AAAAABwAAAD8/AD8AAIAAAAAAADwvwJ6xyk6ksvzPwKzDHGsi9v2PwAAAAAYAAAA/PwA/AACAAAAAAAA8L8C3pOHhVrTAEACZhniWBe37T8AAAAAGAAAAPz8APwAAgAAAAAAAPC/At6Th4Va0wBAAtc07zhFR7K/AAAAABgAAAD8/AD8AAIAAAAAAADwvwJ6xyk6ksvzPwKb5h2n6EjivwAAAAAYAAAA/PwA/AACAAAAAAAA8L8C4ZwRpb3B1z8C1zTvOEVHsr8AAAAAIAAAAPz8APwAAgAAAAAAAPC/AuqVsgxxrN+/ApvmHafoSOK/AAAAABgAAAD8/AD8AAIAAAAAAADwvwLqlbIMcazfvwJO845TdCT5vwAAAAAkAAAA/PwA/AACAAAAAAAA8L8C4ZwRpb3B1z8Cp3nHKTqSAMAAAAAAJAAAAPz8APwAAgAAAAAAAPC/ArwFEhQ/xvW/Aqd5xyk6kgDAAAAAACwABAD8/AD8AAIAAAAAAADwvwJE+u3rwDkHQAI2zTtO0ZHUvwAAAAA4AAQBZQQAAAAAAAAAAAQIAWUIAAAAAAAAAAAEDAFlBAAAAAAAAAAADBABZQQAAAAAAAAAABAUAWUIDAAAAAAAAAAUGAFlBAAAAAAAAAAAGBwBZQgIAAAAAAAAABwgAWUEAAAAAAAAAAAgJAFlCAgAAAAAAAAAJBABZQQAAAAAAAAAACQoAWUEAAAAAAAAAAAoLAFlBAAAAAAAAAAALDABZQQAAAAAAAAAACw0AWUEAAAAAAAAAAAAAAAA</t>
        </r>
      </text>
    </comment>
    <comment ref="A1453" authorId="0" shapeId="0" xr:uid="{2B2E94A9-0B08-4B26-87F7-15CBB10CD6E3}">
      <text>
        <r>
          <rPr>
            <sz val="9"/>
            <color indexed="81"/>
            <rFont val="MS P ゴシック"/>
            <family val="3"/>
            <charset val="128"/>
          </rPr>
          <t>Insight iXlW00001C0001453R0585476093S00002904P01000LAocjBAQBF1NjaVRlZ2ljLmRhdGEuTW9sZWN1bGUBbwF/ARJTY2lUZWdpYy5Nb2xlY3VsZQAAAQFkAv5qAQAAAAIAAjQYAAAA/PwA/AACAAAAAAAA8L8Co5I6AU2EBsACl5APejar0r8AAAAAIAAAAPz8APwAAgAAAAAAAPC/ApQYBFYOLf+/AtPe4AuTqco/AAAAABgAAAD8/AD8AAIAAAAAAADwvwJSuB6F61HxvwKXkA96NqvSvwAAAAAYAAAA/PwA/AACAAAAAAAA8L8CUrgehetR8b8CJuSDns2q9L8AAAAAGAAAAPz8APwAAgAAAAAAAPC/AoPAyqFFtsu/Aibkg57Nqvy/AAAAABgAAAD8/AD8AAIAAAAAAADwvwJjEFg5tMjkPwIm5IOezar0vwAAAAAYAAAA/PwA/AACAAAAAAAA8L8CYxBYObTI5D8Cl5APejar0r8AAAAAGAAAAPz8APwAAgAAAAAAAPC/AnNoke18P/g/AtPe4AuTqco/AAAAABgAAAD8/AD8AAIAAAAAAADwvwJzaJHtfD/4PwLbG3xhMlXzPwAAAAAgAAAA/PwA/AACAAAAAAAA8L8CYxBYObTI5D8C2xt8YTJV+z8AAAAAIAAAAPz8APwAAgAAAAAAAPC/ApM6AU2EDQNAAtsbfGEyVfs/AAAAABwAAAD8/AD8AAIAAAAAAADwvwKDwMqhRbbLvwLT3uALk6nKPwAAAAABEQAAAPz8APwAAgAAAAAAAPC/AvmgZ7PqcwlAAraEfNCzWaW/AAAAADAABAFlBAAAAAAAAAAABAgBZQQAAAAAAAAAAAgMAWUIDAAAAAAAAAAMEAFlBAAAAAAAAAAAEBQBZQgIAAAAAAAAABQYAWUEAAAAAAAAAAAYHAFlBAAAAAAAAAAAHCABZQQAAAAAAAAAACAkAWUIAAAAAAAAAAAgKAFlBAAAAAAAAAAAGCwBZQgIAAAAAAAAACwIAWUEAAAAAAAAAAAAAAAA</t>
        </r>
      </text>
    </comment>
    <comment ref="A1454" authorId="0" shapeId="0" xr:uid="{67D4E97E-0015-4B89-AE67-F58339D9EC12}">
      <text>
        <r>
          <rPr>
            <sz val="9"/>
            <color indexed="81"/>
            <rFont val="MS P ゴシック"/>
            <family val="3"/>
            <charset val="128"/>
          </rPr>
          <t>Insight iXlW00001C0001454R0585476093S00002906P00876LAocjBAQBF1NjaVRlZ2ljLmRhdGEuTW9sZWN1bGUBbwF/ARJTY2lUZWdpYy5Nb2xlY3VsZQAAAQFkAv5qAQAAAAIAAiwcAAAA/PwA/AACAAAAAAAA8L8CMnctIR/09D8C8tJNYhBY+b8AAAAAGAAAAPz8APwAAgAAAAAAAPC/AqcKRiV1AvA/AqjGSzeJQeS/AAAAABgAAAD8/AD8AAIAAAAAAADwvwJgdk8eFmr5PwK7SQwCK4fGPwAAAAAcAAAA/PwA/AACAAAAAAAA8L8CpwpGJXUC8D8ChutRuB6F7z8AAAAAHAAAAPz8APwAAgAAAAAAAPC/AvLSTWIQWKk/Am8Sg8DKoeU/AAAAABgAAAD8/AD8AAIAAAAAAADwvwJU46WbxCDqvwI4iUFg5dDyPwAAAAAYAAAA/PwA/AACAAAAAAAA8L8C7FG4HoXr+r8CbxKDwMqh5T8AAAAAGAAAAPz8APwAAgAAAAAAAPC/AuxRuB6F6/q/AiPb+X5qvNS/AAAAACAAAAD8/AD8AAIAAAAAAADwvwJU46WbxCDqvwKS7Xw/NV7qvwAAAAAYAAAA/PwA/AACAAAAAAAA8L8C8tJNYhBYqT8CI9v5fmq81L8AAAAAAREAAAD8/AD8AAIAAAAAAADwvwKXIY51cRsDQALqJjEIrBzKvwAAAAAsAAQBZQQAAAAAAAAAAAQIAWUEAAAAAAAAAAAIDAFlCAgAAAAAAAAADBABZQQAAAAAAAAAABAUAWUEAAAAAAAAAAAUGAFlBAAAAAAAAAAAGBwBZQQAAAAAAAAAABwgAWUEAAAAAAAAAAAgJAFlBAAAAAAAAAAAJAQBZQgIAAAAAAAAACQQAWUEAAAAAAAAAAAAAAAA</t>
        </r>
      </text>
    </comment>
    <comment ref="A1455" authorId="0" shapeId="0" xr:uid="{FF4A245F-9E05-41D5-86D9-76E0D2665D3C}">
      <text>
        <r>
          <rPr>
            <sz val="9"/>
            <color indexed="81"/>
            <rFont val="MS P ゴシック"/>
            <family val="3"/>
            <charset val="128"/>
          </rPr>
          <t>Insight iXlW00001C0001455R0585476093S00002908P01324LAocjBAQBF1NjaVRlZ2ljLmRhdGEuTW9sZWN1bGUBbwF/ARJTY2lUZWdpYy5Nb2xlY3VsZQAAAQFkAv5qAQAAAAIAAgERGAAAAPz8APwAAgAAAAAAAPC/Aj2bVZ+rrdA/AvjkYaHWNOu/AAAAABwAAAD8/AD8AAIAAAAAAADwvwLYgXNGlPbmvwLpt68D54zkvwAAAAAYAAAA/PwA/AACAAAAAAAA8L8C6Ugu/yH98b8CA5oIG55e0T8AAAAAIAAAAPz8APwAAgAAAAAAAPC/Ah3r4jYawO0/AjIIrBxaZLu/AAAAACAAAAD8/AD8AAIAAAAAAADwvwK1pnnHKTriPwIa4lgXt9H8vwAAAAAcAAAA/PwA/AACAAAAAAAA8L8C6Ugu/yH98b8CgnNGlPYGAEAAAAAAGAAAAPz8APwAAgAAAAAAAPC/AkqdgCbChv4/Ailcj8L1KNS/AAAAABgAAAD8/AD8AAIAAAAAAADwvwJ0RpT2Bl/3vwK06nO1Ffv0vwAAAAAYAAAA/PwA/AACAAAAAAAA8L8C6Ugu/yH9+b8CwoanV8oy8j8AAAAAGAAAAPz8APwAAgAAAAAAAPC/AlAeFmpN8wDAAraEfNCzWcU/AAAAABgAAAD8/AD8AAIAAAAAAADwvwJb07zjFJ0CwAJJLv8h/fbpvwAAAAAYAAAA/PwA/AACAAAAAAAA8L8Ci47k8h/Sv78CA5oIG55e0T8AAAAAGAAAAPz8APwAAgAAAAAAAPC/AouO5PIf0r+/AoJzRpT2BgBAAAAAABgAAAD8/AD8AAIAAAAAAADwvwKwA+eMKO0AQAJiodY07zjlPwAAAAAYAAAA/PwA/AACAAAAAAAA8L8CSgwCK4cWB0ACQYLix5i74L8AAAAAGAAAAPz8APwAAgAAAAAAAPC/AsOGp1fKMvs/AlVSJ6CJsPS/AAAAABgAAAD8/AD8AAIAAAAAAADwvwJe3EYDeAvYPwLChqdXyjLyPwAAAAABEgQAAWUEAAAAAAAAAAAIBAFlBAAAAAAAAAAADAABZQQAAAAAAAAAABAAAWUIAAAAAAAAAAAUIAFlBAAAAAAAAAAAGAwBZQQAAAAAAAAAABwEAWUEAAAAAAAAAAAIIAFlBAAAAAAAAAAAJAgBZQQAAAAAAAAAACgcAWUEAAAAAAAAAAAsCAFlBAAAAAAAAAAAMBQBZQQAAAAAAAAAADQYAWUEAAAAAAAAAAA4GAFlBAAAAAAAAAAAPBgBZQQAAAAAAAAAAAEQLAFlBAAAAAAAAAAAKCQBZQQAAAAAAAAAADABEAFlBAAAAAAAAAAAAAAAAA==</t>
        </r>
      </text>
    </comment>
    <comment ref="A1456" authorId="0" shapeId="0" xr:uid="{5C295A37-C497-428F-BA9C-4232A7C8AA35}">
      <text>
        <r>
          <rPr>
            <sz val="9"/>
            <color indexed="81"/>
            <rFont val="MS P ゴシック"/>
            <family val="3"/>
            <charset val="128"/>
          </rPr>
          <t>Insight iXlW00001C0001456R0585476093S00002910P01320LAocjBAQBF1NjaVRlZ2ljLmRhdGEuTW9sZWN1bGUBbwF/ARJTY2lUZWdpYy5Nb2xlY3VsZQAAAQFkAv5qAQAAAAIAAgERGAAAAPz8APwAAgAAAAAAAPC/Avvt68A5I/I/An6MuWsJ+bC/AAAAABwAAAD8/AD8AAIAAAAAAADwvwLjNhrAWyDRPwKQMXctIR/ivwAAAAAgAAAA/PwA/AACAAAAAAAA8L8C++3rwDkj8j8Ccc6I0t7g7T8AAAAAGAAAAPz8APwAAgAAAAAAAPC/AhKlvcEXJuO/An6MuWsJ+bC/AAAAABgAAAD8/AD8AAIAAAAAAADwvwLLMsSxLm73vwKQMXctIR/ivwAAAAAgAAAA/PwA/AACAAAAAAAA8L8CPE7RkVz+/z8CkDF3LSEf4r8AAAAAHAAAAPz8APwAAgAAAAAAAPC/Av8h/fZ1YATAAgmKH2PuWuQ/AAAAABgAAAD8/AD8AAIAAAAAAADwvwKt+lxtxf7/PwI4Z0Rpb/D2PwAAAAAYAAAA/PwA/AACAAAAAAAA8L8C4zYawFsg0T8CyJi7lpAP+b8AAAAAGAAAAPz8APwAAgAAAAAAAPC/ArXIdr6fGvm/An4dOGdEads/AAAAABgAAAD8/AD8AAIAAAAAAADwvwLLMsSxLm73vwLImLuWkA/5vwAAAAAYAAAA/PwA/AACAAAAAAAA8L8CoBov3SQGA8ACikFg5dAi778AAAAAGAAAAPz8APwAAgAAAAAAAPC/AhKlvcEXJuO/AmTMXUvIhwDAAAAAABgAAAD8/AD8AAIAAAAAAADwvwLHSzeJQWAIwALp2az6XG3NvwAAAAAYAAAA/PwA/AACAAAAAAAA8L8CrfpcbcX+9z8C9rnaiv1lAkAAAAAAGAAAAPz8APwAAgAAAAAAAPC/AngtIR/07AZAAjlnRGlv8P4/AAAAABgAAAD8/AD8AAIAAAAAAADwvwJXfa62Yv8DQALtDb4wmSriPwAAAAABEgQAAWUEAAAAAAAAAAAIAAFlBAAAAAAAAAAADAQBZQQAAAAAAAAAABAMAWUEAAAAAAAAAAAUAAFlCAAAAAAAAAAAGCQBZQQAAAAAAAAAABwIAWUEAAAAAAAAAAAgBAFlBAAAAAAAAAAAJBABZQQAAAAAAAAAACgQAWUEAAAAAAAAAAAsEAFlBAAAAAAAAAAAMCABZQQAAAAAAAAAADQsAWUEAAAAAAAAAAA4HAFlBAAAAAAAAAAAPBwBZQQAAAAAAAAAAAEQHAFlBAAAAAAAAAAAKDABZQQAAAAAAAAAADQYAWUEAAAAAAAAAAAAAAAA</t>
        </r>
      </text>
    </comment>
    <comment ref="A1457" authorId="0" shapeId="0" xr:uid="{4D49417B-E791-4802-B477-354EFC5915E2}">
      <text>
        <r>
          <rPr>
            <sz val="9"/>
            <color indexed="81"/>
            <rFont val="MS P ゴシック"/>
            <family val="3"/>
            <charset val="128"/>
          </rPr>
          <t>Insight iXlW00001C0001457R0585476093S00002912P01740LAocjBAQBF1NjaVRlZ2ljLmRhdGEuTW9sZWN1bGUBbwF/ARJTY2lUZWdpYy5Nb2xlY3VsZQAAAQFkAv5qAQAAAAIAAgEXGAAAAPz8APwAAgAAAAAAAPC/AqLWNO84xRHAAvSOU3Qkl78/AAAAABgAAAD8/AD8AAIAAAAAAADwvwJDrWnecYoPwAJEi2zn+6nvPwAAAAAYAAAA/PwA/AACAAAAAAAA8L8Csi5uowE8E8ACMZkqGJXU9z8AAAAAGAAAAPz8APwAAgAAAAAAAPC/AkOtad5xigvAAuSlm8QgsP0/AAAAACAAAAD8/AD8AAIAAAAAAADwvwLqJjEIrJwIwAKIFtnO91PfPwAAAAAYAAAA/PwA/AACAAAAAAAA8L8CyXa+nxqvAcACRIts5/up7z8AAAAAIAAAAPz8APwAAgAAAAAAAPC/Asl2vp8arwHAAqJFtvP91P8/AAAAABwAAAD8/AD8AAIAAAAAAADwvwJQjZduEoP1vwKIFtnO91PfPwAAAAAYAAAA/PwA/AACAAAAAAAA8L8COrTIdr6f3r8CYjJVMCqp7z8AAAAAGAAAAPz8APwAAgAAAAAAAPC/As3MzMzMzNg/AsNkqmBUUt8/AAAAABgAAAD8/AD8AAIAAAAAAADwvwKRfvs6cM7YPwK9dJMYBFbgvwAAAAAYAAAA/PwA/AACAAAAAAAA8L8C5j+k374O9D8CXrpJDAIr8L8AAAAAIAAAAPz8APwAAgAAAAAAAPC/AhTQRNjw9ABAAr10kxgEVuC/AAAAABgAAAD8/AD8AAIAAAAAAADwvwI1gLdAguIHQAJeukkMAivwvwAAAAAYAAAA/PwA/AACAAAAAAAA8L8CjgbwFkjQDkACX7pJDAIr+L8AAAAAGAAAAPz8APwAAgAAAAAAAPC/Ao4G8BZI0ApAAoljXdxGAwPAAAAAABgAAAD8/AD8AAIAAAAAAADwvwI1gLdAguIDQAIRx7q4jQb+vwAAAAAYAAAA/PwA/AACAAAAAAAA8L8CNYC3QILiC0AC5tAi2/l+wr8AAAAAIAAAAPz8APwAAgAAAAAAAPC/AjWAt0CC4gdAAkoMAiuHFuc/AAAAACAA/AD8/AD8AAIAAAAAAADwvwIawFsgQfERQALm0CLb+X7CvwAAAAAYAAAA/PwA/AACAAAAAAAA8L8COrTIdr6f3r8CXrpJDAIr8L8AAAAAGAAAAPz8APwAAgAAAAAAAPC/AlCNl24Sg/W/Ar10kxgEVuC/AAAAACwABAD8/AD8AAIAAAAAAADwvwJO845TdCQVQAKBt0CC4sfIvwAAAAABFwAEAWUEAAAAAAAAAAAECAFlBAAAAAAAAAAABAwBZQQAAAAAAAAAAAQQAWUEAAAAAAAAAAAQFAFlBAAAAAAAAAAAFBgBZQgAAAAAAAAAABQcAWUEAAAAAAAAAAAcIAFlBAAAAAAAAAAAICQBZQQAAAAAAAAAACQoAWUEAAAAAAAAAAAoLAFlBAAAAAAAAAAALDABZQQAAAAAAAAAADA0AWUEAAAAAAAAAAA0OAFlBAAAAAAAAAAAODwBZQQAAAAAAAAAADwBEAFlBAAAAAAAAAAAARA0AWUEAAAAAAAAAAA0AREBZQQAAAAAAAAAAAERARIBZQgAAAAAAAAAAAERARMBZQQAAAAAAAAAACgBFAFlBAAAAAAAAAAAARQBFQFlBAAAAAAAAAAAARUcAWUEAAAAAAAAAAAAAAAA</t>
        </r>
      </text>
    </comment>
    <comment ref="A1458" authorId="0" shapeId="0" xr:uid="{0F4E66C3-48B5-4BFE-A965-9339996222D3}">
      <text>
        <r>
          <rPr>
            <sz val="9"/>
            <color indexed="81"/>
            <rFont val="MS P ゴシック"/>
            <family val="3"/>
            <charset val="128"/>
          </rPr>
          <t>Insight iXlW00001C0001458R0585476093S00002914P01392LAocjBAQBF1NjaVRlZ2ljLmRhdGEuTW9sZWN1bGUBbwF/ARJTY2lUZWdpYy5Nb2xlY3VsZQAAAQFkAv5qAQAAAAIAAgESGAAAAPz8APwAAgAAAAAAAPC/AmMQWDm0yPQ/AqW9wRcmU7W/AAAAABwAAAD8/AD8AAIAAAAAAADwvwKDwMqhRbbbPwK1N/jCZKrivwAAAAAYAAAA/PwA/AACAAAAAAAA8L8CYxBYObTI9L8CtTf4wmSq4r8AAAAAIAAAAPz8APwAAgAAAAAAAPC/AmMQWDm0yPQ/AkzIBz2bVe0/AAAAABgAAAD8/AD8AAIAAAAAAADwvwKDwMqhRbbbvwKlvcEXJlO1vwAAAAAgAAAA/PwA/AACAAAAAAAA8L8CUrgehetRAUACtTf4wmSq4r8AAAAAIAAAAPz8APwAAgAAAAAAAPC/AlK4HoXrUQHAAtsbfGEyVfG/AAAAABwAAAD8/AD8AAIAAAAAAADwvwKLjuTyH1IBwAJqb/CFyVTtPwAAAAAYAAAA/PwA/AACAAAAAAAA8L8Ci47k8h9SAUACJuSDns2q9j8AAAAAGAAAAPz8APwAAgAAAAAAAPC/AmMQWDm0yPS/ApeQD3o2q9o/AAAAABgAAAD8/AD8AAIAAAAAAADwvwKDwMqhRbbbPwLbG3xhMlX5vwAAAAAYAAAA/PwA/AACAAAAAAAA8L8CYxBYObTI9L8C2xt8YTJV+b8AAAAAGAAAAPz8APwAAgAAAAAAAPC/AoPAyqFFttu/Au0NvjCZqgDAAAAAABgAAAD8/AD8AAIAAAAAAADwvwKsPldbsT8IwAKXkA96NqvaPwAAAAAYAAAA/PwA/AACAAAAAAAA8L8CrD5XW7E/CMACtTf4wmSq4r8AAAAAGAAAAPz8APwAAgAAAAAAAPC/AhUdyeU/pPo/AjSitDf4QgJAAAAAABgAAAD8/AD8AAIAAAAAAADwvwKsPldbsT8IQAIm5IOezar+PwAAAAAYAAAA/PwA/AACAAAAAAAA8L8CUrgehetRBUAC5q4l5IOe4T8AAAAAARMEAAFlBAAAAAAAAAAACBABZQQAAAAAAAAAAAwAAWUEAAAAAAAAAAAQBAFlBAAAAAAAAAAAFAABZQgAAAAAAAAAABgIAWUEAAAAAAAAAAAcJAFlBAAAAAAAAAAAIAwBZQQAAAAAAAAAACQIAWUEAAAAAAAAAAAoBAFlBAAAAAAAAAAALAgBZQQAAAAAAAAAADAoAWUEAAAAAAAAAAA0HAFlBAAAAAAAAAAAOBgBZQQAAAAAAAAAADwgAWUEAAAAAAAAAAABECABZQQAAAAAAAAAAAERIAFlBAAAAAAAAAAALDABZQQAAAAAAAAAADQ4AWUEAAAAAAAAAAAAAAAA</t>
        </r>
      </text>
    </comment>
    <comment ref="A1459" authorId="0" shapeId="0" xr:uid="{038D7350-E500-4991-84C4-5161AB8E0876}">
      <text>
        <r>
          <rPr>
            <sz val="9"/>
            <color indexed="81"/>
            <rFont val="MS P ゴシック"/>
            <family val="3"/>
            <charset val="128"/>
          </rPr>
          <t>Insight iXlW00001C0001459R0585476093S00002916P01248LAocjBAQBF1NjaVRlZ2ljLmRhdGEuTW9sZWN1bGUBbwF/ARJTY2lUZWdpYy5Nb2xlY3VsZQAAAQFkAv5qAQAAAAIAAgEQGAAAAPz8APwAAgAAAAAAAPC/At21hHzQMwFAAne+nxov3f+/AAAAABgAAAD8/AD8AAIAAAAAAADwvwL+ZffkYSEIQAJ3vp8aL933vwAAAAAcAAAA/PwA/AACAAAAAAAA8L8C/mX35GEhCEAC3Pl+arx0378AAAAAGAAAAPz8APwAAgAAAAAAAPC/At21hHzQMwFAApzEILByaIE/AAAAABgAAAD8/AD8AAIAAAAAAADwvwJ4CyQofoz0PwLc+X5qvHTfvwAAAAAYAAAA/PwA/AACAAAAAAAA8L8CeAskKH6M9D8Cd76fGi/d978AAAAAGAAAAPz8APwAAgAAAAAAAPC/ApzEILByaPA/As47TtGRXN4/AAAAABwAAAD8/AD8AAIAAAAAAADwvwIy5q4l5IOuPwK4QILix5jLPwAAAAAYAAAA/PwA/AACAAAAAAAA8L8COPjCZKpg1D8CpwpGJXUC6L8AAAAAGAAAAPz8APwAAgAAAAAAAPC/AgIrhxbZzum/Ai6QoPgx5uY/AAAAACAAAAD8/AD8AAIAAAAAAADwvwICK4cW2c7pvwIXSFD8GHP7PwAAAAAgAAAA/PwA/AACAAAAAAAA8L8Cw/UoXI/C+r8CuECC4seYyz8AAAAAGAAAAPz8APwAAgAAAAAAAPC/AgIrhxbZTgTAAi6QoPgx5uY/AAAAABgAAAD8/AD8AAIAAAAAAADwvwICK4cW2U4IwAJVwaikTkDDvwAAAAAYAAAA/PwA/AACAAAAAAAA8L8CI9v5fmo8C8ACF0hQ/Bhz8z8AAAAAGAAAAPz8APwAAgAAAAAAAPC/AgIrhxbZTgDAAlmoNc07Tvk/AAAAAAERAAQBZQQAAAAAAAAAAAQIAWUEAAAAAAAAAAAIDAFlBAAAAAAAAAAADBABZQQAAAAAAAAAABAUAWUEAAAAAAAAAAAUAAFlBAAAAAAAAAAAEBgBZQQAAAAAAAAAABgcAWUEAAAAAAAAAAAcIAFlBAAAAAAAAAAAIBABZQQAAAAAAAAAABwkAWUEAAAAAAAAAAAkKAFlCAAAAAAAAAAAJCwBZQQAAAAAAAAAACwwAWUEAAAAAAAAAAAwNAFlBAAAAAAAAAAAMDgBZQQAAAAAAAAAADA8AWUEAAAAAAAAAAAAAAAA</t>
        </r>
      </text>
    </comment>
    <comment ref="A1460" authorId="0" shapeId="0" xr:uid="{213027AA-13E0-48D0-8A89-81126B64C968}">
      <text>
        <r>
          <rPr>
            <sz val="9"/>
            <color indexed="81"/>
            <rFont val="MS P ゴシック"/>
            <family val="3"/>
            <charset val="128"/>
          </rPr>
          <t>Insight iXlW00001C0001460R0585476093S00002918P01468LAocjBAQBF1NjaVRlZ2ljLmRhdGEuTW9sZWN1bGUBbwF/ARJTY2lUZWdpYy5Nb2xlY3VsZQAAAQFkAv5qAQAAAAIAAgETGAAAAPz8APwAAgAAAAAAAPC/AoNRSZ2AJvS/AkzIBz2bVce/AAAAABgAAAD8/AD8AAIAAAAAAADwvwIRWDm0yHb/vwIJG55eKcvgPwAAAAAYAAAA/PwA/AACAAAAAAAA8L8CT6+UZYhjBcACTMgHPZtVx78AAAAAGAAAAPz8APwAAgAAAAAAAPC/AhFYObTIdv+/Ai//If32dey/AAAAABgAAAD8/AD8AAIAAAAAAADwvwLrc7UV+8vOPwJxzojS3uDlPwAAAAAcAAAA/PwA/AACAAAAAAAA8L8C+1xtxf6y5z8CTMgHPZtVx78AAAAAGAAAAPz8APwAAgAAAAAAAPC/AutztRX7y84/AktZhjjWxfC/AAAAABgAAAD8/AD8AAIAAAAAAADwvwIGo5I6AU3ovwJLWYY41sXwvwAAAAAYAAAA/PwA/AACAAAAAAAA8L8CBqOSOgFN6L8Ccc6I0t7g5T8AAAAAGAAAAPz8APwAAgAAAAAAAPC/An6utmJ/2fs/AkzIBz2bVce/AAAAACAAAAD8/AD8AAIAAAAAAADwvwI/V1uxv+wBQAJLWYY41sXwvwAAAAAgAAAA/PwA/AACAAAAAAAA8L8CP1dbsb/sAUACcc6I0t7g5T8AAAAAGAAAAPz8APwAAgAAAAAAAPC/Aj9XW7G/7AlAAnHOiNLe4OU/AAAAABgAAAD8/AD8AAIAAAAAAADwvwI/V1uxv+wJQAI4Z0Rpb/D6PwAAAAAYAAAA/PwA/AACAAAAAAAA8L8CoKut2F/2EEACcc6I0t7g5T8AAAAAGAAAAPz8APwAAgAAAAAAAPC/Aj9XW7G/7AlAAiBj7lpCPtS/AAAAABgAAAD8/AD8AAIAAAAAAADwvwJPr5RliGMNwAJMyAc9m1XHvwAAAAAgAAAA/PwA/AACAAAAAAAA8L8CqFfKMsSxEMACS1mGONbF8L8AAAAAIAAAAPz8APwAAgAAAAAAAPC/AqhXyjLEsRDAAnHOiNLe4OU/AAAAAAEUAAQBZQQAAAAAAAAAAAQIAWUEAAAAAAAAAAAIDAFlBAAAAAAAAAAADAABZQQAAAAAAAAAABAUAWUEAAAAAAAAAAAQIAFlBAAAAAAAAAAAFBgBZQQAAAAAAAAAABgcAWUEAAAAAAAAAAAcAAFlBAAAAAAAAAAAACABZQQAAAAAAAAAABQkAWUEAAAAAAAAAAAkKAFlCAAAAAAAAAAAJCwBZQQAAAAAAAAAACwwAWUEAAAAAAAAAAAwNAFlBAAAAAAAAAAAMDgBZQQAAAAAAAAAADA8AWUEAAAAAAAAAAAIARABZQQAAAAAAAAAAAEQAREBZQgAAAAAAAAAAAEQARIBZQQAAAAAAAAAAAAAAAA=</t>
        </r>
      </text>
    </comment>
    <comment ref="A1461" authorId="0" shapeId="0" xr:uid="{6AAEDB33-E7BD-4639-B81D-992E06F5A24E}">
      <text>
        <r>
          <rPr>
            <sz val="9"/>
            <color indexed="81"/>
            <rFont val="MS P ゴシック"/>
            <family val="3"/>
            <charset val="128"/>
          </rPr>
          <t>Insight iXlW00001C0001461R0585476093S00002920P01320LAocjBAQBF1NjaVRlZ2ljLmRhdGEuTW9sZWN1bGUBbwF/ARJTY2lUZWdpYy5Nb2xlY3VsZQAAAQFkAv5qAQAAAAIAAgERGAAAAPz8APwAAgAAAAAAAPC/AhPyQc9m1fU/AmPuWkI+6OG/AAAAABgAAAD8/AD8AAIAAAAAAADwvwLRs1n1udroPwLOqs/VVuzPPwAAAAAcAAAA/PwA/AACAAAAAAAA8L8CrK3YX3ZPxr8CMuauJeSDrr8AAAAAGAAAAPz8APwAAgAAAAAAAPC/AiRKe4MvTMa/AjJ3LSEf9PC/AAAAABgAAAD8/AD8AAIAAAAAAADwvwLRs1n1udroPwK94xQdyeX1vwAAAAAcAAAA/PwA/AACAAAAAAAA8L8C0SLb+X7qBkACQKTfvg6c0z8AAAAAGAAAAPz8APwAAgAAAAAAAPC/AtEi2/l+6gpAAmPuWkI+6OG/AAAAABgAAAD8/AD8AAIAAAAAAADwvwLRItv5fuoGQAJz1xLyQc/2vwAAAAAYAAAA/PwA/AACAAAAAAAA8L8CE/JBz2bV/T8Cc9cS8kHP9r8AAAAAGAAAAPz8APwAAgAAAAAAAPC/AqJFtvP91P0/AkCk374OnNM/AAAAABgAAAD8/AD8AAIAAAAAAADwvwJkXdxGA3jvvwIukKD4MebgPwAAAAAgAAAA/PwA/AACAAAAAAAA8L8CcoqO5PIf7L8CzjtO0ZFc+D8AAAAAIAAAAPz8APwAAgAAAAAAAPC/AraEfNCzWf6/ApM6AU2EDb8/AAAAABgAAAD8/AD8AAIAAAAAAADwvwLZzvdT46UFwALkpZvEILDmPwAAAAAYAAAA/PwA/AACAAAAAAAA8L8Cfq62Yn9ZCsACmpmZmZmZub8AAAAAGAAAAPz8APwAAgAAAAAAAPC/Ah+F61G4HgzAAqs+V1uxv/Q/AAAAABgAAAD8/AD8AAIAAAAAAADwvwL9GHPXEvIAwALu68A5I0r4PwAAAAABEgAEAWUEAAAAAAAAAAAECAFlBAAAAAAAAAAACAwBZQQAAAAAAAAAAAwQAWUEAAAAAAAAAAAQAAFlBAAAAAAAAAAAFBgBZQQAAAAAAAAAABQkAWUEAAAAAAAAAAAYHAFlBAAAAAAAAAAAHCABZQQAAAAAAAAAACAAAWUEAAAAAAAAAAAAJAFlBAAAAAAAAAAACCgBZQQAAAAAAAAAACgsAWUIAAAAAAAAAAAoMAFlBAAAAAAAAAAAMDQBZQQAAAAAAAAAADQ4AWUEAAAAAAAAAAA0PAFlBAAAAAAAAAAANAEQAWUEAAAAAAAAAAAAAAAA</t>
        </r>
      </text>
    </comment>
    <comment ref="A1462" authorId="0" shapeId="0" xr:uid="{4E7DB4AB-AD40-41AB-8DF5-5860B8210179}">
      <text>
        <r>
          <rPr>
            <sz val="9"/>
            <color indexed="81"/>
            <rFont val="MS P ゴシック"/>
            <family val="3"/>
            <charset val="128"/>
          </rPr>
          <t>Insight iXlW00001C0001462R0585476093S00002922P01376LAocjBAQBF1NjaVRlZ2ljLmRhdGEuTW9sZWN1bGUBbwF/ARJTY2lUZWdpYy5Nb2xlY3VsZQAAAQFkAv5qAQAAAAIAAgESGAAAAPz8APwAAgAAAAAAAPC/ArMMcayL2wTAAvmgZ7Pqc9m/AAAAABgAAAD8/AD8AAIAAAAAAADwvwKLjuTyH9L6vwKze/KwUGvovwAAAAAYAAAA/PwA/AACAAAAAAAA8L8COrTIdr6f7L8CUyegibDhwb8AAAAAGAAAAPz8APwAAgAAAAAAAPC/AhkEVg4tsvC/AkETYcPTK+s/AAAAABgAAAD8/AD8AAIAAAAAAADwvwKD4seYu5b/vwI830+Nl27zPwAAAAAcAAAA/PwA/AACAAAAAAAA8L8CseHplbIMBsACmUwVjErq4j8AAAAAGAAAAPz8APwAAgAAAAAAAPC/AnpYqDXNO+q/Av7UeOkmMfK/AAAAABgAAAD8/AD8AAIAAAAAAADwvwI6tMh2vp96PwIWjErqBDT7vwAAAAAcAAAA/PwA/AACAAAAAAAA8L8CRWlv8IXJ7j8CIR/0bFZ99r8AAAAAGAAAAPz8APwAAgAAAAAAAPC/As1dS8gHPfU/Alafq63YX96/AAAAABgAAAD8/AD8AAIAAAAAAADwvwLmriXkg54CQAJWn6ut2F/evwAAAAAYAAAA/PwA/AACAAAAAAAA8L8C564l5IOeBkACseHplbIM2T8AAAAAGAAAAPz8APwAAgAAAAAAAPC/AuauJeSDngJAAq7YX3ZPHvQ/AAAAABgAAAD8/AD8AAIAAAAAAADwvwLNXUvIBz31PwKu2F92Tx70PwAAAAAYAAAA/PwA/AACAAAAAAAA8L8CmbuWkA966j8CseHplbIM2T8AAAAAIAAAAPz8APwAAgAAAAAAAPC/AvGFyVTBqMS/AtBE2PD0SuE/AAAAAAERAAAA/PwA/AACAAAAAAAA8L8CTRWMSuoEDUACvXSTGARWzr8AAAAAAREAAAD8/AD8AAIAAAAAAADwvwI1gLdAgqISQAKBJsKGp1fKvwAAAAABEgAEAWUEAAAAAAAAAAAECAFlBAAAAAAAAAAACAwBZQQAAAAAAAAAAAwQAWUEAAAAAAAAAAAQFAFlBAAAAAAAAAAAFAABZQQAAAAAAAAAAAgYAWUEAAAAAAAAAAAYHAFlBAAAAAAAAAAAHCABZQQAAAAAAAAAACAkAWUEAAAAAAAAAAAkKAFlCAwAAAAAAAAAKCwBZQQAAAAAAAAAACwwAWUICAAAAAAAAAAwNAFlBAAAAAAAAAAANDgBZQgIAAAAAAAAADgkAWUEAAAAAAAAAAA4PAFlBAAAAAAAAAAAPAgBZQQAAAAAAAAAAAAAAAA=</t>
        </r>
      </text>
    </comment>
    <comment ref="A1463" authorId="0" shapeId="0" xr:uid="{13A81FBF-10D3-4D3F-9009-4984AFDF6C61}">
      <text>
        <r>
          <rPr>
            <sz val="9"/>
            <color indexed="81"/>
            <rFont val="MS P ゴシック"/>
            <family val="3"/>
            <charset val="128"/>
          </rPr>
          <t>Insight iXlW00001C0001463R0585476093S00002924P01448LAocjBAQBF1NjaVRlZ2ljLmRhdGEuTW9sZWN1bGUBbwF/ARJTY2lUZWdpYy5Nb2xlY3VsZQAAAQFkAv5qAQAAAAIAAgETJAAAAPz8APwAAgAAAAAAAPC/AgMJih9jbgpAAueuJeSDntm/AAAAABgAAAD8/AD8AAIAAAAAAADwvwKqglFJnYADQAJoRGlv8IW5PwAAAAAYAAAA/PwA/AACAAAAAAAA8L8C4lgXt9GAA0ACR5T2Bl+Y8T8AAAAAGAAAAPz8APwAAgAAAAAAAPC/AhKlvcEXJvk/AkeU9gZfmPk/AAAAABgAAAD8/AD8AAIAAAAAAADwvwKgibDh6ZXmPwJHlPYGX5jxPwAAAAAcAAAA/PwA/AACAAAAAAAA8L8C2/l+arx0s78Cp3nHKTqS+z8AAAAAGAAAAPz8APwAAgAAAAAAAPC/AsbctYR80PC/AoljXdxGA/g/AAAAABgAAAD8/AD8AAIAAAAAAADwvwJSSZ2AJsL3vwJvgQTFjzHjPwAAAAAYAAAA/PwA/AACAAAAAAAA8L8COIlBYOXQ8L8CZohjXdxG078AAAAAGAAAAPz8APwAAgAAAAAAAPC/AhvAWyBB8eW/AoPAyqFFtvO/AAAAABgAAAD8/AD8AAIAAAAAAADwvwJuxf6ye/L0vwKxUGuadxwAwAAAAAAcAAAA/PwA/AACAAAAAAAA8L8C/Knx0k1iAsAC9UpZhjjW/b8AAAAAGAAAAPz8APwAAgAAAAAAAPC/ApF++zpwTgXAAjWAt0CC4u2/AAAAABgAAAD8/AD8AAIAAAAAAADwvwLhC5OpglEAwAJkXdxGA3jDvwAAAAAgAAAA/PwA/AACAAAAAAAA8L8C7MA5I0p7s78CNKK0N/jC4L8AAAAAGAAAAPz8APwAAgAAAAAAAPC/AqCJsOHpleY/AmhEaW/whbk/AAAAABgAAAD8/AD8AAIAAAAAAADwvwISpb3BFyb5PwLnriXkg57ZvwAAAAABEQAAAPz8APwAAgAAAAAAAPC/ArU3+MJkahBAAkeU9gZfmMS/AAAAAAERAAAA/PwA/AACAAAAAAAA8L8CQ61p3nGKFEACC0YldQKawL8AAAAAARMABAFlBAAAAAAAAAAABAgBZQgMAAAAAAAAAAgMAWUEAAAAAAAAAAAMEAFlCAwAAAAAAAAAEBQBZQQAAAAAAAAAABQYAWUEAAAAAAAAAAAYHAFlBAAAAAAAAAAAHCABZQQAAAAAAAAAACAkAWUEAAAAAAAAAAAkKAFlBAAAAAAAAAAAKCwBZQQAAAAAAAAAACwwAWUEAAAAAAAAAAAwNAFlBAAAAAAAAAAANCABZQQAAAAAAAAAACA4AWUEAAAAAAAAAAA4PAFlBAAAAAAAAAAAPBABZQQAAAAAAAAAADwBEAFlCAwAAAAAAAAAARAEAWUEAAAAAAAAAAAAAAAA</t>
        </r>
      </text>
    </comment>
    <comment ref="A1464" authorId="0" shapeId="0" xr:uid="{5A0B012F-EC33-46DF-8FA5-8067155FB0E9}">
      <text>
        <r>
          <rPr>
            <sz val="9"/>
            <color indexed="81"/>
            <rFont val="MS P ゴシック"/>
            <family val="3"/>
            <charset val="128"/>
          </rPr>
          <t>Insight iXlW00001C0001464R0585476093S00002926P01452LAocjBAQBF1NjaVRlZ2ljLmRhdGEuTW9sZWN1bGUBbwF/ARJTY2lUZWdpYy5Nb2xlY3VsZQAAAQFkAv5qAQAAAAIAAgETJAAAAPz8APwAAgAAAAAAAPC/Al3+Q/rt6+g/AmHl0CLb+f8/AAAAABgAAAD8/AD8AAIAAAAAAADwvwIv/yH99nX0PwIfhetRuB7yPwAAAAAYAAAA/PwA/AACAAAAAAAA8L8Cl/+Qfvs6AkACH4XrUbge8j8AAAAAGAAAAPz8APwAAgAAAAAAAPC/Apf/kH77OgZAAnWTGARWDtE/AAAAABgAAAD8/AD8AAIAAAAAAADwvwKX/5B++zoCQALJdr6fGi/jvwAAAAAYAAAA/PwA/AACAAAAAAAA8L8CL/8h/fZ19D8CyXa+nxov478AAAAAHAAAAPz8APwAAgAAAAAAAPC/AiZTBaOSOu0/ArByaJHtfPi/AAAAABgAAAD8/AD8AAIAAAAAAADwvwJeS8gHPZulvwKl374OnDP9vwAAAAAYAAAA/PwA/AACAAAAAAAA8L8CmG4Sg8DK678CjSjtDb4w9L8AAAAAGAAAAPz8APwAAgAAAAAAAPC/AnZxGw3gLe6/AuVhodY079C/AAAAABgAAAD8/AD8AAIAAAAAAADwvwKamZmZmZn7vwLRItv5fmrsvwAAAAAYAAAA/PwA/AACAAAAAAAA8L8CArwFEhQ/BcACfdCzWfW54L8AAAAAHAAAAPz8APwAAgAAAAAAAPC/AjhnRGlvcAbAAvVKWYY41t0/AAAAABgAAAD8/AD8AAIAAAAAAADwvwLJdr6fGi8AwAKti9toAG/xPwAAAAAYAAAA/PwA/AACAAAAAAAA8L8Ct2J/2T158b8CI2x4eqUs5z8AAAAAIAAAAPz8APwAAgAAAAAAAPC/AmrecYqO5Mq/AmU730+Nl9o/AAAAABgAAAD8/AD8AAIAAAAAAADwvwJd/kP67evoPwJ1kxgEVg7RPwAAAAABEQAAAPz8APwAAgAAAAAAAPC/Av5l9+RhoQxAAqTfvg6cM7I/AAAAAAERAAAA/PwA/AACAAAAAAAA8L8CjSjtDb5wEkACHHxhMlUwuj8AAAAAARMABAFlBAAAAAAAAAAABAgBZQQAAAAAAAAAAAgMAWUICAAAAAAAAAAMEAFlBAAAAAAAAAAAEBQBZQgMAAAAAAAAABQYAWUEAAAAAAAAAAAYHAFlBAAAAAAAAAAAHCABZQQAAAAAAAAAACAkAWUEAAAAAAAAAAAkKAFlBAAAAAAAAAAAKCwBZQQAAAAAAAAAACwwAWUEAAAAAAAAAAAwNAFlBAAAAAAAAAAANDgBZQQAAAAAAAAAADgkAWUEAAAAAAAAAAAkPAFlBAAAAAAAAAAAPAEQAWUEAAAAAAAAAAABEAQBZQgIAAAAAAAAAAEQFAFlBAAAAAAAAAAAAAAAAA==</t>
        </r>
      </text>
    </comment>
    <comment ref="A1465" authorId="0" shapeId="0" xr:uid="{31ABB2E9-1B3B-4670-B57D-770451A9A6B4}">
      <text>
        <r>
          <rPr>
            <sz val="9"/>
            <color indexed="81"/>
            <rFont val="MS P ゴシック"/>
            <family val="3"/>
            <charset val="128"/>
          </rPr>
          <t>Insight iXlW00001C0001465R0585476093S00002928P00892LAocjBAQBF1NjaVRlZ2ljLmRhdGEuTW9sZWN1bGUBbwF/ARJTY2lUZWdpYy5Nb2xlY3VsZQAAAQFkAv5qAQAAAAIAAiwYAAAA/PwA/AACAAAAAAAA8L8ClyGOdXEbxT8C1JrmHafo4j8AAAAAGAAAAPz8APwAAgAAAAAAAPC/Ah44Z0Rpb+a/AmpN845TdPE/AAAAABgAAAD8/AD8AAIAAAAAAADwvwJR/Bhz1xL5vwLUmuYdp+jiPwAAAAAcAAAA/PwA/AACAAAAAAAA8L8ClyGOdXEbxT8CWMoyxLEu2r8AAAAAGAAAAPz8APwAAgAAAAAAAPC/Ah44Z0Rpb+a/AixlGeJYF+2/AAAAABgAAAD8/AD8AAIAAAAAAADwvwJR/Bhz1xL5vwJYyjLEsS7avwAAAAAcAAAA/PwA/AACAAAAAAAA8L8CQmDl0CLb8T8CQz7o2az65r8AAAAAGAAAAPz8APwAAgAAAAAAAPC/AvvL7snDQvs/AqLWNO84Rbc/AAAAABwAAAD8/AD8AAIAAAAAAADwvwJCYOXQItvxPwLrc7UV+8vsPwAAAAAYAAAA/PwA/AACAAAAAAAA8L8C/mX35GGhBUACotY07zhFtz8AAAAAHAAAAPz8APwAAgAAAAAAAPC/Akku/yH9dgPAAixlGeJYF+2/AAAAADAABAFlBAAAAAAAAAAABAgBZQgIAAAAAAAAAAAMAWUEAAAAAAAAAAAMEAFlBAAAAAAAAAAAEBQBZQgIAAAAAAAAABQIAWUEAAAAAAAAAAAMGAFlBAAAAAAAAAAAGBwBZQgIAAAAAAAAABwgAWUEAAAAAAAAAAAgAAFlCAwAAAAAAAAAHCQBZQQAAAAAAAAAABQoAWUEAAAAAAAAAAAAAAAA</t>
        </r>
      </text>
    </comment>
    <comment ref="A1466" authorId="0" shapeId="0" xr:uid="{F42E267F-5E23-4DD7-836C-53A1FCDD8D1A}">
      <text>
        <r>
          <rPr>
            <sz val="9"/>
            <color indexed="81"/>
            <rFont val="MS P ゴシック"/>
            <family val="3"/>
            <charset val="128"/>
          </rPr>
          <t>Insight iXlW00001C0001466R0585476093S00002930P01268LAocjBAQBF1NjaVRlZ2ljLmRhdGEuTW9sZWN1bGUBbwF/ARJTY2lUZWdpYy5Nb2xlY3VsZQAAAQFkAv5qAQAAAAIAAgEQGAAAAPz8APwAAgAAAAAAAPC/AiPb+X5qvP6/AgAAAAAAAO6/AAAAABgAAAD8/AD8AAIAAAAAAADwvwKyne+nxksGwAIAAAAAAADcvwAAAAAYAAAA/PwA/AACAAAAAAAA8L8Csp3vp8ZLBsACAAAAAAAA4j8AAAAAGAAAAPz8APwAAgAAAAAAAPC/AiPb+X5qvP6/AgAAAAAAAPE/AAAAABgAAAD8/AD8AAIAAAAAAADwvwLiehSuR+HwvwIAAAAAAADiPwAAAAAcAAAA/PwA/AACAAAAAAAA8L8C4noUrkfh8L8CAAAAAAAA3L8AAAAAHAAAAPz8APwAAgAAAAAAAPC/AintDb4wmbq/AhfZzvdT4+s/AAAAABgAAAD8/AD8AAIAAAAAAADwvwKcM6K0N/jePwIAAAAAAACwPwAAAAAcAAAA/PwA/AACAAAAAAAA8L8CKe0NvjCZur8CF9nO91Pj578AAAAAGAAAAPz8APwAAgAAAAAAAPC/AueMKO0Nvvc/AgAAAAAAALA/AAAAABgAAAD8/AD8AAIAAAAAAADwvwLnjCjtDb7/PwKDwMqhRbbpvwAAAAAYAAAA/PwA/AACAAAAAAAA8L8C54wo7Q2+/z8Cg8DKoUW27T8AAAAAGAAAAPz8APwAAgAAAAAAAPC/AnRGlPYG3wdAAoPAyqFFtu0/AAAAABgAAAD8/AD8AAIAAAAAAADwvwJ0RpT2Bt8LQAIAAAAAAACwPwAAAAAYAAAA/PwA/AACAAAAAAAA8L8CdEaU9gbfB0ACg8DKoUW26b8AAAAAHAAAAPz8APwAAgAAAAAAAPC/AgwkKH6MOQ3AAgAAAAAAAO6/AAAAAAESAAQBZQgIAAAAAAAAAAAUAWUEAAAAAAAAAAAECAFlBAAAAAAAAAAACAwBZQgIAAAAAAAAAAwQAWUEAAAAAAAAAAAQGAFlCAwAAAAAAAAAFBABZQQAAAAAAAAAABQgAWUEAAAAAAAAAAAYHAFlBAAAAAAAAAAAHCABZQgIAAAAAAAAABwkAWUEAAAAAAAAAAAoJAFlCAwAAAAAAAAAJCwBZQQAAAAAAAAAACg4AWUEAAAAAAAAAAAsMAFlCAgAAAAAAAAAMDQBZQQAAAAAAAAAADQ4AWUICAAAAAAAAAAEPAFlBAAAAAAAAAAAAAAAAA==</t>
        </r>
      </text>
    </comment>
    <comment ref="A1467" authorId="0" shapeId="0" xr:uid="{966B3EC1-F2E5-40E2-A65B-0CA8D5764BD0}">
      <text>
        <r>
          <rPr>
            <sz val="9"/>
            <color indexed="81"/>
            <rFont val="MS P ゴシック"/>
            <family val="3"/>
            <charset val="128"/>
          </rPr>
          <t>Insight iXlW00001C0001467R0585476093S00002932P01036LAocjBAQBF1NjaVRlZ2ljLmRhdGEuTW9sZWN1bGUBbwF/ARJTY2lUZWdpYy5Nb2xlY3VsZQAAAQFkAv5qAQAAAAIAAjQcAAAA/PwA/AACAAAAAAAA8L8CT6+UZYhj4z8CtFn1udqKzb8AAAAAHAAAAPz8APwAAgAAAAAAAPC/Arfz/dR46fg/AlXBqKROQPE/AAAAABgAAAD8/AD8AAIAAAAAAADwvwLcaABvgQTyvwK0WfW52orNvwAAAAAYAAAA/PwA/AACAAAAAAAA8L8CT6+UZYhj4z8Ck6mCUUmd6D8AAAAAHAAAAPz8APwAAgAAAAAAAPC/Arfz/dR46fg/AoQvTKYKRuG/AAAAABgAAAD8/AD8AAIAAAAAAADwvwJoImx4eqXQvwJtVn2utmLnvwAAAAAYAAAA/PwA/AACAAAAAAAA8L8CuK8D54woAUACJlMFo5I60T8AAAAAGAAAAPz8APwAAgAAAAAAAPC/AtxoAG+BBPK/ApOpglFJneg/AAAAABgAAAD8/AD8AAIAAAAAAADwvwKPdXEbDeD/vwJtVn2utmLnvwAAAAAYAAAA/PwA/AACAAAAAAAA8L8CaCJseHql0L8CylTBqKRO9D8AAAAAIAAAAPz8APwAAgAAAAAAAPC/Ao91cRsN4P+/AjerPldbsfu/AAAAACAAAAD8/AD8AAIAAAAAAADwvwLoaiv2l90GwAK0WfW52orNvwAAAAAYAAAA/PwA/AACAAAAAAAA8L8CuK8D54woCUACJlMFo5I60T8AAAAAOAQMAWUICAAAAAAAAAAIFAFlCAgAAAAAAAAADAABZQQAAAAAAAAAABAAAWUEAAAAAAAAAAAUAAFlBAAAAAAAAAAAGBABZQgMAAAAAAAAABwIAWUEAAAAAAAAAAAgCAFlBAAAAAAAAAAAJAwBZQQAAAAAAAAAACggAWUIAAAAAAAAAAAsIAFlBAAAAAAAAAAAMBgBZQQAAAAAAAAAAAQYAWUEAAAAAAAAAAAkHAFlCAgAAAAAAAAAAAAAAA==</t>
        </r>
      </text>
    </comment>
    <comment ref="A1468" authorId="0" shapeId="0" xr:uid="{0B561C08-D917-41E9-B30B-1059DA0EF626}">
      <text>
        <r>
          <rPr>
            <sz val="9"/>
            <color indexed="81"/>
            <rFont val="MS P ゴシック"/>
            <family val="3"/>
            <charset val="128"/>
          </rPr>
          <t>Insight iXlW00001C0001468R0585476093S00002934P01052LAocjBAQBF1NjaVRlZ2ljLmRhdGEuTW9sZWN1bGUBbwF/ARJTY2lUZWdpYy5Nb2xlY3VsZQAAAQFkAv5qAQAAAAIAAjQcAAAA/PwA/AACAAAAAAAA8L8C++3rwDkj4j8CRdjw9EpZ7D8AAAAAHAAAAPz8APwAAgAAAAAAAPC/AkeU9gZfmNi/AqQBvAUSFNu/AAAAABgAAAD8/AD8AAIAAAAAAADwvwK3Yn/ZPXnyPwJz+Q/pt6+zPwAAAAAcAAAA/PwA/AACAAAAAAAA8L8C++3rwDkj4j8C6dms+lxt578AAAAAGAAAAPz8APwAAgAAAAAAAPC/AkeU9gZfmNi/Ai//If32deI/AAAAABgAAAD8/AD8AAIAAAAAAADwvwJTBaOSOgH0vwLSAN4CCYrtvwAAAAAYAAAA/PwA/AACAAAAAAAA8L8CXLG/7J48AUACc/kP6bevsz8AAAAAGAAAAPz8APwAAgAAAAAAAPC/AlMFo5I6AfS/Apf/kH77OvE/AAAAABgAAAD8/AD8AAIAAAAAAADwvwLLMsSxLu4AwAKkAbwFEhTbvwAAAAAYAAAA/PwA/AACAAAAAAAA8L8CfGEyVTAqCEACpAG8BRIU278AAAAAGAAAAPz8APwAAgAAAAAAAPC/AnxhMlUwKghAAi//If32deI/AAAAABgAAAD8/AD8AAIAAAAAAADwvwLLMsSxLu4AwAIv/yH99nXiPwAAAAAcAAAA/PwA/AACAAAAAAAA8L8C6+I2GsDbB8AC0gDeAgmK7b8AAAAAPAQQAWUEAAAAAAAAAAAIAAFlBAAAAAAAAAAADAgBZQgIAAAAAAAAABAAAWUICAAAAAAAAAAUBAFlBAAAAAAAAAAAGAgBZQQAAAAAAAAAABwQAWUEAAAAAAAAAAAgLAFlBAAAAAAAAAAAJBgBZQQAAAAAAAAAACgYAWUEAAAAAAAAAAAsHAFlCAgAAAAAAAAAMCABZQQAAAAAAAAAAAwEAWUEAAAAAAAAAAAkKAFlBAAAAAAAAAAAFCABZQgIAAAAAAAAAAAAAAA=</t>
        </r>
      </text>
    </comment>
    <comment ref="A1469" authorId="0" shapeId="0" xr:uid="{2EA19B77-89C7-472F-9D41-059CE5C56EA4}">
      <text>
        <r>
          <rPr>
            <sz val="9"/>
            <color indexed="81"/>
            <rFont val="MS P ゴシック"/>
            <family val="3"/>
            <charset val="128"/>
          </rPr>
          <t>Insight iXlW00001C0001469R0585476093S00002936P01104LAocjBAQBF1NjaVRlZ2ljLmRhdGEuTW9sZWN1bGUBbwF/ARJTY2lUZWdpYy5Nb2xlY3VsZQAAAQFkAv5qAQAAAAIAAjgYAAAA/PwA/AACAAAAAAAA8L8C/Yf029cBAkACP8bctYR8wL8AAAAAGAAAAPz8APwAAgAAAAAAAPC/Ahlz1xLyQfQ/Apjdk4eFWtO/AAAAABgAAAD8/AD8AAIAAAAAAADwvwLQ1VbsL7v5PwIdyeU/pN/zvwAAAAAYAAAA/PwA/AACAAAAAAAA8L8CL90kBoGVAcACNBE2PL1S5j8AAAAAGAAAAPz8APwAAgAAAAAAAPC/Ai/dJAaBlQHAApjdk4eFWtO/AAAAABgAAAD8/AD8AAIAAAAAAADwvwIdWmQ730/1vwLM7snDQq3pvwAAAAAYAAAA/PwA/AACAAAAAAAA8L8CHVpkO99P9b8Cmggbnl4p8z8AAAAAGAAAAPz8APwAAgAAAAAAAPC/Am3n+6nx0t2/AjQRNjy9UuY/AAAAABgAAAD8/AD8AAIAAAAAAADwvwJt5/up8dLdvwKY3ZOHhVrTvwAAAAAYAAAA/PwA/AACAAAAAAAA8L8CXkvIBz2b2T8CzO7Jw0Kt6b8AAAAAGAAAAPz8APwAAgAAAAAAAPC/Ahlz1xLyQfQ/AjQRNjy9UuY/AAAAABwAAAD8/AD8AAIAAAAAAADwvwJeS8gHPZvZPwKaCBueXinzPwAAAAAgAAAA/PwA/AACAAAAAAAA8L8C5j+k374OAUACmggbnl4p8z8AAAAAHAAAAPz8APwAAgAAAAAAAPC/Ah1aZDvfT/W/Amb35GGh1vy/AAAAADwEAAFlBAAAAAAAAAAACAQBZQQAAAAAAAAAAAwQAWUEAAAAAAAAAAAQFAFlCAgAAAAAAAAAFCABZQQAAAAAAAAAABwYAWUEAAAAAAAAAAAYDAFlCAgAAAAAAAAAHCABZQgIAAAAAAAAABwsAWUEAAAAAAAAAAAgJAFlBAAAAAAAAAAAJAQBZQQAAAAAAAAAAAQoAWUEAAAAAAAAAAAoLAFlBAAAAAAAAAAAKDABZQgAAAAAAAAAABQ0AWUEAAAAAAAAAAAAAAAA</t>
        </r>
      </text>
    </comment>
    <comment ref="A1470" authorId="0" shapeId="0" xr:uid="{945DF573-0A94-4BBF-AAEB-BBFF08B70C59}">
      <text>
        <r>
          <rPr>
            <sz val="9"/>
            <color indexed="81"/>
            <rFont val="MS P ゴシック"/>
            <family val="3"/>
            <charset val="128"/>
          </rPr>
          <t>Insight iXlW00001C0001470R0585476093S00002938P01176LAocjBAQBF1NjaVRlZ2ljLmRhdGEuTW9sZWN1bGUBbwF/ARJTY2lUZWdpYy5Nb2xlY3VsZQAAAQFkAv5qAQAAAAIAAjwYAAAA/PwA/AACAAAAAAAA8L8CFNBE2PD0+D8CiIVa07zj0L8AAAAAGAAAAPz8APwAAgAAAAAAAPC/Asb+snvysPE/AoxK6gQ0EeQ/AAAAABwAAAD8/AD8AAIAAAAAAADwvwLswDkjSnvLPwJHA3gLJCjGPwAAAAAYAAAA/PwA/AACAAAAAAAA8L8C2BLyQc9m5T8Cfoy5awn55r8AAAAAGAAAAPz8APwAAgAAAAAAAPC/AgFvgQTFj+e/Ag0CK4cW2d4/AAAAABgAAAD8/AD8AAIAAAAAAADwvwKfPCzUmub9PwIAkX77OnDzvwAAAAAcAAAA/PwA/AACAAAAAAAA8L8CF0hQ/BjzBkACAJF++zpw878AAAAAGAAAAPz8APwAAgAAAAAAAPC/ApXUCWgibAlAAoiFWtO849C/AAAAABgAAAD8/AD8AAIAAAAAAADwvwJQHhZqTfMCQAJfKcsQx7rUPwAAAAAYAAAA/PwA/AACAAAAAAAA8L8CjGzn+6lxA8AC5x2n6Eguvz8AAAAAGAAAAPz8APwAAgAAAAAAAPC/AtEi2/l+6gXAAn/7OnDOiOq/AAAAABgAAAD8/AD8AAIAAAAAAADwvwKTOgFNhA0LwAKneccpOpLbPwAAAAAYAAAA/PwA/AACAAAAAAAA8L8CRrbz/dT4AMAC7Q2+MJkq8T8AAAAAIAAAAPz8APwAAgAAAAAAAPC/Agg9m1Wfq/e/At9xio7k8se/AAAAACAAAAD8/AD8AAIAAAAAAADwvwIPnDOitDfuvwI/6Nms+lz3PwAAAAABEAQIAWUEAAAAAAAAAAAIDAFlBAAAAAAAAAAACBABZQQAAAAAAAAAAAAUAWUEAAAAAAAAAAAUGAFlBAAAAAAAAAAAGBwBZQQAAAAAAAAAABwgAWUEAAAAAAAAAAAgAAFlBAAAAAAAAAAADAABZQQAAAAAAAAAAAQAAWUEAAAAAAAAAAA0EAFlBAAAAAAAAAAAEDgBZQgAAAAAAAAAADQkAWUEAAAAAAAAAAAkKAFlBAAAAAAAAAAAJCwBZQQAAAAAAAAAACQwAWUEAAAAAAAAAAAAAAAA</t>
        </r>
      </text>
    </comment>
    <comment ref="A1471" authorId="0" shapeId="0" xr:uid="{5363C9B5-0224-4C21-BE9B-39E1D71A821C}">
      <text>
        <r>
          <rPr>
            <sz val="9"/>
            <color indexed="81"/>
            <rFont val="MS P ゴシック"/>
            <family val="3"/>
            <charset val="128"/>
          </rPr>
          <t>Insight iXlW00001C0001471R0585476093S00002940P01320LAocjBAQBF1NjaVRlZ2ljLmRhdGEuTW9sZWN1bGUBbwF/ARJTY2lUZWdpYy5Nb2xlY3VsZQAAAQFkAv5qAQAAAAIAAgERGAAAAPz8APwAAgAAAAAAAPC/AvoP6bevA/s/AmrecYqO5Mq/AAAAABgAAAD8/AD8AAIAAAAAAADwvwKsHFpkO9/2PwI6I0p7gy/oPwAAAAAYAAAA/PwA/AACAAAAAAAA8L8CCD2bVZ+r3T8CAiuHFtnO3z8AAAAAGAAAAPz8APwAAgAAAAAAAPC/Aj0s1JrmHec/AqcKRiV1At6/AAAAABgAAAD8/AD8AAIAAAAAAADwvwI/6Nms+lwLQAJq3nGKjuTKvwAAAAAcAAAA/PwA/AACAAAAAAAA8L8CP+jZrPpcC0ACXI/C9Shc878AAAAAGAAAAPz8APwAAgAAAAAAAPC/Ah44Z0RpbwRAAl2PwvUoXPu/AAAAABgAAAD8/AD8AAIAAAAAAADwvwKJY13cRgP7PwLNO07RkVzzvwAAAAAYAAAA/PwA/AACAAAAAAAA8L8CHjhnRGlvBEACyxDHuriN0j8AAAAAHAAAAPz8APwAAgAAAAAAAPC/Av9D+u3rwNm/AoGVQ4ts5+8/AAAAABgAAAD8/AD8AAIAAAAAAADwvwJB8WPMXUv0vwICK4cW2c7fPwAAAAAgAAAA/PwA/AACAAAAAAAA8L8C+n5qvHQTAcACgZVDi2zn7z8AAAAAIAAAAPz8APwAAgAAAAAAAPC/AkHxY8xdS/S/An9qvHSTGOC/AAAAABgAAAD8/AD8AAIAAAAAAADwvwIbL90kBgEIwALH3LWEfNDfPwAAAAAYAAAA/PwA/AACAAAAAAAA8L8CGy/dJAYBBMACBFYOLbKd178AAAAAGAAAAPz8APwAAgAAAAAAAPC/AjzfT42X7g7AAuGcEaW9wWe/AAAAABgAAAD8/AD8AAIAAAAAAADwvwIbL90kBgEMwAJz1xLyQc/1PwAAAAABEgAEAWUEAAAAAAAAAAAECAFlBAAAAAAAAAAACAwBZQQAAAAAAAAAAAwAAWUEAAAAAAAAAAAQFAFlBAAAAAAAAAAAECABZQQAAAAAAAAAABQYAWUEAAAAAAAAAAAYHAFlBAAAAAAAAAAAHAABZQQAAAAAAAAAAAAgAWUEAAAAAAAAAAAIJAFlBAAAAAAAAAAAJCgBZQQAAAAAAAAAACgsAWUEAAAAAAAAAAAoMAFlCAAAAAAAAAAALDQBZQQAAAAAAAAAADQ4AWUEAAAAAAAAAAA0PAFlBAAAAAAAAAAANAEQAWUEAAAAAAAAAAAAAAAA</t>
        </r>
      </text>
    </comment>
    <comment ref="A1472" authorId="0" shapeId="0" xr:uid="{343820F5-9E41-4B3D-B6BF-6A713E6D65DB}">
      <text>
        <r>
          <rPr>
            <sz val="9"/>
            <color indexed="81"/>
            <rFont val="MS P ゴシック"/>
            <family val="3"/>
            <charset val="128"/>
          </rPr>
          <t>Insight iXlW00001C0001472R0585476093S00002942P01392LAocjBAQBF1NjaVRlZ2ljLmRhdGEuTW9sZWN1bGUBbwF/ARJTY2lUZWdpYy5Nb2xlY3VsZQAAAQFkAv5qAQAAAAIAAgESGAAAAPz8APwAAgAAAAAAAPC/AhHHuriNBvg/Aj4K16NwPda/AAAAABgAAAD8/AD8AAIAAAAAAADwvwKcM6K0N/j8PwL/snvysFDjPwAAAAAYAAAA/PwA/AACAAAAAAAA8L8CoBov3SQG+D8ChC9MpgpG/z8AAAAAGAAAAPz8APwAAgAAAAAAAPC/AkA1XrpJDOA/AoQvTKYKRv8/AAAAABgAAAD8/AD8AAIAAAAAAADwvwIijnVxGw3gPwI+CtejcD3WvwAAAAAYAAAA/PwA/AACAAAAAAAA8L8CEce6uI0G8D8CyJi7lpAP8z8AAAAAGAAAAPz8APwAAgAAAAAAAPC/Ai3UmuYdp8g/Av+ye/KwUOM/AAAAABgAAAD8/AD8AAIAAAAAAADwvwKZu5aQD3oGQAI1gLdAguLhPwAAAAAcAAAA/PwA/AACAAAAAAAA8L8CINJvXwfO6b8CNYC3QILi4T8AAAAAIAAAAPz8APwAAgAAAAAAAPC/ArmNBvAWyApAAlqGONbFbfY/AAAAACAAAAD8/AD8AAIAAAAAAADwvwILtaZ5xykKQAKgGi/dJAbVvwAAAAAYAAAA/PwA/AACAAAAAAAA8L8CZohjXdxG9L8CZMxdS8gH1b8AAAAAIAAAAPz8APwAAgAAAAAAAPC/Av5l9+RhIQLAAjWAt0CC4te/AAAAACAAAAD8/AD8AAIAAAAAAADwvwJqb/CFyVTnvwLnjCjtDb7yvwAAAAAYAAAA/PwA/AACAAAAAAAA8L8CcF8HzhnRBcACQRNhw9Mr9L8AAAAAGAAAAPz8APwAAgAAAAAAAPC/Aq2L22gAb/2/AiUGgZVDi/u/AAAAABgAAAD8/AD8AAIAAAAAAADwvwIbL90kBoEJwAI6I0p7gy8BwAAAAAAYAAAA/PwA/AACAAAAAAAA8L8CCvmgZ7PqDMACuECC4seY6b8AAAAAARMABAFlBAAAAAAAAAAAABABZQQAAAAAAAAAAAQIAWUEAAAAAAAAAAAIDAFlBAAAAAAAAAAADBgBZQQAAAAAAAAAABgQAWUEAAAAAAAAAAAEFAFlBAAAAAAAAAAAFBgBZQQAAAAAAAAAAAQcAWUEAAAAAAAAAAAYIAFlBAAAAAAAAAAAHCQBZQgAAAAAAAAAABwoAWUEAAAAAAAAAAAgLAFlBAAAAAAAAAAALDABZQQAAAAAAAAAACw0AWUIAAAAAAAAAAAwOAFlBAAAAAAAAAAAODwBZQQAAAAAAAAAADgBEAFlBAAAAAAAAAAAOAERAWUEAAAAAAAAAAAAAAAA</t>
        </r>
      </text>
    </comment>
    <comment ref="A1473" authorId="0" shapeId="0" xr:uid="{56BF2C5B-0398-43B2-84AA-8E5CE3E95650}">
      <text>
        <r>
          <rPr>
            <sz val="9"/>
            <color indexed="81"/>
            <rFont val="MS P ゴシック"/>
            <family val="3"/>
            <charset val="128"/>
          </rPr>
          <t>Insight iXlW00001C0001473R0585476093S00002944P01020LAocjBAQBF1NjaVRlZ2ljLmRhdGEuTW9sZWN1bGUBbwF/ARJTY2lUZWdpYy5Nb2xlY3VsZQAAAQFkAv5qAQAAAAIAAjQcAAAA/PwA/AACAAAAAAAA8L8C/0P67etAAMACf/s6cM6I5j8AAAAAGAAAAPz8APwAAgAAAAAAAPC/AjWAt0CC4vS/AhaMSuoENJE/AAAAABgAAAD8/AD8AAIAAAAAAADwvwJeS8gHPZvpvwKGWtO84xTrvwAAAAAYAAAA/PwA/AACAAAAAAAA8L8CidLe4AuTyT8ChlrTvOMU678AAAAAGAAAAPz8APwAAgAAAAAAAPC/AnpYqDXNO+Y/AhaMSuoENJE/AAAAABgAAAD8/AD8AAIAAAAAAADwvwKIhVrTvOPQvwLl8h/Sb1/bvwAAAAAYAAAA/PwA/AACAAAAAAAA8L8CbxKDwMqh/78C5fIf0m9f278AAAAAGAAAAPz8APwAAgAAAAAAAPC/AgFvgQTFj8k/AmWqYFRSJ+w/AAAAABgAAAD8/AD8AAIAAAAAAADwvwJApN++DpzpvwJlqmBUUifsPwAAAAAYAAAA/PwA/AACAAAAAAAA8L8CPSzUmuYd+z8CFoxK6gQ0kT8AAAAAIAAAAPz8APwAAgAAAAAAAPC/AuY/pN++jgFAAsZtNIC3QOw/AAAAACAAAAD8/AD8AAIAAAAAAADwvwIfFmpN844BQAIjbHh6pSzrvwAAAAABEQAAAPz8APwAAgAAAAAAAPC/AoV80LNZ9QdAAhaMSuoENJE/AAAAADQEAAFlBAAAAAAAAAAABAgBZQQAAAAAAAAAAAgMAWUEAAAAAAAAAAAMEAFlBAAAAAAAAAAAEBQBZQQAAAAAAAAAABQYAWUEAAAAAAAAAAAYBAFlBAAAAAAAAAAAEBwBZQQAAAAAAAAAABwgAWUEAAAAAAAAAAAgBAFlBAAAAAAAAAAAECQBZQQAAAAAAAAAACQoAWUIAAAAAAAAAAAkLAFlBAAAAAAAAAAAAAAAAA==</t>
        </r>
      </text>
    </comment>
    <comment ref="A1474" authorId="0" shapeId="0" xr:uid="{24451C9F-55FD-4AA4-9C37-AE14109B49E3}">
      <text>
        <r>
          <rPr>
            <sz val="9"/>
            <color indexed="81"/>
            <rFont val="MS P ゴシック"/>
            <family val="3"/>
            <charset val="128"/>
          </rPr>
          <t>Insight iXlW00001C0001474R0585476093S00002946P01036LAocjBAQBF1NjaVRlZ2ljLmRhdGEuTW9sZWN1bGUBbwF/ARJTY2lUZWdpYy5Nb2xlY3VsZQAAAQFkAv5qAQAAAAIAAjQYAAAA/PwA/AACAAAAAAAA8L8C63O1FfvL/j8C0gDeAgmKj78AAAAAIAAAAPz8APwAAgAAAAAAAPC/Ava52or9ZQNAAoc41sVtNOy/AAAAACAAAAD8/AD8AAIAAAAAAADwvwK94xQdyWUDQAJiodY07zjrPwAAAAAYAAAA/PwA/AACAAAAAAAA8L8C1udqK/aX7T8C0gDeAgmKj78AAAAAGAAAAPz8APwAAgAAAAAAAPC/AgK8BRIUP+K/AuomMQisHOy/AAAAABgAAAD8/AD8AAIAAAAAAADwvwL9h/Tb14HbPwLqJjEIrBzsvwAAAAAYAAAA/PwA/AACAAAAAAAA8L8CejarPldbob8CrYvbaABv3b8AAAAAGAAAAPz8APwAAgAAAAAAAPC/AsHKoUW28/u/Aq2L22gAb92/AAAAABgAAAD8/AD8AAIAAAAAAADwvwKHONbFbTTxvwLSAN4CCYqPvwAAAAAYAAAA/PwA/AACAAAAAAAA8L8CArwFEhQ/4r8CAd4CCYof6z8AAAAAGAAAAPz8APwAAgAAAAAAAPC/Av2H9NvXgds/AgHeAgmKH+s/AAAAACAAAAD8/AD8AAIAAAAAAADwvwLek4eFWtP8vwIbL90kBoHlPwAAAAAYAAAA/PwA/AACAAAAAAAA8L8CTYQNT68UBsAC54wo7Q2+2D8AAAAAOAAEAWUEAAAAAAAAAAAMAAFlBAAAAAAAAAAAAAgBZQgAAAAAAAAAABAUAWUEAAAAAAAAAAAUDAFlBAAAAAAAAAAADBgBZQQAAAAAAAAAABgcAWUEAAAAAAAAAAAcIAFlBAAAAAAAAAAAIBABZQQAAAAAAAAAACAkAWUEAAAAAAAAAAAMKAFlBAAAAAAAAAAAKCQBZQQAAAAAAAAAACAsAWUEAAAAAAAAAAAsMAFlBAAAAAAAAAAAAAAAAA==</t>
        </r>
      </text>
    </comment>
    <comment ref="A1475" authorId="0" shapeId="0" xr:uid="{DD4DE3BF-FB7A-4177-BEC5-5DBFEA38F587}">
      <text>
        <r>
          <rPr>
            <sz val="9"/>
            <color indexed="81"/>
            <rFont val="MS P ゴシック"/>
            <family val="3"/>
            <charset val="128"/>
          </rPr>
          <t>Insight iXlW00001C0001475R0585476093S00002948P00964LAocjBAQBF1NjaVRlZ2ljLmRhdGEuTW9sZWN1bGUBbwF/ARJTY2lUZWdpYy5Nb2xlY3VsZQAAAQFkAv5qAQAAAAIAAjAYAAAA/PwA/AACAAAAAAAA8L8CiIVa07zj0L8C5fIf0m9f278AAAAAGAAAAPz8APwAAgAAAAAAAPC/AnpYqDXNO+Y/AhaMSuoENJE/AAAAABgAAAD8/AD8AAIAAAAAAADwvwKJ0t7gC5PJPwKGWtO84xTrvwAAAAAYAAAA/PwA/AACAAAAAAAA8L8CXkvIBz2b6b8ChlrTvOMU678AAAAAGAAAAPz8APwAAgAAAAAAAPC/Am8Sg8DKof+/AuXyH9JvX9u/AAAAABgAAAD8/AD8AAIAAAAAAADwvwI1gLdAguL0vwIWjErqBDSRPwAAAAAYAAAA/PwA/AACAAAAAAAA8L8CPSzUmuYd+z8CFoxK6gQ0kT8AAAAAJAAAAPz8APwAAgAAAAAAAPC/Av9D+u3rQADAAn/7OnDOiOY/AAAAACAAAAD8/AD8AAIAAAAAAADwvwLmP6Tfvo4BQALGbTSAt0DsPwAAAAAgAAAA/PwA/AACAAAAAAAA8L8CHxZqTfOOAUACI2x4eqUs678AAAAAGAAAAPz8APwAAgAAAAAAAPC/AgFvgQTFj8k/AmWqYFRSJ+w/AAAAABgAAAD8/AD8AAIAAAAAAADwvwJApN++DpzpvwJlqmBUUifsPwAAAAA0AAQBZQQAAAAAAAAAAAAQAWUEAAAAAAAAAAAECAFlBAAAAAAAAAAACAwBZQQAAAAAAAAAAAwUAWUEAAAAAAAAAAAUEAFlBAAAAAAAAAAABBgBZQQAAAAAAAAAABQcAWUEAAAAAAAAAAAYIAFlCAAAAAAAAAAAGCQBZQQAAAAAAAAAAAQoAWUEAAAAAAAAAAAoLAFlBAAAAAAAAAAAFCwBZQQAAAAAAAAAAAAAAAA=</t>
        </r>
      </text>
    </comment>
    <comment ref="A1476" authorId="0" shapeId="0" xr:uid="{C4BC7662-805E-44C8-A9FD-6E5F7437EA14}">
      <text>
        <r>
          <rPr>
            <sz val="9"/>
            <color indexed="81"/>
            <rFont val="MS P ゴシック"/>
            <family val="3"/>
            <charset val="128"/>
          </rPr>
          <t>Insight iXlW00001C0001476R0585476093S00002950P01036LAocjBAQBF1NjaVRlZ2ljLmRhdGEuTW9sZWN1bGUBbwF/ARJTY2lUZWdpYy5Nb2xlY3VsZQAAAQFkAv5qAQAAAAIAAjQYAAAA/PwA/AACAAAAAAAA8L8CWmQ730+N478CaQBvgQTFxz8AAAAAGAAAAPz8APwAAgAAAAAAAPC/AlpkO99PjeO/Ag3gLZCg+PI/AAAAABwAAAD8/AD8AAIAAAAAAADwvwJSuB6F61HQPwIN4C2QoPj6PwAAAAAYAAAA/PwA/AACAAAAAAAA8L8CVg4tsp3v8T8CDeAtkKD48j8AAAAAGAAAAPz8APwAAgAAAAAAAPC/AlYOLbKd7/E/AmkAb4EExcc/AAAAABgAAAD8/AD8AAIAAAAAAADwvwJSuB6F61HQPwLMf0i/fR3UvwAAAAAYAAAA/PwA/AACAAAAAAAA8L8CbxKDwMqh978CzH9Iv30d1L8AAAAAGAAAAPz8APwAAgAAAAAAAPC/Agkbnl4py/8/Asx/SL99HdS/AAAAACAAAAD8/AD8AAIAAAAAAADwvwIJG55eKcv/PwLzH9JvXwf1vwAAAAAYAAAA/PwA/AACAAAAAAAA8L8CS1mGONbF+78CXW3F/rJ79L8AAAAAGAAAAPz8APwAAgAAAAAAAPC/AlvTvOMUnQXAAoEmwoanV/C/AAAAABgAAAD8/AD8AAIAAAAAAADwvwLtL7snD4sDwALRItv5fmqsvwAAAAAgAAAA/PwA/AACAAAAAAAA8L8Cpb3BFybTBkACaQBvgQTFxz8AAAAAOAAEAWUEAAAAAAAAAAAECAFlCAgAAAAAAAAACAwBZQQAAAAAAAAAAAwQAWUICAAAAAAAAAAQFAFlBAAAAAAAAAAAFAABZQgIAAAAAAAAAAAYAWUEAAAAAAAAAAAQHAFlBAAAAAAAAAAAHCABZQQAAAAAAAAAABgkAWUEAAAAAAAAAAAkKAFlBAAAAAAAAAAAKCwBZQQAAAAAAAAAACwYAWUEAAAAAAAAAAAcMAFlCAAAAAAAAAAAAAAAAA==</t>
        </r>
      </text>
    </comment>
    <comment ref="A1477" authorId="0" shapeId="0" xr:uid="{DAA08836-C8C6-4331-B48F-53B3F12728A6}">
      <text>
        <r>
          <rPr>
            <sz val="9"/>
            <color indexed="81"/>
            <rFont val="MS P ゴシック"/>
            <family val="3"/>
            <charset val="128"/>
          </rPr>
          <t>Insight iXlW00001C0001477R0585476093S00002952P01036LAocjBAQBF1NjaVRlZ2ljLmRhdGEuTW9sZWN1bGUBbwF/ARJTY2lUZWdpYy5Nb2xlY3VsZQAAAQFkAv5qAQAAAAIAAjQYAAAA/PwA/AACAAAAAAAA8L8C4lgXt9EA8z8C7uvAOSNK678AAAAAGAAAAPz8APwAAgAAAAAAAPC/ApJc/kP6bQBAAtzXgXNGlNa/AAAAABgAAAD8/AD8AAIAAAAAAADwvwKSXP5D+m0AQAISFD/G3LXkPwAAAAAcAAAA/PwA/AACAAAAAAAA8L8C4lgXt9EA8z8CCYofY+5a8j8AAAAAGAAAAPz8APwAAgAAAAAAAPC/AoPix5i7ltQ/AhIUP8bcteQ/AAAAABgAAAD8/AD8AAIAAAAAAADwvwKD4seYu5bUPwLc14FzRpTWvwAAAAAYAAAA/PwA/AACAAAAAAAA8L8CJCh+jLlr4b8CCYofY+5a8j8AAAAAIAAAAPz8APwAAgAAAAAAAPC/AiQofoy5a+G/AgXFjzF3LQFAAAAAABgAAAD8/AD8AAIAAAAAAADwvwIkKH6MuWvhvwIMk6mCUUnrvwAAAAAYAAAA/PwA/AACAAAAAAAA8L8C3bWEfNCz6b8CYcPTK2UZ/b8AAAAAGAAAAPz8APwAAgAAAAAAAPC/AlmoNc07Tvy/AhTQRNjw9Pi/AAAAABgAAAD8/AD8AAIAAAAAAADwvwJ8YTJVMCr4vwJTBaOSOgHjvwAAAAAgAAAA/PwA/AACAAAAAAAA8L8CVHQkl/+Q9r8CEhQ/xty15D8AAAAAOAAEAWUEAAAAAAAAAAAECAFlCAgAAAAAAAAACAwBZQQAAAAAAAAAAAwQAWUICAAAAAAAAAAQFAFlBAAAAAAAAAAAFAABZQgIAAAAAAAAABAYAWUEAAAAAAAAAAAYHAFlBAAAAAAAAAAAFCABZQQAAAAAAAAAACAkAWUEAAAAAAAAAAAkKAFlBAAAAAAAAAAAKCwBZQQAAAAAAAAAACwgAWUEAAAAAAAAAAAYMAFlCAAAAAAAAAAAAAAAAA==</t>
        </r>
      </text>
    </comment>
    <comment ref="A1478" authorId="0" shapeId="0" xr:uid="{FB6E05B6-54E8-4D29-ACCC-8E71FB1FCB62}">
      <text>
        <r>
          <rPr>
            <sz val="9"/>
            <color indexed="81"/>
            <rFont val="MS P ゴシック"/>
            <family val="3"/>
            <charset val="128"/>
          </rPr>
          <t>Insight iXlW00001C0001478R0585476093S00002954P01196LAocjBAQBF1NjaVRlZ2ljLmRhdGEuTW9sZWN1bGUBbwF/ARJTY2lUZWdpYy5Nb2xlY3VsZQAAAQFkAv5qAQAAAAIAAjwYAAAA/PwA/AACAAAAAAAA8L8C0ETY8PRK9j8CCM4ZUdob5j8AAAAAGAAAAPz8APwAAgAAAAAAAPC/AhHHuriNBvw/AsuhRbbz/fk/AAAAABgAAAD8/AD8AAIAAAAAAADwvwLswDkjSnsFQAKKH2PuWkL0PwAAAAAYAAAA/PwA/AACAAAAAAAA8L8CzH9Iv32dAkACDJOpglFJ1T8AAAAAGAAAAPz8APwAAgAAAAAAAPC/AqhXyjLEseI/Ar5SliGOdfQ/AAAAACAAAAD8/AD8AAIAAAAAAADwvwLCqKROQBPVvwKfPCzUmubrPwAAAAAYAAAA/PwA/AACAAAAAAAA8L8CWFuxv+ye9D8CyzLEsS5u078AAAAAHAAAAPz8APwAAgAAAAAAAPC/Ak0VjErqBNg/AkGC4seYu+a/AAAAABgAAAD8/AD8AAIAAAAAAADwvwLhnBGlvcHbvwJ+HThnRGm/vwAAAAAYAAAA/PwA/AACAAAAAAAA8L8CxNMrZRni878CQYLix5i75r8AAAAAGAAAAPz8APwAAgAAAAAAAPC/AnHOiNLe4O2/Ai/dJAaBlfq/AAAAABwAAAD8/AD8AAIAAAAAAADwvwJ+jLlrCfmwPwIv3SQGgZX6vwAAAAAYAAAA/PwA/AACAAAAAAAA8L8CseHplbKMAcACkaD4Meau2b8AAAAAIAAAAPz8APwAAgAAAAAAAPC/Aq36XG3FfgfAAuM2GsBbIPG/AAAAACAAAAD8/AD8AAIAAAAAAADwvwK8lpAPejYDwAJMpgpGJXXiPwAAAAABEQAEAWUEAAAAAAAAAAAECAFlBAAAAAAAAAAACAwBZQQAAAAAAAAAAAwAAWUEAAAAAAAAAAAAEAFlBAAAAAAAAAAAABgBZQQAAAAAAAAAABAUAWUEAAAAAAAAAAAUIAFlBAAAAAAAAAAAHBgBZQQAAAAAAAAAABwgAWUEAAAAAAAAAAAgJAFlCAwAAAAAAAAAJCgBZQQAAAAAAAAAACgsAWUICAAAAAAAAAAsHAFlBAAAAAAAAAAAJDABZQQAAAAAAAAAADA0AWUIAAAAAAAAAAAwOAFlBAAAAAAAAAAAAAAAAA==</t>
        </r>
      </text>
    </comment>
    <comment ref="A1479" authorId="0" shapeId="0" xr:uid="{7A463E07-CDB4-48FE-BAAB-77C5210295CC}">
      <text>
        <r>
          <rPr>
            <sz val="9"/>
            <color indexed="81"/>
            <rFont val="MS P ゴシック"/>
            <family val="3"/>
            <charset val="128"/>
          </rPr>
          <t>Insight iXlW00001C0001479R0585476093S00002956P00948LAocjBAQBF1NjaVRlZ2ljLmRhdGEuTW9sZWN1bGUBbwF/ARJTY2lUZWdpYy5Nb2xlY3VsZQAAAQFkAv5qAQAAAAIAAjAcAAAA/PwA/AACAAAAAAAA8L8CnaIjufyHBUACb4EExY8x6T8AAAAAGAAAAPz8APwAAgAAAAAAAPC/Ap2iI7n8hwFAAqH4MeauJbS/AAAAABgAAAD8/AD8AAIAAAAAAADwvwI5RUdy+Q/zPwKh+DHmriW0vwAAAAAYAAAA/PwA/AACAAAAAAAA8L8C/7J78rBQ4z8CKxiV1Alo7L8AAAAAGAAAAPz8APwAAgAAAAAAAPC/Aj4K16NwPda/AhQ/xty1hOK/AAAAACAAAAD8/AD8AAIAAAAAAADwvwLRItv5fmrzvwKKH2PuWkLxvwAAAAAYAAAA/PwA/AACAAAAAAAA8L8CiUFg5dCiAMACFD/G3LWE4r8AAAAAGAAAAPz8APwAAgAAAAAAAPC/AolBYOXQogDAAtiBc0aU9to/AAAAABgAAAD8/AD8AAIAAAAAAADwvwLRItv5fmrzvwLswDkjSnvtPwAAAAAcAAAA/PwA/AACAAAAAAAA8L8CPgrXo3A91r8C2IFzRpT22j8AAAAAHAAAAPz8APwAAgAAAAAAAPC/Av+ye/KwUOM/AgOaCBueXuc/AAAAAAERAAAA/PwA/AACAAAAAAAA8L8CAwmKH2PuC0ACofgx5q4ltL8AAAAAMAAEAWUEAAAAAAAAAAAECAFlBAAAAAAAAAAACAwBZQQAAAAAAAAAAAwQAWUIDAAAAAAAAAAQFAFlBAAAAAAAAAAAFBgBZQQAAAAAAAAAABgcAWUEAAAAAAAAAAAcIAFlBAAAAAAAAAAAICQBZQQAAAAAAAAAACQQAWUEAAAAAAAAAAAkKAFlBAAAAAAAAAAAKAgBZQgMAAAAAAAAAAAAAAA=</t>
        </r>
      </text>
    </comment>
    <comment ref="A1480" authorId="0" shapeId="0" xr:uid="{65DC4882-7186-465E-9BCE-742A237A0E1D}">
      <text>
        <r>
          <rPr>
            <sz val="9"/>
            <color indexed="81"/>
            <rFont val="MS P ゴシック"/>
            <family val="3"/>
            <charset val="128"/>
          </rPr>
          <t>Insight iXlW00001C0001480R0585476093S00002958P01320LAocjBAQBF1NjaVRlZ2ljLmRhdGEuTW9sZWN1bGUBbwF/ARJTY2lUZWdpYy5Nb2xlY3VsZQAAAQFkAv5qAQAAAAIAAgERGAAAAPz8APwAAgAAAAAAAPC/Ak9AE2HD0+s/ApDC9Shcj+a/AAAAABgAAAD8/AD8AAIAAAAAAADwvwIooImw4en1PwJYW7G/7J7EPwAAAAAYAAAA/PwA/AACAAAAAAAA8L8CT0ATYcPT6z8CrYvbaABv8D8AAAAAGAAAAPz8APwAAgAAAAAAAPC/Asb+snvysMC/ApDC9Shcj+a/AAAAABgAAAD8/AD8AAIAAAAAAADwvwKyv+yePCzkvwLP91PjpZvEPwAAAAAYAAAA/PwA/AACAAAAAAAA8L8Cxv6ye/KwwL8CrYvbaABv8D8AAAAAHAAAAPz8APwAAgAAAAAAAPC/Ai/dJAaBlem/AjQRNjy9Uvw/AAAAABgAAAD8/AD8AAIAAAAAAADwvwINcayL22j7vwI4iUFg5dD1PwAAAAAYAAAA/PwA/AACAAAAAAAA8L8CI9v5fmq8+b8CBFYOLbKd1z8AAAAAGAAAAPz8APwAAgAAAAAAAPC/Ao4G8BZI0ALAAvjkYaHWNNO/AAAAABgAAAD8/AD8AAIAAAAAAADwvwKDUUmdgCYBwAL5oGez6nP0vwAAAAAgAAAA/PwA/AACAAAAAAAA8L8CR5T2Bl8YB8ACuK8D54wo/78AAAAAIAAAAPz8APwAAgAAAAAAAPC/AvcGX5hMFfO/AoUNT6+UZfm/AAAAABgAAAD8/AD8AAIAAAAAAADwvwIU0ETY8PQCQAJYW7G/7J7EPwAAAAAkAAAA/PwA/AACAAAAAAAA8L8CFNBE2PD0AkACayv2l92T8j8AAAAAJAAAAPz8APwAAgAAAAAAAPC/AhTQRNjw9ApAAlhbsb/snsQ/AAAAACQAAAD8/AD8AAIAAAAAAADwvwIU0ETY8PQCQAIrqRPQRNjqvwAAAAABEgAEAWUEAAAAAAAAAAAECAFlCAgAAAAAAAAACBQBZQQAAAAAAAAAABAMAWUEAAAAAAAAAAAMAAFlCAgAAAAAAAAAEBQBZQgIAAAAAAAAABQYAWUEAAAAAAAAAAAYHAFlBAAAAAAAAAAAHCABZQgIAAAAAAAAACAQAWUEAAAAAAAAAAAgJAFlBAAAAAAAAAAAJCgBZQQAAAAAAAAAACgsAWUEAAAAAAAAAAAoMAFlCAAAAAAAAAAABDQBZQQAAAAAAAAAADQ4AWUEAAAAAAAAAAA0PAFlBAAAAAAAAAAANAEQAWUEAAAAAAAAAAAAAAAA</t>
        </r>
      </text>
    </comment>
    <comment ref="A1481" authorId="0" shapeId="0" xr:uid="{A1FF2EB0-3AD8-4489-A36B-C851C1645EDA}">
      <text>
        <r>
          <rPr>
            <sz val="9"/>
            <color indexed="81"/>
            <rFont val="MS P ゴシック"/>
            <family val="3"/>
            <charset val="128"/>
          </rPr>
          <t>Insight iXlW00001C0001481R0585476093S00002960P01180LAocjBAQBF1NjaVRlZ2ljLmRhdGEuTW9sZWN1bGUBbwF/ARJTY2lUZWdpYy5Nb2xlY3VsZQAAAQFkAv5qAQAAAAIAAjwcAAAA/PwA/AACAAAAAAAA8L8CJzEIrBzaCUACXtxGA3gL7j8AAAAAGAAAAPz8APwAAgAAAAAAAPC/AvAWSFD8mAZAAqcKRiV1Apo/AAAAABgAAAD8/AD8AAIAAAAAAADwvwIqOpLLf0j9PwL129eBc0a0vwAAAAAYAAAA/PwA/AACAAAAAAAA8L8CKjqSy39I9T8CArwFEhQ/7r8AAAAAGAAAAPz8APwAAgAAAAAAAPC/ArtJDAIrh9Y/Atbnaiv2l+e/AAAAACAAAAD8/AD8AAIAAAAAAADwvwJzaJHtfD/dvwIzMzMzMzP1vwAAAAAYAAAA/PwA/AACAAAAAAAA8L8CIbByaJHt9b8CbVZ9rrZi7b8AAAAAGAAAAPz8APwAAgAAAAAAAPC/ApqZmZmZmfe/Av2H9NvXgbM/AAAAABgAAAD8/AD8AAIAAAAAAADwvwIxKqkT0EQDwAIE54wo7Q3SvwAAAAAYAAAA/PwA/AACAAAAAAAA8L8CUWuad5wiBsACDQIrhxbZ5D8AAAAAGAAAAPz8APwAAgAAAAAAAPC/AtsbfGEyVf2/AkcDeAskKPA/AAAAABgAAAD8/AD8AAIAAAAAAADwvwI7AU2EDU/lvwJzaJHtfD/lPwAAAAAcAAAA/PwA/AACAAAAAAAA8L8CN6s+V1uxzz8CL/8h/fZ10D8AAAAAHAAAAPz8APwAAgAAAAAAAPC/Avp+arx0k/I/AnNoke18P+U/AAAAAAERAAAA/PwA/AACAAAAAAAA8L8Cx0s3iUEgEEACsr/snjwsxL8AAAAAARAABAFlBAAAAAAAAAAABAgBZQQAAAAAAAAAAAgMAWUEAAAAAAAAAAAMEAFlCAwAAAAAAAAAEBQBZQQAAAAAAAAAABQYAWUEAAAAAAAAAAAYHAFlBAAAAAAAAAAAHCABZQQAAAAAAAAAACAkAWUEAAAAAAAAAAAkKAFlBAAAAAAAAAAAKBwBZQQAAAAAAAAAABwsAWUEAAAAAAAAAAAsMAFlBAAAAAAAAAAAMBABZQQAAAAAAAAAADA0AWUEAAAAAAAAAAA0CAFlCAwAAAAAAAAAAAAAAA==</t>
        </r>
      </text>
    </comment>
    <comment ref="A1482" authorId="0" shapeId="0" xr:uid="{F09707FE-7382-45F9-9643-63CD1AC42F55}">
      <text>
        <r>
          <rPr>
            <sz val="9"/>
            <color indexed="81"/>
            <rFont val="MS P ゴシック"/>
            <family val="3"/>
            <charset val="128"/>
          </rPr>
          <t>Insight iXlW00001C0001482R0585476093S00002962P01180LAocjBAQBF1NjaVRlZ2ljLmRhdGEuTW9sZWN1bGUBbwF/ARJTY2lUZWdpYy5Nb2xlY3VsZQAAAQFkAv5qAQAAAAIAAjwcAAAA/PwA/AACAAAAAAAA8L8Cku18PzXeCMAC87BQa5p38L8AAAAAGAAAAPz8APwAAgAAAAAAAPC/ApXUCWgi7ALAAs+I0t7gC9e/AAAAABgAAAD8/AD8AAIAAAAAAADwvwIcDeAtkKD2vwJgdk8eFmrlvwAAAAAYAAAA/PwA/AACAAAAAAAA8L8CkKD4Meau8b8CP1dbsb/s+b8AAAAAHAAAAPz8APwAAgAAAAAAAPC/AgMJih9j7rq/Aj9XW7G/7Pm/AAAAABwAAAD8/AD8AAIAAAAAAADwvwLZX3ZPHhbKPwJgdk8eFmrlvwAAAAAYAAAA/PwA/AACAAAAAAAA8L8C/yH99nXg8T8CCRueXinL0L8AAAAAGAAAAPz8APwAAgAAAAAAAPC/AgdfmEwVjPM/AunZrPpcbec/AAAAABgAAAD8/AD8AAIAAAAAAADwvwJI4XoUrkf5PwK8Jw8Ltab6PwAAAAAYAAAA/PwA/AACAAAAAAAA8L8CCM4ZUdobBEACe6UsQxzr9D8AAAAAGAAAAPz8APwAAgAAAAAAAPC/AueMKO0NPgFAAs6qz9VW7Nc/AAAAABgAAAD8/AD8AAIAAAAAAADwvwLvycNCrWnaPwKu2F92Tx71PwAAAAAgAAAA/PwA/AACAAAAAAAA8L8CEce6uI0G4L8CgEi/fR047T8AAAAAGAAAAPz8APwAAgAAAAAAAPC/AiFB8WPMXeO/Ane+nxov3bS/AAAAAAERAAAA/PwA/AACAAAAAAAA8L8CbjSAt0CCCkACkQ96Nqs+lz8AAAAAARAABAFlBAAAAAAAAAAABAgBZQQAAAAAAAAAAAgMAWUEAAAAAAAAAAAMEAFlCAgAAAAAAAAAEBQBZQQAAAAAAAAAABQYAWUEAAAAAAAAAAAYHAFlBAAAAAAAAAAAHCABZQQAAAAAAAAAACAkAWUEAAAAAAAAAAAkKAFlBAAAAAAAAAAAKBwBZQQAAAAAAAAAABwsAWUEAAAAAAAAAAAsMAFlBAAAAAAAAAAAMDQBZQQAAAAAAAAAADQIAWUICAAAAAAAAAA0FAFlBAAAAAAAAAAAAAAAAA==</t>
        </r>
      </text>
    </comment>
    <comment ref="A1483" authorId="0" shapeId="0" xr:uid="{B7937D29-DD1F-468A-AA76-9B09298123FE}">
      <text>
        <r>
          <rPr>
            <sz val="9"/>
            <color indexed="81"/>
            <rFont val="MS P ゴシック"/>
            <family val="3"/>
            <charset val="128"/>
          </rPr>
          <t>Insight iXlW00001C0001483R0585476093S00002964P01108LAocjBAQBF1NjaVRlZ2ljLmRhdGEuTW9sZWN1bGUBbwF/ARJTY2lUZWdpYy5Nb2xlY3VsZQAAAQFkAv5qAQAAAAIAAjgcAAAA/PwA/AACAAAAAAAA8L8C2V92Tx6WCEACB/AWSFD8uD8AAAAAGAAAAPz8APwAAgAAAAAAAPC/Av5l9+RhoQBAAnnpJjEIrHy/AAAAABgAAAD8/AD8AAIAAAAAAADwvwL7y+7Jw0L5PwJWDi2yne/rvwAAAAAYAAAA/PwA/AACAAAAAAAA8L8CgEi/fR044z8CSOF6FK5H5b8AAAAAIAAAAPz8APwAAgAAAAAAAPC/AltCPujZrMq/Al7cRgN4C/S/AAAAABgAAAD8/AD8AAIAAAAAAADwvwJQHhZqTfPxvwLgT42XbhLrvwAAAAAYAAAA/PwA/AACAAAAAAAA8L8CyQc9m1Wf878CNl66SQwCwz8AAAAAGAAAAPz8APwAAgAAAAAAAPC/AkjhehSuRwHAAlkXt9EA3sq/AAAAABgAAAD8/AD8AAIAAAAAAADwvwJoImx4eiUEwAK4rwPnjCjnPwAAAAAYAAAA/PwA/AACAAAAAAAA8L8CCYofY+5a+b8CjgbwFkhQ8T8AAAAAGAAAAPz8APwAAgAAAAAAAPC/AvRsVn2uttq/Ah8Wak3zjuc/AAAAABwAAAD8/AD8AAIAAAAAAADwvwId6+I2GsDfPwKGWtO84xTVPwAAAAAcAAAA/PwA/AACAAAAAAAA8L8CyxDHuriN9j8CHxZqTfOO5z8AAAAAAREAAAD8/AD8AAIAAAAAAADwvwI/xty1hPwOQAIGEhQ/xty1vwAAAAA8AAQBZQQAAAAAAAAAAAQIAWUEAAAAAAAAAAAIDAFlCAwAAAAAAAAADBABZQQAAAAAAAAAABAUAWUEAAAAAAAAAAAUGAFlBAAAAAAAAAAAGBwBZQQAAAAAAAAAABwgAWUEAAAAAAAAAAAgJAFlBAAAAAAAAAAAJBgBZQQAAAAAAAAAABgoAWUEAAAAAAAAAAAoLAFlBAAAAAAAAAAALAwBZQQAAAAAAAAAACwwAWUEAAAAAAAAAAAwBAFlCAwAAAAAAAAAAAAAAA==</t>
        </r>
      </text>
    </comment>
    <comment ref="A1484" authorId="0" shapeId="0" xr:uid="{0DAB368B-F5AB-4115-85D7-07388B861B9F}">
      <text>
        <r>
          <rPr>
            <sz val="9"/>
            <color indexed="81"/>
            <rFont val="MS P ゴシック"/>
            <family val="3"/>
            <charset val="128"/>
          </rPr>
          <t>Insight iXlW00001C0001484R0585476093S00002966P01036LAocjBAQBF1NjaVRlZ2ljLmRhdGEuTW9sZWN1bGUBbwF/ARJTY2lUZWdpYy5Nb2xlY3VsZQAAAQFkAv5qAQAAAAIAAjQYAAAA/PwA/AACAAAAAAAA8L8CRkdy+Q/p/j8CtFn1udqKvb8AAAAAGAAAAPz8APwAAgAAAAAAAPC/AkZHcvkP6f4/AspUwaikTuw/AAAAABgAAAD8/AD8AAIAAAAAAADwvwIE54wo7Q3xPwJlqmBUUif2PwAAAAAYAAAA/PwA/AACAAAAAAAA8L8CBOeMKO0N8T8CN6s+V1ux478AAAAAGAAAAPz8APwAAgAAAAAAAPC/AonS3uALk8k/ArRZ9bnair2/AAAAABgAAAD8/AD8AAIAAAAAAADwvwKJ0t7gC5PJPwLKVMGopE7sPwAAAAAYAAAA/PwA/AACAAAAAAAA8L8C4QuTqYJR5b8CZapgVFIn9j8AAAAAGAAAAPz8APwAAgAAAAAAAPC/AjLmriXkg/i/AspUwaikTuw/AAAAABwAAAD8/AD8AAIAAAAAAADwvwIy5q4l5IP4vwK0WfW52oq9vwAAAAAYAAAA/PwA/AACAAAAAAAA8L8C4QuTqYJR5b8CN6s+V1ux478AAAAAIAAAAPz8APwAAgAAAAAAAPC/AuELk6mCUeW/ApxVn6ut2Pm/AAAAABwAAAD8/AD8AAIAAAAAAADwvwIE54wo7Q3xPwKcVZ+rrdj5vwAAAAAYAAAA/PwA/AACAAAAAAAA8L8COiNKe4MvA8ACN6s+V1ux478AAAAAOAAEAWUEAAAAAAAAAAAECAFlCAgAAAAAAAAACBQBZQQAAAAAAAAAABAMAWUEAAAAAAAAAAAMAAFlCAgAAAAAAAAAEBQBZQgIAAAAAAAAABAkAWUEAAAAAAAAAAAUGAFlBAAAAAAAAAAAGBwBZQQAAAAAAAAAABwgAWUEAAAAAAAAAAAgJAFlBAAAAAAAAAAAJCgBZQgAAAAAAAAAAAwsAWUEAAAAAAAAAAAgMAFlBAAAAAAAAAAAAAAAAA==</t>
        </r>
      </text>
    </comment>
    <comment ref="A1485" authorId="0" shapeId="0" xr:uid="{4DE105DF-7C03-4D45-982C-6E8D838BBDB5}">
      <text>
        <r>
          <rPr>
            <sz val="9"/>
            <color indexed="81"/>
            <rFont val="MS P ゴシック"/>
            <family val="3"/>
            <charset val="128"/>
          </rPr>
          <t>Insight iXlW00001C0001485R0585476093S00002968P00948LAocjBAQBF1NjaVRlZ2ljLmRhdGEuTW9sZWN1bGUBbwF/ARJTY2lUZWdpYy5Nb2xlY3VsZQAAAQFkAv5qAQAAAAIAAjAcAAAA/PwA/AACAAAAAAAA8L8CM8SxLm6jAEACG55eKcsQ+r8AAAAAGAAAAPz8APwAAgAAAAAAAPC/AqtgVFInoPE/ApSHhVrTvPa/AAAAABgAAAD8/AD8AAIAAAAAAADwvwI/6Nms+lzpPwLZX3ZPHhbevwAAAAAYAAAA/PwA/AACAAAAAAAA8L8C2V92Tx4W9j8CVVInoImw1T8AAAAAHAAAAPz8APwAAgAAAAAAAPC/Aj/o2az6XOk/AiFB8WPMXfI/AAAAABwAAAD8/AD8AAIAAAAAAADwvwJ9PzVeuknEvwIrqRPQRNjqPwAAAAAYAAAA/PwA/AACAAAAAAAA8L8CMQisHFpk8L8CldQJaCJs9T8AAAAAGAAAAPz8APwAAgAAAAAAAPC/AnNoke18P/6/AiupE9BE2Oo/AAAAABgAAAD8/AD8AAIAAAAAAADwvwJzaJHtfD/+vwJYW7G/7J7EvwAAAAAgAAAA/PwA/AACAAAAAAAA8L8CMQisHFpk8L8C1lbsL7sn5b8AAAAAGAAAAPz8APwAAgAAAAAAAPC/An0/NV66ScS/Alhbsb/snsS/AAAAAAERAAAA/PwA/AACAAAAAAAA8L8CmioYldQJB0ACGCZTBaOSwr8AAAAAMAAEAWUEAAAAAAAAAAAECAFlBAAAAAAAAAAACAwBZQQAAAAAAAAAAAwQAWUICAAAAAAAAAAQFAFlBAAAAAAAAAAAFBgBZQQAAAAAAAAAABgcAWUEAAAAAAAAAAAcIAFlBAAAAAAAAAAAICQBZQQAAAAAAAAAACQoAWUEAAAAAAAAAAAoCAFlCAgAAAAAAAAAKBQBZQQAAAAAAAAAAAAAAAA=</t>
        </r>
      </text>
    </comment>
    <comment ref="A1486" authorId="0" shapeId="0" xr:uid="{0E24BDDC-50F8-4219-8779-30813B26B27C}">
      <text>
        <r>
          <rPr>
            <sz val="9"/>
            <color indexed="81"/>
            <rFont val="MS P ゴシック"/>
            <family val="3"/>
            <charset val="128"/>
          </rPr>
          <t>Insight iXlW00001C0001486R0585476093S00002970P01088LAocjBAQBF1NjaVRlZ2ljLmRhdGEuTW9sZWN1bGUBbwF/ARJTY2lUZWdpYy5Nb2xlY3VsZQAAAQFkAv5qAQAAAAIAAjgYAAAA/PwA/AACAAAAAAAA8L8CKxiV1Alo+78CCM4ZUdob+r8AAAAAGAAAAPz8APwAAgAAAAAAAPC/AuVhodY07/W/AqH4MeauJea/AAAAABgAAAD8/AD8AAIAAAAAAADwvwJjf9k9edgCwAKC4seYu5bgvwAAAAAYAAAA/PwA/AACAAAAAAAA8L8C5WGh1jTv9b8Cvw6cM6K00z8AAAAAIAAAAPz8APwAAgAAAAAAAPC/AkcDeAskKOC/AmAHzhlR2uk/AAAAABgAAAD8/AD8AAIAAAAAAADwvwJ5eqUsQxzXPwK/DpwzorTTPwAAAAAYAAAA/PwA/AACAAAAAAAA8L8CrfpcbcX+9D8CduCcEaW94z8AAAAAGAAAAPz8APwAAgAAAAAAAPC/AjhnRGlv8Pk/AkoMAiuHFvk/AAAAABwAAAD8/AD8AAIAAAAAAADwvwLzsFBrmnfuPwLpSC7/IX0CQAAAAAAYAAAA/PwA/AACAAAAAAAA8L8CZ2ZmZmZm/j8Cg+LHmLuWyL8AAAAAHAAAAPz8APwAAgAAAAAAAPC/Aq36XG3F/vQ/AtxoAG+BBPC/AAAAABwAAAD8/AD8AAIAAAAAAADwvwJ5eqUsQxzXPwKh+DHmriXmvwAAAAAYAAAA/PwA/AACAAAAAAAA8L8CRwN4CyQo4L8CUfwYc9cS878AAAAAAREAAAD8/AD8AAIAAAAAAADwvwKamZmZmZkFQAKyLm6jAbzVPwAAAAA4AAQBZQQAAAAAAAAAAAQIAWUEAAAAAAAAAAAEDAFlBAAAAAAAAAAADBABZQQAAAAAAAAAABAUAWUEAAAAAAAAAAAUGAFlCAgAAAAAAAAAGBwBZQQAAAAAAAAAABwgAWUEAAAAAAAAAAAYJAFlBAAAAAAAAAAAJCgBZQgIAAAAAAAAACgsAWUEAAAAAAAAAAAsFAFlBAAAAAAAAAAALDABZQQAAAAAAAAAADAEAWUEAAAAAAAAAAAAAAAA</t>
        </r>
      </text>
    </comment>
    <comment ref="A1487" authorId="0" shapeId="0" xr:uid="{E7E44AED-90AE-4460-86E0-F3CA4F81893C}">
      <text>
        <r>
          <rPr>
            <sz val="9"/>
            <color indexed="81"/>
            <rFont val="MS P ゴシック"/>
            <family val="3"/>
            <charset val="128"/>
          </rPr>
          <t>Insight iXlW00001C0001487R0585476093S00002972P01108LAocjBAQBF1NjaVRlZ2ljLmRhdGEuTW9sZWN1bGUBbwF/ARJTY2lUZWdpYy5Nb2xlY3VsZQAAAQFkAv5qAQAAAAIAAjgcAAAA/PwA/AACAAAAAAAA8L8CyCk6kst/B8ACt9EA3gIJ7r8AAAAAGAAAAPz8APwAAgAAAAAAAPC/AgTnjCjtjQHAAnNoke18P9G/AAAAABgAAAD8/AD8AAIAAAAAAADwvwL5MeauJeTzvwJQjZduEoPivwAAAAAYAAAA/PwA/AACAAAAAAAA8L8C24r9Zffk7b8Ct2J/2T15+L8AAAAAHAAAAPz8APwAAgAAAAAAAPC/AiqpE9BE2LA/Ardif9k9efi/AAAAABwAAAD8/AD8AAIAAAAAAADwvwJ4nKIjufzXPwJQjZduEoPivwAAAAAYAAAA/PwA/AACAAAAAAAA8L8CIv32deCc9D8CWvW52or9xb8AAAAAGAAAAPz8APwAAgAAAAAAAPC/ApvmHafoSPY/AvnCZKpgVOo/AAAAABgAAAD8/AD8AAIAAAAAAADwvwIp7Q2+MBkDQAIH8BZIUPzmPwAAAAAYAAAA/PwA/AACAAAAAAAA8L8C5KWbxCCw/z8CCM4ZUdob+j8AAAAAGAAAAPz8APwAAgAAAAAAAPC/Aj2bVZ+rreI/AsUgsHJokfY/AAAAACAAAAD8/AD8AAIAAAAAAADwvwKXIY51cRvVvwJX7C+7Jw/wPwAAAAAYAAAA/PwA/AACAAAAAAAA8L8CthX7y+7J278CSFD8GHPXgj8AAAAAAREAAAD8/AD8AAIAAAAAAADwvwKPU3Qkl38JQAILtaZ5xymqPwAAAAA8AAQBZQQAAAAAAAAAAAQIAWUEAAAAAAAAAAAIDAFlBAAAAAAAAAAADBABZQgIAAAAAAAAABAUAWUEAAAAAAAAAAAUGAFlBAAAAAAAAAAAGBwBZQQAAAAAAAAAABwgAWUEAAAAAAAAAAAgJAFlBAAAAAAAAAAAJBwBZQQAAAAAAAAAABwoAWUEAAAAAAAAAAAoLAFlBAAAAAAAAAAALDABZQQAAAAAAAAAADAIAWUICAAAAAAAAAAwFAFlBAAAAAAAAAAAAAAAAA==</t>
        </r>
      </text>
    </comment>
    <comment ref="A1488" authorId="0" shapeId="0" xr:uid="{4BFB1628-7859-4260-9DAD-AC0EC2191DD5}">
      <text>
        <r>
          <rPr>
            <sz val="9"/>
            <color indexed="81"/>
            <rFont val="MS P ゴシック"/>
            <family val="3"/>
            <charset val="128"/>
          </rPr>
          <t>Insight iXlW00001C0001488R0585476093S00002974P01108LAocjBAQBF1NjaVRlZ2ljLmRhdGEuTW9sZWN1bGUBbwF/ARJTY2lUZWdpYy5Nb2xlY3VsZQAAAQFkAv5qAQAAAAIAAjgcAAAA/PwA/AACAAAAAAAA8L8ChJ7Nqs/VBMACzH9Iv30d3L8AAAAAGAAAAPz8APwAAgAAAAAAAPC/AvmgZ7Pqc/q/Av0Yc9cS8ue/AAAAABgAAAD8/AD8AAIAAAAAAADwvwJuNIC3QIL1vwKNKO0NvjD7vwAAAAAcAAAA/PwA/AACAAAAAAAA8L8Ct9EA3gIJ1r8CjSjtDb4w+78AAAAAHAAAAPz8APwAAgAAAAAAAPC/AlH8GHPXEqK/Av0Yc9cS8ue/AAAAABgAAAD8/AD8AAIAAAAAAADwvwJEHOviNhrsPwIGEhQ/xtzVvwAAAAAYAAAA/PwA/AACAAAAAAAA8L8CU5YhjnVx7z8CTDeJQWDl5D8AAAAAGAAAAPz8APwAAgAAAAAAAPC/AmpN845TdPU/Am1Wfa62Yvk/AAAAABgAAAD8/AD8AAIAAAAAAADwvwIZBFYOLTICQAIt1JrmHafzPwAAAAAYAAAA/PwA/AACAAAAAAAA8L8C8YXJVMGo/j8ClWWIY13c0j8AAAAAGAAAAPz8APwAAgAAAAAAAPC/AvH0SlmGOMY/Au9aQj7o2fM/AAAAACAAAAD8/AD8AAIAAAAAAADwvwLM7snDQq3nvwICTYQNT6/qPwAAAAAYAAAA/PwA/AACAAAAAAAA8L8C3GgAb4EE678CrmnecYqOxL8AAAAAAREAAAD8/AD8AAIAAAAAAADwvwJ/arx0k5gIQAIAIv32deCsvwAAAAA8AAQBZQQAAAAAAAAAAAQIAWUEAAAAAAAAAAAIDAFlCAgAAAAAAAAADBABZQQAAAAAAAAAABAUAWUEAAAAAAAAAAAUGAFlBAAAAAAAAAAAGBwBZQQAAAAAAAAAABwgAWUEAAAAAAAAAAAgJAFlBAAAAAAAAAAAJBgBZQQAAAAAAAAAABgoAWUEAAAAAAAAAAAoLAFlBAAAAAAAAAAALDABZQQAAAAAAAAAADAEAWUICAAAAAAAAAAwEAFlBAAAAAAAAAAAAAAAAA==</t>
        </r>
      </text>
    </comment>
    <comment ref="A1489" authorId="0" shapeId="0" xr:uid="{96989DA6-FEE3-4F67-BD2E-29B828426B98}">
      <text>
        <r>
          <rPr>
            <sz val="9"/>
            <color indexed="81"/>
            <rFont val="MS P ゴシック"/>
            <family val="3"/>
            <charset val="128"/>
          </rPr>
          <t>Insight iXlW00001C0001489R0585476093S00002976P00860LAocjBAQBF1NjaVRlZ2ljLmRhdGEuTW9sZWN1bGUBbwF/ARJTY2lUZWdpYy5Nb2xlY3VsZQAAAQFkAv5qAQAAAAIAAiwYAAAA/PwA/AACAAAAAAAA8L8ClWWIY13c5D8CVcGopE5A8T8AAAAAGAAAAPz8APwAAgAAAAAAAPC/Aqw+V1uxv+4/ArmNBvAWSMA/AAAAABgAAAD8/AD8AAIAAAAAAADwvwJlO99PjZf+PwIK+aBns+rbPwAAAAAYAAAA/PwA/AACAAAAAAAA8L8C4QuTqYJR9D8CsJRliGNd6r8AAAAAHAAAAPz8APwAAgAAAAAAAPC/Am6jAbwFEoQ/Aio6kst/SMe/AAAAABgAAAD8/AD8AAIAAAAAAADwvwJO845TdCTTvwLjNhrAWyDyvwAAAAAYAAAA/PwA/AACAAAAAAAA8L8C1LzjFB3J9L8C4zYawFsg8r8AAAAAHAAAAPz8APwAAgAAAAAAAPC/Al8pyxDHuvm/AqLWNO84Rce/AAAAABgAAAD8/AD8AAIAAAAAAADwvwKneccpOpLpvwLSkVz+Q/rZPwAAAAAcAAAA/PwA/AACAAAAAAAA8L8CxSCwcmiR6b8CdSSX/5B+9j8AAAAAAREAAAD8/AD8AAIAAAAAAADwvwIZBFYOLbIFQAJGtvP91HjBPwAAAAAoAAQBZQQAAAAAAAAAAAQIAWUEAAAAAAAAAAAEDAFlBAAAAAAAAAAABBABZQQAAAAAAAAAABAUAWUEAAAAAAAAAAAUGAFlCAgAAAAAAAAAGBwBZQQAAAAAAAAAABwgAWUICAAAAAAAAAAgEAFlBAAAAAAAAAAAICQBZQQAAAAAAAAAAAAAAAA=</t>
        </r>
      </text>
    </comment>
    <comment ref="A1490" authorId="0" shapeId="0" xr:uid="{1422299D-0F00-4108-95DC-149503DA090C}">
      <text>
        <r>
          <rPr>
            <sz val="9"/>
            <color indexed="81"/>
            <rFont val="MS P ゴシック"/>
            <family val="3"/>
            <charset val="128"/>
          </rPr>
          <t>Insight iXlW00001C0001490R0585476093S00002978P01088LAocjBAQBF1NjaVRlZ2ljLmRhdGEuTW9sZWN1bGUBbwF/ARJTY2lUZWdpYy5Nb2xlY3VsZQAAAQFkAv5qAQAAAAIAAjgYAAAA/PwA/AACAAAAAAAA8L8CPE7RkVz+/78CIbByaJHt9b8AAAAAGAAAAPz8APwAAgAAAAAAAPC/AoXrUbgehfq/Aqd5xyk6ktu/AAAAABgAAAD8/AD8AAIAAAAAAADwvwJsmnecoiMFwAJqTfOOU3TQvwAAAAAYAAAA/PwA/AACAAAAAAAA8L8ChetRuB6F+r8CLUMc6+I24j8AAAAAIAAAAPz8APwAAgAAAAAAAPC/AogW2c73U+m/ApchjnVxG/E/AAAAABgAAAD8/AD8AAIAAAAAAADwvwLfT42XbhKzPwItQxzr4jbiPwAAAAAYAAAA/PwA/AACAAAAAAAA8L8CDXGsi9to8D8CRBzr4jYa7D8AAAAAGAAAAPz8APwAAgAAAAAAAPC/AsfctYR80Pk/AmUZ4lgXt7E/AAAAABgAAAD8/AD8AAIAAAAAAADwvwJj7lpCPugEQAJlGeJYF7exPwAAAAAcAAAA/PwA/AACAAAAAAAA8L8CY+5aQj7oCEACklz+Q/rt7T8AAAAAHAAAAPz8APwAAgAAAAAAAPC/Ag1xrIvbaPA/AuqVsgxxrOe/AAAAABwAAAD8/AD8AAIAAAAAAADwvwLfT42XbhKzPwKneccpOpLbvwAAAAAYAAAA/PwA/AACAAAAAAAA8L8CiBbZzvdT6b8C1LzjFB3J7b8AAAAAAREAAAD8/AD8AAIAAAAAAADwvwLKVMGopE4PQAJmiGNd3EbDvwAAAAA4AAQBZQQAAAAAAAAAAAQIAWUEAAAAAAAAAAAEDAFlBAAAAAAAAAAADBABZQQAAAAAAAAAABAUAWUEAAAAAAAAAAAUGAFlCAwAAAAAAAAAGBwBZQQAAAAAAAAAABwgAWUEAAAAAAAAAAAgJAFlBAAAAAAAAAAAHCgBZQgIAAAAAAAAACgsAWUEAAAAAAAAAAAsFAFlBAAAAAAAAAAALDABZQQAAAAAAAAAADAEAWUEAAAAAAAAAAAAAAAA</t>
        </r>
      </text>
    </comment>
    <comment ref="A1491" authorId="0" shapeId="0" xr:uid="{49C7A5CC-B423-4CD6-93DF-81A3A98A05A8}">
      <text>
        <r>
          <rPr>
            <sz val="9"/>
            <color indexed="81"/>
            <rFont val="MS P ゴシック"/>
            <family val="3"/>
            <charset val="128"/>
          </rPr>
          <t>Insight iXlW00001C0001491R0585476093S00002980P01360LAocjBAQBF1NjaVRlZ2ljLmRhdGEuTW9sZWN1bGUBbwF/ARJTY2lUZWdpYy5Nb2xlY3VsZQAAAQFkAv5qAQAAAAIAAgESHAAAAPz8APwAAgAAAAAAAPC/AiFB8WPM3QzAAgYSFD/G3OM/AAAAABgAAAD8/AD8AAIAAAAAAADwvwIhQfFjzN0IwAL2udqK/WXPvwAAAAAYAAAA/PwA/AACAAAAAAAA8L8CIUHxY8zdAMAC9rnaiv1lz78AAAAAGAAAAPz8APwAAgAAAAAAAPC/AkGC4seYu/m/AoC3QILix/G/AAAAABgAAAD8/AD8AAIAAAAAAADwvwJkXdxGA3jjvwKAt0CC4sfxvwAAAAAYAAAA/PwA/AACAAAAAAAA8L8CHeviNhrAu78C9rnaiv1lz78AAAAAHAAAAPz8APwAAgAAAAAAAPC/AmRd3EYDeOO/AgYSFD/G3OM/AAAAABgAAAD8/AD8AAIAAAAAAADwvwJBguLHmLv5vwIGEhQ/xtzjPwAAAAAcAAAA/PwA/AACAAAAAAAA8L8CnaIjufyH7D8C9rnaiv1lz78AAAAAGAAAAPz8APwAAgAAAAAAAPC/Ak/RkVz+Q/Y/AoC3QILix/G/AAAAABgAAAD8/AD8AAIAAAAAAADwvwKn6Egu/yEDQAKAt0CC4sfxvwAAAAAYAAAA/PwA/AACAAAAAAAA8L8Cp+hILv8hB0AC9rnaiv1lz78AAAAAGAAAAPz8APwAAgAAAAAAAPC/AqfoSC7/IQNAAgYSFD/G3OM/AAAAAAEQAAAA/PwA/AACAAAAAAAA8L8CT9GRXP5D9j8CBhIUP8bc4z8AAAAAIAAAAPz8APwAAgAAAAAAAPC/Al3+Q/rt69w/ApF++zpwzu4/AAAAACAAAAD8/AD8AAIAAAAAAADwvwJe3EYDeAv5PwLkpZvEILD5PwAAAAABEQAAAPz8APwAAgAAAAAAAPC/Ag5Pr5RliA1AAm8Sg8DKoc0/AAAAAAERAAAA/PwA/AACAAAAAAAA8L8CFR3J5T/kEkACVTAqqRPQ0D8AAAAAAREABAFlBAAAAAAAAAAABAgBZQQAAAAAAAAAAAgMAWUIDAAAAAAAAAAMEAFlBAAAAAAAAAAAEBQBZQgIAAAAAAAAABQYAWUEAAAAAAAAAAAYHAFlCAgAAAAAAAAAHAgBZQQAAAAAAAAAABQgAWUEAAAAAAAAAAAgJAFlBAAAAAAAAAAAJCgBZQQAAAAAAAAAACgsAWUEAAAAAAAAAAAsMAFlBAAAAAAAAAAAMDQBZQQAAAAAAAAAADQgAWUEAAAAAAAAAAA0OAFlCAAAAAAAAAAANDwBZQgAAAAAAAAAAAAAAAA=</t>
        </r>
      </text>
    </comment>
    <comment ref="A1492" authorId="0" shapeId="0" xr:uid="{679215B5-90F0-4576-AADD-45696A24F2FB}">
      <text>
        <r>
          <rPr>
            <sz val="9"/>
            <color indexed="81"/>
            <rFont val="MS P ゴシック"/>
            <family val="3"/>
            <charset val="128"/>
          </rPr>
          <t>Insight iXlW00001C0001492R0585476093S00002982P01360LAocjBAQBF1NjaVRlZ2ljLmRhdGEuTW9sZWN1bGUBbwF/ARJTY2lUZWdpYy5Nb2xlY3VsZQAAAQFkAv5qAQAAAAIAAgESHAAAAPz8APwAAgAAAAAAAPC/Ahi30QDeAg3AArFyaJHtfL8/AAAAABgAAAD8/AD8AAIAAAAAAADwvwL3Bl+YTBUGwAJU46WbxCDYvwAAAAAYAAAA/PwA/AACAAAAAAAA8L8CrK3YX3ZP/r8CsXJoke18vz8AAAAAGAAAAPz8APwAAgAAAAAAAPC/Aqyt2F92T/6/AiuHFtnO9/E/AAAAABgAAAD8/AD8AAIAAAAAAADwvwJqTfOOU3TwvwIrhxbZzvf5PwAAAAAYAAAA/PwA/AACAAAAAAAA8L8CRWlv8IXJxL8CK4cW2c738T8AAAAAGAAAAPz8APwAAgAAAAAAAPC/AkVpb/CFycS/ArFyaJHtfL8/AAAAABwAAAD8/AD8AAIAAAAAAADwvwJqTfOOU3TwvwJU46WbxCDYvwAAAAAcAAAA/PwA/AACAAAAAAAA8L8CMuauJeSD5j8CVOOlm8Qg2L8AAAAAGAAAAPz8APwAAgAAAAAAAPC/AjLmriXkg+Y/AtV46SYxCPa/AAAAABgAAAD8/AD8AAIAAAAAAADwvwJb07zjFB35PwLVeOkmMQj+vwAAAAAYAAAA/PwA/AACAAAAAAAA8L8CzhlR2ht8A0AC1XjpJjEI9r8AAAAAGAAAAPz8APwAAgAAAAAAAPC/As4ZUdobfANAAlTjpZvEINi/AAAAAAEQAAAA/PwA/AACAAAAAAAA8L8CW9O84xQd+T8CsXJoke18vz8AAAAAIAAAAPz8APwAAgAAAAAAAPC/AmIyVTAqqe0/AqabxCCwcuw/AAAAACAAAAD8/AD8AAIAAAAAAADwvwL7XG3F/rIBQAKmm8QgsHLsPwAAAAABEQAAAPz8APwAAgAAAAAAAPC/AjWAt0CC4glAAsZtNIC3QMK/AAAAAAERAAAA/PwA/AACAAAAAAAA8L8CqTXNO04REUACFD/G3LWEvL8AAAAAAREABAFlBAAAAAAAAAAABAgBZQQAAAAAAAAAAAgMAWUEAAAAAAAAAAAMEAFlCAgAAAAAAAAAEBQBZQQAAAAAAAAAABQYAWUICAAAAAAAAAAYHAFlBAAAAAAAAAAAHAgBZQgMAAAAAAAAABggAWUEAAAAAAAAAAAgJAFlBAAAAAAAAAAAJCgBZQQAAAAAAAAAACgsAWUEAAAAAAAAAAAsMAFlBAAAAAAAAAAAMDQBZQQAAAAAAAAAADQgAWUEAAAAAAAAAAA0OAFlCAAAAAAAAAAANDwBZQgAAAAAAAAAAAAAAAA=</t>
        </r>
      </text>
    </comment>
    <comment ref="A1493" authorId="0" shapeId="0" xr:uid="{9B149665-35BF-4EBA-8C8B-99CF284BE755}">
      <text>
        <r>
          <rPr>
            <sz val="9"/>
            <color indexed="81"/>
            <rFont val="MS P ゴシック"/>
            <family val="3"/>
            <charset val="128"/>
          </rPr>
          <t>Insight iXlW00001C0001493R0585476093S00002984P01288LAocjBAQBF1NjaVRlZ2ljLmRhdGEuTW9sZWN1bGUBbwF/ARJTY2lUZWdpYy5Nb2xlY3VsZQAAAQFkAv5qAQAAAAIAAgERHAAAAPz8APwAAgAAAAAAAPC/At6Th4Va09i/AlJJnYAmQgXAAAAAABgAAAD8/AD8AAIAAAAAAADwvwKq8dJNYhD0vwJSSZ2AJkIBwAAAAAAYAAAA/PwA/AACAAAAAAAA8L8CqvHSTWIQ9L8Co5I6AU2E8r8AAAAAGAAAAPz8APwAAgAAAAAAAPC/AvYoXI/C9QDAAkYldQKaCOW/AAAAABgAAAD8/AD8AAIAAAAAAADwvwL2KFyPwvUAwAJ0tRX7y+7VPwAAAAAcAAAA/PwA/AACAAAAAAAA8L8CqvHSTWIQ9L8CutqK/WX36j8AAAAAGAAAAPz8APwAAgAAAAAAAPC/AqJFtvP91Ni/AnS1FfvL7tU/AAAAABgAAAD8/AD8AAIAAAAAAADwvwKiRbbz/dTYvwJGJXUCmgjlvwAAAAAcAAAA/PwA/AACAAAAAAAA8L8CKe0NvjCZ3j8CutqK/WX36j8AAAAAGAAAAPz8APwAAgAAAAAAAPC/AobJVMGopOI/AoUNT6+UZf0/AAAAABgAAAD8/AD8AAIAAAAAAADwvwJ+jLlrCfn4PwKVZYhjXVwAQAAAAAAYAAAA/PwA/AACAAAAAAAA8L8CB/AWSFB8AEACd76fGi/d8j8AAAAAARAAAAD8/AD8AAIAAAAAAADwvwLdJAaBlUP2PwKBlUOLbOfbPwAAAAAgAAAA/PwA/AACAAAAAAAA8L8CtMh2vp+aAUACyzLEsS5uw78AAAAAIAAAAPz8APwAAgAAAAAAAPC/ArtJDAIrh+w/AoXrUbgehdu/AAAAAAERAAAA/PwA/AACAAAAAAAA8L8CGy/dJAYBCEACg+LHmLuW1L8AAAAAAREAAAD8/AD8AAIAAAAAAADwvwIcDeAtkCAQQAJlO99PjZfSvwAAAAABEAAEAWUEAAAAAAAAAAAECAFlBAAAAAAAAAAACAwBZQQAAAAAAAAAAAwQAWUICAAAAAAAAAAQFAFlBAAAAAAAAAAAFBgBZQgIAAAAAAAAABgcAWUEAAAAAAAAAAAcCAFlCAwAAAAAAAAAGCABZQQAAAAAAAAAACAkAWUEAAAAAAAAAAAkKAFlBAAAAAAAAAAAKCwBZQQAAAAAAAAAACwwAWUEAAAAAAAAAAAwIAFlBAAAAAAAAAAAMDQBZQgAAAAAAAAAADA4AWUIAAAAAAAAAAAAAAAA</t>
        </r>
      </text>
    </comment>
    <comment ref="A1494" authorId="0" shapeId="0" xr:uid="{99659E2D-39A8-4E39-A360-B32903FE1A58}">
      <text>
        <r>
          <rPr>
            <sz val="9"/>
            <color indexed="81"/>
            <rFont val="MS P ゴシック"/>
            <family val="3"/>
            <charset val="128"/>
          </rPr>
          <t>Insight iXlW00001C0001494R0585476093S00002986P01324LAocjBAQBF1NjaVRlZ2ljLmRhdGEuTW9sZWN1bGUBbwF/ARJTY2lUZWdpYy5Nb2xlY3VsZQAAAQFkAv5qAQAAAAIAAgERGAAAAPz8APwAAgAAAAAAAPC/AuqVsgxxrP6/Ak+vlGWIY80/AAAAABgAAAD8/AD8AAIAAAAAAADwvwKpNc07TtHwvwLUK2UZ4ljnPwAAAAAYAAAA/PwA/AACAAAAAAAA8L8CN6s+V1uxx78CT6+UZYhjzT8AAAAAGAAAAPz8APwAAgAAAAAAAPC/AjerPldbsce/Ai3UmuYdp+i/AAAAABgAAAD8/AD8AAIAAAAAAADwvwKpNc07TtHwvwIWak3zjlP0vwAAAAABEAAAAPz8APwAAgAAAAAAAPC/AuqVsgxxrP6/Ai3UmuYdp+i/AAAAACAAAAD8/AD8AAIAAAAAAADwvwIYJlMFoxICwALOO07RkVz7vwAAAAAgAAAA/PwA/AACAAAAAAAA8L8CZRniWBc3B8AC8BZIUPwY478AAAAAGAAAAPz8APwAAgAAAAAAAPC/AvcGX5hMFcQ/AqFns+pztfI/AAAAACAAAAD8/AD8AAIAAAAAAADwvwJahjjWxW3xPwJ1JJf/kH74PwAAAAAgAAAA/PwA/AACAAAAAAAA8L8CLGUZ4lgX378CSS7/If32/j8AAAAAGAAAAPz8APwAAgAAAAAAAPC/AvSOU3Qkl+k/Alhbsb/snqw/AAAAABgAAAD8/AD8AAIAAAAAAADwvwIVrkfhehT3PwLo+6nx0k3qPwAAAAAYAAAA/PwA/AACAAAAAAAA8L8Ce6UsQxxrA0ACyeU/pN++5D8AAAAAGAAAAPz8APwAAgAAAAAAAPC/AtZW7C+7JwZAAkp7gy9MptK/AAAAABgAAAD8/AD8AAIAAAAAAADwvwKJY13cRgMBQAJ7pSxDHOvwvwAAAAAYAAAA/PwA/AACAAAAAAAA8L8CMSqpE9BE8j8C1zTvOEVH7L8AAAAAARIABAFlBAAAAAAAAAAAABQBZQQAAAAAAAAAAAQIAWUEAAAAAAAAAAAIDAFlBAAAAAAAAAAADBABZQQAAAAAAAAAABAUAWUEAAAAAAAAAAAUGAFlCAAAAAAAAAAAFBwBZQgAAAAAAAAAAAggAWUEAAAAAAAAAAAgJAFlBAAAAAAAAAAAICgBZQgAAAAAAAAAAAgsAWUEAAAAAAAAAAAsMAFlCAwAAAAAAAAAMDQBZQQAAAAAAAAAADQ4AWUICAAAAAAAAAA4PAFlBAAAAAAAAAAAPAEQAWUICAAAAAAAAAABECwBZQQAAAAAAAAAAAAAAAA=</t>
        </r>
      </text>
    </comment>
    <comment ref="A1495" authorId="0" shapeId="0" xr:uid="{B13B54D1-3B4E-457F-A618-3ECEFCE79C8D}">
      <text>
        <r>
          <rPr>
            <sz val="9"/>
            <color indexed="81"/>
            <rFont val="MS P ゴシック"/>
            <family val="3"/>
            <charset val="128"/>
          </rPr>
          <t>Insight iXlW00001C0001495R0585476093S00002988P01104LAocjBAQBF1NjaVRlZ2ljLmRhdGEuTW9sZWN1bGUBbwF/ARJTY2lUZWdpYy5Nb2xlY3VsZQAAAQFkAv5qAQAAAAIAAjgYAAAA/PwA/AACAAAAAAAA8L8CEhQ/xty1+z8Cd08eFmpN9z8AAAAAGAAAAPz8APwAAgAAAAAAAPC/Alyxv+yePPY/An/7OnDOiOA/AAAAABgAAAD8/AD8AAIAAAAAAADwvwJXfa62Yv8CQAKFfNCzWfXVPwAAAAAYAAAA/PwA/AACAAAAAAAA8L8CDr4wmSqYAMACAwmKH2Pu3r8AAAAAGAAAAPz8APwAAgAAAAAAAPC/Ag6+MJkqmADAAn/7OnDOiOA/AAAAABgAAAD8/AD8AAIAAAAAAADwvwLbG3xhMlXzvwLAfR04Z0TwPwAAAAAYAAAA/PwA/AACAAAAAAAA8L8C2xt8YTJV878CggTFjzF3778AAAAAGAAAAPz8APwAAgAAAAAAAPC/AmPuWkI+6NW/AgMJih9j7t6/AAAAABgAAAD8/AD8AAIAAAAAAADwvwJj7lpCPujVvwJ/+zpwzojgPwAAAAAYAAAA/PwA/AACAAAAAAAA8L8CNKK0N/jC4D8CwH0dOGdE8D8AAAAAGAAAAPz8APwAAgAAAAAAAPC/Alyxv+yePPY/AgMJih9j7t6/AAAAABwAAAD8/AD8AAIAAAAAAADwvwI0orQ3+MLgPwKCBMWPMXfvvwAAAAAgAAAA/PwA/AACAAAAAAAA8L8CB1+YTBUMAkACggTFjzF3778AAAAAHAAAAPz8APwAAgAAAAAAAPC/Ai9uowG8hQfAAoIExY8xd++/AAAAADwEAAFlBAAAAAAAAAAACAQBZQQAAAAAAAAAAAwQAWUICAAAAAAAAAAQFAFlBAAAAAAAAAAAFCABZQgIAAAAAAAAABwYAWUICAAAAAAAAAAYDAFlBAAAAAAAAAAAHCABZQQAAAAAAAAAABwsAWUEAAAAAAAAAAAgJAFlBAAAAAAAAAAAJAQBZQQAAAAAAAAAAAQoAWUEAAAAAAAAAAAoLAFlBAAAAAAAAAAAKDABZQgAAAAAAAAAAAw0AWUEAAAAAAAAAAAAAAAA</t>
        </r>
      </text>
    </comment>
    <comment ref="A1496" authorId="0" shapeId="0" xr:uid="{7A228B55-2904-415C-97B5-5E8E35424762}">
      <text>
        <r>
          <rPr>
            <sz val="9"/>
            <color indexed="81"/>
            <rFont val="MS P ゴシック"/>
            <family val="3"/>
            <charset val="128"/>
          </rPr>
          <t>Insight iXlW00001C0001496R0585476093S00002990P01104LAocjBAQBF1NjaVRlZ2ljLmRhdGEuTW9sZWN1bGUBbwF/ARJTY2lUZWdpYy5Nb2xlY3VsZQAAAQFkAv5qAQAAAAIAAjgYAAAA/PwA/AACAAAAAAAA8L8CWMoyxLEu9D8CM1UwKqkT978AAAAAGAAAAPz8APwAAgAAAAAAAPC/AnrHKTqSy+M/AhUdyeU/pOW/AAAAABgAAAD8/AD8AAIAAAAAAADwvwI9m1Wfq62YvwIzVTAqqRP3vwAAAAAYAAAA/PwA/AACAAAAAAAA8L8CeekmMQis/78C6+I2GsBb6j8AAAAAGAAAAPz8APwAAgAAAAAAAPC/AnnpJjEIrP+/AlR0JJf/kMa/AAAAABgAAAD8/AD8AAIAAAAAAADwvwI4iUFg5dDxvwIVHcnlP6TlvwAAAAAYAAAA/PwA/AACAAAAAAAA8L8COIlBYOXQ8b8CdnEbDeAt9T8AAAAAGAAAAPz8APwAAgAAAAAAAPC/Aq9H4XoUrs+/AuviNhrAW+o/AAAAABgAAAD8/AD8AAIAAAAAAADwvwKvR+F6FK7PvwJUdCSX/5DGvwAAAAAcAAAA/PwA/AACAAAAAAAA8L8C/0P67evA9z8CVHQkl/+Qxr8AAAAAGAAAAPz8APwAAgAAAAAAAPC/Av9D+u3rwPc/AuviNhrAW+o/AAAAABwAAAD8/AD8AAIAAAAAAADwvwJ6xyk6ksvjPwJ2cRsN4C31PwAAAAAgAAAA/PwA/AACAAAAAAAA8L8CINJvXwfOAkACdnEbDeAt9T8AAAAAHAAAAPz8APwAAgAAAAAAAPC/AjiJQWDl0PG/AouO5PIf0vq/AAAAADwEAAFlBAAAAAAAAAAACAQBZQQAAAAAAAAAAAwQAWUEAAAAAAAAAAAQFAFlCAgAAAAAAAAAFCABZQQAAAAAAAAAABwYAWUEAAAAAAAAAAAYDAFlCAgAAAAAAAAAHCABZQgIAAAAAAAAABwsAWUEAAAAAAAAAAAgBAFlBAAAAAAAAAAABCQBZQQAAAAAAAAAACQoAWUEAAAAAAAAAAAoLAFlBAAAAAAAAAAAKDABZQgAAAAAAAAAABQ0AWUEAAAAAAAAAAAAAAAA</t>
        </r>
      </text>
    </comment>
    <comment ref="A1497" authorId="0" shapeId="0" xr:uid="{F295A86E-B48D-428D-BF63-62D3E3883327}">
      <text>
        <r>
          <rPr>
            <sz val="9"/>
            <color indexed="81"/>
            <rFont val="MS P ゴシック"/>
            <family val="3"/>
            <charset val="128"/>
          </rPr>
          <t>Insight iXlW00001C0001497R0585476093S00002992P01160LAocjBAQBF1NjaVRlZ2ljLmRhdGEuTW9sZWN1bGUBbwF/ARJTY2lUZWdpYy5Nb2xlY3VsZQAAAQFkAv5qAQAAAAIAAjwcAAAA/PwA/AACAAAAAAAA8L8CnRGlvcEX978Cp+hILv8h+r8AAAAAGAAAAPz8APwAAgAAAAAAAPC/Ap0Rpb3BF/e/Ak/RkVz+Q+S/AAAAABwAAAD8/AD8AAIAAAAAAADwvwK3Yn/ZPXnivwI5RUdy+Q/BvwAAAAAYAAAA/PwA/AACAAAAAAAA8L8CmbuWkA960j8CT9GRXP5D5L8AAAAAGAAAAPz8APwAAgAAAAAAAPC/Apm7lpAPetI/AqfoSC7/Ifq/AAAAABgAAAD8/AD8AAIAAAAAAADwvwK3Yn/ZPXnivwJUdCSX/xABwAAAAAAgAAAA/PwA/AACAAAAAAAA8L8CKA8LtaZ58j8COUVHcvkPwb8AAAAAGAAAAPz8APwAAgAAAAAAAPC/AigPC7WmefI/ArIubqMBvOs/AAAAABgAAAD8/AD8AAIAAAAAAADwvwIoDwu1pnkCwAI5RUdy+Q/BvwAAAAAgAAAA/PwA/AACAAAAAAAA8L8CKA8LtaZ5AsACsi5uowG86z8AAAAAIAAAAPz8APwAAgAAAAAAAPC/Akm/fR04ZwnAAk/RkVz+Q+S/AAAAABgAAAD8/AD8AAIAAAAAAADwvwK1N/jCZCoAQAJZF7fRAN71PwAAAAAkAAAA/PwA/AACAAAAAAAA8L8Cam/whclU+D8CzTtO0ZHcAUAAAAAAJAAAAPz8APwAAgAAAAAAAPC/Atbnaiv2FwdAAlkXt9EA3v0/AAAAACQAAAD8/AD8AAIAAAAAAADwvwK1N/jCZCoEQAJNFYxK6gTgPwAAAAA8AAQBZQgIAAAAAAAAAAQIAWUEAAAAAAAAAAAIDAFlCAgAAAAAAAAADBABZQQAAAAAAAAAABAUAWUICAAAAAAAAAAUAAFlBAAAAAAAAAAADBgBZQQAAAAAAAAAABgcAWUEAAAAAAAAAAAEIAFlBAAAAAAAAAAAICQBZQQAAAAAAAAAACAoAWUIAAAAAAAAAAAcLAFlBAAAAAAAAAAALDABZQQAAAAAAAAAACw0AWUEAAAAAAAAAAAsOAFlBAAAAAAAAAAAAAAAAA==</t>
        </r>
      </text>
    </comment>
    <comment ref="A1498" authorId="0" shapeId="0" xr:uid="{6BF4BB4C-0E8D-424F-B6F4-B5910F9279D4}">
      <text>
        <r>
          <rPr>
            <sz val="9"/>
            <color indexed="81"/>
            <rFont val="MS P ゴシック"/>
            <family val="3"/>
            <charset val="128"/>
          </rPr>
          <t>Insight iXlW00001C0001498R0585476093S00002994P01360LAocjBAQBF1NjaVRlZ2ljLmRhdGEuTW9sZWN1bGUBbwF/ARJTY2lUZWdpYy5Nb2xlY3VsZQAAAQFkAv5qAQAAAAIAAgESHAAAAPz8APwAAgAAAAAAAPC/Ak/RkVz+QwxAAnNoke18P/g/AAAAABgAAAD8/AD8AAIAAAAAAADwvwJP0ZFc/kMEQAJzaJHtfD/4PwAAAAAYAAAA/PwA/AACAAAAAAAA8L8CTtGRXP5DAEACYxBYObTI5D8AAAAAGAAAAPz8APwAAgAAAAAAAPC/Ak/RkVz+QwRAAoPAyqFFtsu/AAAAABgAAAD8/AD8AAIAAAAAAADwvwJO0ZFc/kMAQAJSuB6F61HxvwAAAAAYAAAA/PwA/AACAAAAAAAA8L8CDk+vlGWI8D8CUrgehetR8b8AAAAAGAAAAPz8APwAAgAAAAAAAPC/AhueXinLEOE/AoPAyqFFtsu/AAAAABgAAAD8/AD8AAIAAAAAAADwvwKdoiO5/IfwPwJjEFg5tMjkPwAAAAAcAAAA/PwA/AACAAAAAAAA8L8CysNCrWne3b8Cg8DKoUW2y78AAAAAGAAAAPz8APwAAgAAAAAAAPC/AuVhodY07+6/AmMQWDm0yOQ/AAAAABgAAAD8/AD8AAIAAAAAAADwvwLzsFBrmnf/vwJjEFg5tMjkPwAAAAABEAAAAPz8APwAAgAAAAAAAPC/AnpYqDXNuwPAAoPAyqFFtsu/AAAAACAAAAD8/AD8AAIAAAAAAADwvwIGEhQ/xtwJwAJXfa62Yn/rvwAAAAAgAAAA/PwA/AACAAAAAAAA8L8CBhIUP8bcCcACKjqSy39I2z8AAAAAGAAAAPz8APwAAgAAAAAAAPC/AvOwUGuad/+/AlK4HoXrUfG/AAAAABgAAAD8/AD8AAIAAAAAAADwvwLlYaHWNO/uvwJSuB6F61HxvwAAAAABEQAAAPz8APwAAgAAAAAAAPC/AtsbfGEyVRFAAmYZ4lgXt8k/AAAAAAERAAAA/PwA/AACAAAAAAAA8L8CaZHtfD91FUACoWez6nO1zT8AAAAAAREABAFlBAAAAAAAAAAABAgBZQQAAAAAAAAAAAgMAWUEAAAAAAAAAAAMEAFlCAgAAAAAAAAAEBQBZQQAAAAAAAAAABQYAWUICAAAAAAAAAAYHAFlBAAAAAAAAAAAHAgBZQgMAAAAAAAAABggAWUEAAAAAAAAAAAgJAFlBAAAAAAAAAAAJCgBZQQAAAAAAAAAACgsAWUEAAAAAAAAAAAsMAFlCAAAAAAAAAAALDQBZQgAAAAAAAAAACw4AWUEAAAAAAAAAAA4PAFlBAAAAAAAAAAAPCABZQQAAAAAAAAAAAAAAAA=</t>
        </r>
      </text>
    </comment>
    <comment ref="A1499" authorId="0" shapeId="0" xr:uid="{722CA7AF-49CD-4130-A85E-4C1AA15ECD9B}">
      <text>
        <r>
          <rPr>
            <sz val="9"/>
            <color indexed="81"/>
            <rFont val="MS P ゴシック"/>
            <family val="3"/>
            <charset val="128"/>
          </rPr>
          <t>Insight iXlW00001C0001499R0585476093S00002996P01560LAocjBAQBF1NjaVRlZ2ljLmRhdGEuTW9sZWN1bGUBbwF/ARJTY2lUZWdpYy5Nb2xlY3VsZQAAAQFkAv5qAQAAAAIAAgEUGAAAAPz8APwAAgAAAAAAAPC/AjY8vVKWoQDAAssQx7q4jfE/AAAAABgAAAD8/AD8AAIAAAAAAADwvwL/Q/rt68D6vwI51sVtNIDHPwAAAAAcAAAA/PwA/AACAAAAAAAA8L8Cc/kP6bev5b8CAJF++zpw0j8AAAAAGAAAAPz8APwAAgAAAAAAAPC/AsiYu5aQD96/AvvL7snDQvQ/AAAAABgAAAD8/AD8AAIAAAAAAADwvwJ0RpT2Bl/1vwL7y+7Jw0L8PwAAAAAYAAAA/PwA/AACAAAAAAAA8L8CBTQRNjw9CMACnu+nxks36T8AAAAAGAAAAPz8APwAAgAAAAAAAPC/AjNVMCqpkwbAAoofY+5aQvw/AAAAABgAAAD8/AD8AAIAAAAAAADwvwJlO99PjZcNwALHuriNBvCmPwAAAAAgAAAA/PwA/AACAAAAAAAA8L8C564l5IMeC8ACj1N0JJf/7L8AAAAAIAAAAPz8APwAAgAAAAAAAPC/AqFns+pztRLAArK/7J48LNA/AAAAABgAAAD8/AD8AAIAAAAAAADwvwIi/fZ14JyBvwLjNhrAWyDdvwAAAAAgAAAA/PwA/AACAAAAAAAA8L8CFmpN845T1L8CV32utmJ/9r8AAAAAIAAAAPz8APwAAgAAAAAAAPC/AoJzRpT2Bu8/AhUdyeU/pM+/AAAAABgAAAD8/AD8AAIAAAAAAADwvwKASL99HTj6PwI3qz5XW7HvvwAAAAAYAAAA/PwA/AACAAAAAAAA8L8CHjhnRGnvBEACC9ejcD0K6b8AAAAAGAAAAPz8APwAAgAAAAAAAPC/AmPuWkI+aAdAAsUgsHJokcU/AAAAABgAAAD8/AD8AAIAAAAAAADwvwJBguLHmDsPQAK7uI0G8BbYPwAAAAAYAAAA/PwA/AACAAAAAAAA8L8C0ETY8PRKEkACKA8LtaZ5178AAAAAGAAAAPz8APwAAgAAAAAAAPC/ApF++zpwDhFAAmiz6nO1FfW/AAAAABgAAAD8/AD8AAIAAAAAAADwvwJFaW/whUkKQAJ+HThnRGn4vwAAAAABFgAEAWUEAAAAAAAAAAAECAFlBAAAAAAAAAAACAwBZQQAAAAAAAAAAAwQAWUEAAAAAAAAAAAQAAFlBAAAAAAAAAAAFAABZQQAAAAAAAAAABgUAWUEAAAAAAAAAAAAGAFlBAAAAAAAAAAAFBwBZQQAAAAAAAAAABwgAWUIAAAAAAAAAAAcJAFlBAAAAAAAAAAACCgBZQQAAAAAAAAAACgsAWUIAAAAAAAAAAAoMAFlBAAAAAAAAAAAMDQBZQQAAAAAAAAAADQ4AWUEAAAAAAAAAAA4PAFlCAwAAAAAAAAAPAEQAWUEAAAAAAAAAAABEAERAWUICAAAAAAAAAABEQESAWUEAAAAAAAAAAABEgETAWUICAAAAAAAAAABEzgBZQQAAAAAAAAAAAAAAAA=</t>
        </r>
      </text>
    </comment>
    <comment ref="A1500" authorId="0" shapeId="0" xr:uid="{23164B9A-9D0B-4E28-82E0-EFBABCCE3DB9}">
      <text>
        <r>
          <rPr>
            <sz val="9"/>
            <color indexed="81"/>
            <rFont val="MS P ゴシック"/>
            <family val="3"/>
            <charset val="128"/>
          </rPr>
          <t>Insight iXlW00001C0001500R0585476093S00002998P01392LAocjBAQBF1NjaVRlZ2ljLmRhdGEuTW9sZWN1bGUBbwF/ARJTY2lUZWdpYy5Nb2xlY3VsZQAAAQFkAv5qAQAAAAIAAgESGAAAAPz8APwAAgAAAAAAAPC/AjQRNjy9UvK/AsIXJlMFo9a/AAAAABgAAAD8/AD8AAIAAAAAAADwvwLKw0Ktad7RvwJ90LNZ9bnCPwAAAAAcAAAA/PwA/AACAAAAAAAA8L8Cnl4pyxDH4j8CwhcmUwWj1r8AAAAAGAAAAPz8APwAAgAAAAAAAPC/Ap5eKcsQx+I/AvGFyVTBqPW/AAAAABgAAAD8/AD8AAIAAAAAAADwvwLKw0Ktad7RvwLxhclUwaj9vwAAAAAYAAAA/PwA/AACAAAAAAAA8L8CNBE2PL1S8r8C8YXJVMGo9b8AAAAAGAAAAPz8APwAAgAAAAAAAPC/ApoIG55eKQHAAsIXJlMFo9a/AAAAABgAAAD8/AD8AAIAAAAAAADwvwKlvcEXJlP6vwKFDU+vlGXgPwAAAAAYAAAA/PwA/AACAAAAAAAA8L8Cu7iNBvAWCMAC4QuTqYJR678AAAAAIAAAAPz8APwAAgAAAAAAAPC/Aru4jQbwFgjAAvGFyVTBqP2/AAAAACAAAAD8/AD8AAIAAAAAAADwvwIUP8bctQQPwALCFyZTBaPWvwAAAAAYAAAA/PwA/AACAAAAAAAA8L8CkQ96Nqs+9z8CfdCzWfW5wj8AAAAAIAAAAPz8APwAAgAAAAAAAPC/Aum3rwPnjAJAAsIXJlMFo9a/AAAAACAAAAD8/AD8AAIAAAAAAADwvwKRD3o2qz73PwIQejarPlfyPwAAAAAYAAAA/PwA/AACAAAAAAAA8L8C6bevA+eMAkACEHo2qz5X+j8AAAAAGAAAAPz8APwAAgAAAAAAAPC/AtNvXwfOGf0/AmHD0ytlGQRAAAAAABgAAAD8/AD8AAIAAAAAAADwvwIKaCJseHoJQAIIPZtVnysBQAAAAAAYAAAA/PwA/AACAAAAAAAA8L8C6bevA+eMBkACnDOitDf46D8AAAAAARMABAFlBAAAAAAAAAAAABQBZQQAAAAAAAAAAAQIAWUEAAAAAAAAAAAIDAFlBAAAAAAAAAAADBABZQQAAAAAAAAAABAUAWUEAAAAAAAAAAAYAAFlBAAAAAAAAAAAHBgBZQQAAAAAAAAAAAAcAWUEAAAAAAAAAAAYIAFlBAAAAAAAAAAAICQBZQgAAAAAAAAAACAoAWUEAAAAAAAAAAAILAFlBAAAAAAAAAAALDABZQgAAAAAAAAAACw0AWUEAAAAAAAAAAA0OAFlBAAAAAAAAAAAODwBZQQAAAAAAAAAADgBEAFlBAAAAAAAAAAAOAERAWUEAAAAAAAAAAAAAAAA</t>
        </r>
      </text>
    </comment>
    <comment ref="A1501" authorId="0" shapeId="0" xr:uid="{45F222D5-FDA8-4C68-B8FA-FB1E594A36DF}">
      <text>
        <r>
          <rPr>
            <sz val="9"/>
            <color indexed="81"/>
            <rFont val="MS P ゴシック"/>
            <family val="3"/>
            <charset val="128"/>
          </rPr>
          <t>Insight iXlW00001C0001501R0585476093S00003000P01396LAocjBAQBF1NjaVRlZ2ljLmRhdGEuTW9sZWN1bGUBbwF/ARJTY2lUZWdpYy5Nb2xlY3VsZQAAAQFkAv5qAQAAAAIAAgESHAAAAPz8APwAAgAAAAAAAPC/AoBIv30dOOc/Aq36XG3F/vW/AAAAABgAAAD8/AD8AAIAAAAAAADwvwJApN++DpzzPwLXNO84RUfgvwAAAAAgAAAA/PwA/AACAAAAAAAA8L8CINJvXwfOAUAC1zTvOEVH4L8AAAAAIAAAAPz8APwAAgAAAAAAAPC/AoBIv30dOOc/AlkXt9EA3tY/AAAAABgAAAD8/AD8AAIAAAAAAADwvwIg0m9fB84FQAJZF7fRAN7WPwAAAAAYAAAA/PwA/AACAAAAAAAA8L8CjpduEoPA/T8CrYvbaABv6z8AAAAAGAAAAPz8APwAAgAAAAAAAPC/AiDSb18HzglAAhgmUwWjkvM/AAAAABgAAAD8/AD8AAIAAAAAAADwvwJBguLHmLsMQAJO0ZFc/kPCvwAAAAAYAAAA/PwA/AACAAAAAAAA8L8CArwFEhQ/8r8CWvW52or9678AAAAAGAAAAPz8APwAAgAAAAAAAPC/AgR4CyQofuS/Aqk1zTtO0YG/AAAAABgAAAD8/AD8AAIAAAAAAADwvwICvAUSFD/yvwKti9toAG/rPwAAAAABEAAAAPz8APwAAgAAAAAAAPC/AgHeAgmKHwHAAq2L22gAb+s/AAAAABgAAAD8/AD8AAIAAAAAAADwvwIB3gIJih8FwAKpNc07TtGBvwAAAAAYAAAA/PwA/AACAAAAAAAA8L8CAd4CCYofAcACWvW52or9678AAAAAGAAAAPz8APwAAgAAAAAAAPC/AgFvgQTFj9G/Aq36XG3F/vW/AAAAABgAAAD8/AD8AAIAAAAAAADwvwICvAUSFD/yvwKt+lxtxf79vwAAAAAgAAAA/PwA/AACAAAAAAAA8L8C3UYDeAukCMACHHxhMlUw8z8AAAAAIAAAAPz8APwAAgAAAAAAAPC/AmRd3EYDeP+/Ardif9k9ef0/AAAAAAETAAQBZQQAAAAAAAAAAAQIAWUEAAAAAAAAAAAEDAFlCAAAAAAAAAAACBABZQQAAAAAAAAAABAUAWUEAAAAAAAAAAAQGAFlBAAAAAAAAAAAEBwBZQQAAAAAAAAAACAkAWUEAAAAAAAAAAAgNAFlBAAAAAAAAAAAJCgBZQQAAAAAAAAAACgsAWUEAAAAAAAAAAAsMAFlBAAAAAAAAAAAMDQBZQQAAAAAAAAAADggAWUEAAAAAAAAAAA8OAFlBAAAAAAAAAAAIDwBZQQAAAAAAAAAADgAAWUEAAAAAAAAAAAsARABZQgAAAAAAAAAACwBEQFlCAAAAAAAAAAAAAAAAA==</t>
        </r>
      </text>
    </comment>
    <comment ref="A1502" authorId="0" shapeId="0" xr:uid="{13A60233-1DC1-4471-8784-D9F412E486F3}">
      <text>
        <r>
          <rPr>
            <sz val="9"/>
            <color indexed="81"/>
            <rFont val="MS P ゴシック"/>
            <family val="3"/>
            <charset val="128"/>
          </rPr>
          <t>Insight iXlW00001C0001502R0585476093S00003002P01488LAocjBAQBF1NjaVRlZ2ljLmRhdGEuTW9sZWN1bGUBbwF/ARJTY2lUZWdpYy5Nb2xlY3VsZQAAAQFkAv5qAQAAAAIAAgETHAAAAPz8APwAAgAAAAAAAPC/ApXUCWgibOK/As/3U+Olm/O/AAAAABgAAAD8/AD8AAIAAAAAAADwvwKppE5AE2GzvwI2XrpJDALXvwAAAAAgAAAA/PwA/AACAAAAAAAA8L8Cayv2l92T7T8CNl66SQwC178AAAAAIAAAAPz8APwAAgAAAAAAAPC/ApXUCWgibOK/AmmR7Xw/NeA/AAAAABgAAAD8/AD8AAIAAAAAAADwvwK2FfvL7sn2PwJL6gQ0ETbgPwAAAAAYAAAA/PwA/AACAAAAAAAA8L8C24r9ZfdkA0ACS+oENBE24D8AAAAAGAAAAPz8APwAAgAAAAAAAPC/AkYldQKaiAPAAp7vp8ZLN+e/AAAAABgAAAD8/AD8AAIAAAAAAADwvwJGJXUCmogLwAKASL99HTjnvwAAAAAcAAAA/PwA/AACAAAAAAAA8L8CDk+vlGWID8AClkOLbOf7wT8AAAAAGAAAAPz8APwAAgAAAAAAAPC/Ag5Pr5RliAvAArTIdr6fGvA/AAAAABgAAAD8/AD8AAIAAAAAAADwvwJGJXUCmogDwAK0yHa+nxrwPwAAAAAYAAAA/PwA/AACAAAAAAAA8L8CjUrqBDQR/78ClkOLbOf7wT8AAAAAGAAAAPz8APwAAgAAAAAAAPC/AkvqBDQRNvm/As/3U+Olm/O/AAAAABgAAAD8/AD8AAIAAAAAAADwvwJGJXUCmogDwALP91PjpZv7vwAAAAAYAAAA/PwA/AACAAAAAAAA8L8C24r9ZfdkB0ACZ9Xnaiv29T8AAAAAGAAAAPz8APwAAgAAAAAAAPC/AtuK/WX3ZA9AAmfV52or9vU/AAAAABgAAAD8/AD8AAIAAAAAAADwvwJuxf6ye7IRQAJL6gQ0ETbgPwAAAAAYAAAA/PwA/AACAAAAAAAA8L8C24r9ZfdkD0ACcayL22gA178AAAAAGAAAAPz8APwAAgAAAAAAAPC/AtuK/WX3ZAdAAnGsi9toANe/AAAAAAEVAAQBZQQAAAAAAAAAAAQIAWUEAAAAAAAAAAAEDAFlCAAAAAAAAAAACBABZQQAAAAAAAAAABAUAWUEAAAAAAAAAAAYHAFlBAAAAAAAAAAAGCwBZQQAAAAAAAAAABwgAWUEAAAAAAAAAAAgJAFlBAAAAAAAAAAAJCgBZQQAAAAAAAAAACgsAWUEAAAAAAAAAAAwGAFlBAAAAAAAAAAANDABZQQAAAAAAAAAABg0AWUEAAAAAAAAAAAwAAFlBAAAAAAAAAAAFDgBZQgMAAAAAAAAADg8AWUEAAAAAAAAAAA8ARABZQgIAAAAAAAAAAEQAREBZQQAAAAAAAAAAAERARIBZQgIAAAAAAAAAAESFAFlBAAAAAAAAAAAAAAAAA==</t>
        </r>
      </text>
    </comment>
    <comment ref="A1503" authorId="0" shapeId="0" xr:uid="{42DA02FE-668E-4B07-B9FA-097CD26C36F1}">
      <text>
        <r>
          <rPr>
            <sz val="9"/>
            <color indexed="81"/>
            <rFont val="MS P ゴシック"/>
            <family val="3"/>
            <charset val="128"/>
          </rPr>
          <t>Insight iXlW00001C0001503R0585476093S00003004P00824LAocjBAQBF1NjaVRlZ2ljLmRhdGEuTW9sZWN1bGUBbwF/ARJTY2lUZWdpYy5Nb2xlY3VsZQAAAQFkAv5qAQAAAAIAAigYAAAA/PwA/AACAAAAAAAA8L8CJLn8h/Tb2z8CmpmZmZmZ2b8AAAAAGAAAAPz8APwAAgAAAAAAAPC/AiS5/If029s/AjMzMzMzM+M/AAAAABwAAAD8/AD8AAIAAAAAAADwvwLjx5i7lpDbvwKamZmZmZnxPwAAAAAYAAAA/PwA/AACAAAAAAAA8L8C48eYu5aQ278CzczMzMzM7L8AAAAAGAAAAPz8APwAAgAAAAAAAPC/AljKMsSxLvY/AuSlm8QgsOa/AAAAABwAAAD8/AD8AAIAAAAAAADwvwJYyjLEsS72PwJKDAIrhxbtPwAAAAAYAAAA/PwA/AACAAAAAAAA8L8COpLLf0i/9L8CmpmZmZmZ2b8AAAAAGAAAAPz8APwAAgAAAAAAAPC/AjqSy39Iv/S/AjMzMzMzM+M/AAAAABwAAAD8/AD8AAIAAAAAAADwvwISNjy9Upb/PwKamZmZmZm5PwAAAAAcAAAA/PwA/AACAAAAAAAA8L8CPnlYqDVNAcACzczMzMzM7L8AAAAALAQAAWUEAAAAAAAAAAAIBAFlCAgAAAAAAAAADAABZQgIAAAAAAAAABAAAWUEAAAAAAAAAAAUBAFlBAAAAAAAAAAAGAwBZQQAAAAAAAAAABwYAWUICAAAAAAAAAAgEAFlCAgAAAAAAAAAJBgBZQQAAAAAAAAAABQgAWUEAAAAAAAAAAAIHAFlBAAAAAAAAAAAAAAAAA==</t>
        </r>
      </text>
    </comment>
    <comment ref="A1504" authorId="0" shapeId="0" xr:uid="{F01D1AEC-3BAE-4BC0-AE73-76F596D20FD6}">
      <text>
        <r>
          <rPr>
            <sz val="9"/>
            <color indexed="81"/>
            <rFont val="MS P ゴシック"/>
            <family val="3"/>
            <charset val="128"/>
          </rPr>
          <t>Insight iXlW00001C0001504R0585476093S00003006P00892LAocjBAQBF1NjaVRlZ2ljLmRhdGEuTW9sZWN1bGUBbwF/ARJTY2lUZWdpYy5Nb2xlY3VsZQAAAQFkAv5qAQAAAAIAAiwYAAAA/PwA/AACAAAAAAAA8L8CHqfoSC7/0T8CNYC3QILiz78AAAAAGAAAAPz8APwAAgAAAAAAAPC/Ah6n6Egu/9E/AvMf0m9fB+g/AAAAABgAAAD8/AD8AAIAAAAAAADwvwLWxW00gLfzPwIkufyH9NvhvwAAAAAcAAAA/PwA/AACAAAAAAAA8L8C1sVtNIC38z8ChXzQs1n18D8AAAAAHAAAAPz8APwAAgAAAAAAAPC/AvRsVn2utuK/AvoP6bevA/Q/AAAAABgAAAD8/AD8AAIAAAAAAADwvwL0bFZ9rrbivwIN4C2QoPjnvwAAAAAcAAAA/PwA/AACAAAAAAAA8L8CkDF3LSEf/T8C5j+k374O0D8AAAAAGAAAAPz8APwAAgAAAAAAAPC/AryWkA96Nve/AjWAt0CC4s+/AAAAABgAAAD8/AD8AAIAAAAAAADwvwK8lpAPejb3vwLzH9JvXwfoPwAAAAAcAAAA/PwA/AACAAAAAAAA8L8Ct9EA3gKJAsACDeAtkKD4578AAAAAGAAAAPz8APwAAgAAAAAAAPC/AmIyVTAqqfg/AjBMpgpGJfi/AAAAADAEAAFlCAgAAAAAAAAACAABZQQAAAAAAAAAAAwEAWUEAAAAAAAAAAAQBAFlBAAAAAAAAAAAFAABZQQAAAAAAAAAABgIAWUICAAAAAAAAAAcFAFlCAgAAAAAAAAAIBwBZQQAAAAAAAAAACQcAWUEAAAAAAAAAAAMGAFlBAAAAAAAAAAAECABZQgIAAAAAAAAAAgoAWUEAAAAAAAAAAAAAAAA</t>
        </r>
      </text>
    </comment>
    <comment ref="A1505" authorId="0" shapeId="0" xr:uid="{339AE066-A625-40BF-B677-CBC6497A446D}">
      <text>
        <r>
          <rPr>
            <sz val="9"/>
            <color indexed="81"/>
            <rFont val="MS P ゴシック"/>
            <family val="3"/>
            <charset val="128"/>
          </rPr>
          <t>Insight iXlW00001C0001505R0585476093S00003008P01124LAocjBAQBF1NjaVRlZ2ljLmRhdGEuTW9sZWN1bGUBbwF/ARJTY2lUZWdpYy5Nb2xlY3VsZQAAAQFkAv5qAQAAAAIAAjgYAAAA/PwA/AACAAAAAAAA8L8CJQaBlUOLvL8CseHplbIM0T8AAAAAGAAAAPz8APwAAgAAAAAAAPC/AiUGgZVDi7y/Amx4eqUsQ/Q/AAAAABgAAAD8/AD8AAIAAAAAAADwvwJZF7fRAN7qPwLkg57Nqs+lvwAAAAAcAAAA/PwA/AACAAAAAAAA8L8CWRe30QDe6j8C+ORhodY0+T8AAAAAHAAAAPz8APwAAgAAAAAAAPC/Amb35GGh1vY/Atnw9EpZhug/AAAAABwAAAD8/AD8AAIAAAAAAADwvwJI4XoUrkfvvwJteHqlLEP8PwAAAAAYAAAA/PwA/AACAAAAAAAA8L8CSOF6FK5H778Cnzws1Jrmzb8AAAAAGAAAAPz8APwAAgAAAAAAAPC/AubQItv5fv2/ArHh6ZWyDNE/AAAAABgAAAD8/AD8AAIAAAAAAADwvwLm0CLb+X79vwJseHqlLEP0PwAAAAAcAAAA/PwA/AACAAAAAAAA8L8CzO7Jw0KtBcACnzws1Jrmzb8AAAAAGAAAAPz8APwAAgAAAAAAAPC/Ajj4wmSqYPI/AnrHKTqSy++/AAAAABgAAAD8/AD8AAIAAAAAAADwvwJwXwfOGVEAQAKaCBueXin3vwAAAAAYAAAA/PwA/AACAAAAAAAA8L8CA5oIG55e+T8CoWez6nO1AsAAAAAAGAAAAPz8APwAAgAAAAAAAPC/ArWmeccpOuY/AmWqYFRSJ/6/AAAAAAEQBAABZQgIAAAAAAAAAAgAAWUEAAAAAAAAAAAMBAFlBAAAAAAAAAAAEAgBZQgIAAAAAAAAABQEAWUEAAAAAAAAAAAYAAFlBAAAAAAAAAAAHBgBZQgIAAAAAAAAACAcAWUEAAAAAAAAAAAkHAFlBAAAAAAAAAAADBABZQQAAAAAAAAAABQgAWUICAAAAAAAAAAIKAFlBAAAAAAAAAAAKCwBZQQAAAAAAAAAACwwAWUEAAAAAAAAAAAwNAFlBAAAAAAAAAAANCgBZQQAAAAAAAAAAAAAAAA=</t>
        </r>
      </text>
    </comment>
    <comment ref="A1506" authorId="0" shapeId="0" xr:uid="{8DC3DA03-302D-46A7-9A49-D7A55CB25B25}">
      <text>
        <r>
          <rPr>
            <sz val="9"/>
            <color indexed="81"/>
            <rFont val="MS P ゴシック"/>
            <family val="3"/>
            <charset val="128"/>
          </rPr>
          <t>Insight iXlW00001C0001506R0585476093S00003010P01104LAocjBAQBF1NjaVRlZ2ljLmRhdGEuTW9sZWN1bGUBbwF/ARJTY2lUZWdpYy5Nb2xlY3VsZQAAAQFkAv5qAQAAAAIAAjgcAAAA/PwA/AACAAAAAAAA8L8CXW3F/rJ79z8C6bevA+eM5D8AAAAAGAAAAPz8APwAAgAAAAAAAPC/ArWmeccpOrK/AqTfvg6cM8I/AAAAABgAAAD8/AD8AAIAAAAAAADwvwK1pnnHKTqyvwL129eBc0byPwAAAAAYAAAA/PwA/AACAAAAAAAA8L8CRwN4CyQo7D8CtoR80LNZxb8AAAAAHAAAAPz8APwAAgAAAAAAAPC/AkcDeAskKOw/AoBIv30dOPc/AAAAABwAAAD8/AD8AAIAAAAAAADwvwJa9bnaiv3tvwL129eBc0b6PwAAAAAYAAAA/PwA/AACAAAAAAAA8L8CWvW52or97b8CLpCg+DHm1r8AAAAAGAAAAPz8APwAAgAAAAAAAPC/Au9aQj7o2fy/AqTfvg6cM8I/AAAAABgAAAD8/AD8AAIAAAAAAADwvwLvWkI+6Nn8vwL129eBc0byPwAAAAAcAAAA/PwA/AACAAAAAAAA8L8CmN2Th4VaBcACLpCg+DHm1r8AAAAAGAAAAPz8APwAAgAAAAAAAPC/Ai9uowG8BfM/AjWAt0CC4vG/AAAAACQAAAD8/AD8AAIAAAAAAADwvwIfhetRuB4BQAJTJ6CJsOHpvwAAAAAkAAAA/PwA/AACAAAAAAAA8L8CK4cW2c739z8CIo51cRuNAMAAAAAAJAAAAPz8APwAAgAAAAAAAPC/Aoj029eBc84/AsDsnjws1Pa/AAAAADwEDAFlCAwAAAAAAAAACBABZQgMAAAAAAAAAAwAAWUEAAAAAAAAAAAQAAFlBAAAAAAAAAAAFAgBZQQAAAAAAAAAABgEAWUEAAAAAAAAAAAcGAFlCAwAAAAAAAAAIBQBZQgIAAAAAAAAACQcAWUEAAAAAAAAAAAECAFlBAAAAAAAAAAAHCABZQQAAAAAAAAAAAwoAWUEAAAAAAAAAAAoLAFlBAAAAAAAAAAAKDABZQQAAAAAAAAAACg0AWUEAAAAAAAAAAAAAAAA</t>
        </r>
      </text>
    </comment>
    <comment ref="A1507" authorId="0" shapeId="0" xr:uid="{9EDA2328-FA7C-4026-A902-67C889D48E7B}">
      <text>
        <r>
          <rPr>
            <sz val="9"/>
            <color indexed="81"/>
            <rFont val="MS P ゴシック"/>
            <family val="3"/>
            <charset val="128"/>
          </rPr>
          <t>Insight iXlW00001C0001507R0585476093S00003012P01052LAocjBAQBF1NjaVRlZ2ljLmRhdGEuTW9sZWN1bGUBbwF/ARJTY2lUZWdpYy5Nb2xlY3VsZQAAAQFkAv5qAQAAAAIAAjQYAAAA/PwA/AACAAAAAAAA8L8CyzLEsS7uAMACpAG8BRIU278AAAAAGAAAAPz8APwAAgAAAAAAAPC/AssyxLEu7gDAAi//If32deI/AAAAABwAAAD8/AD8AAIAAAAAAADwvwJTBaOSOgH0vwKX/5B++zrxPwAAAAAYAAAA/PwA/AACAAAAAAAA8L8CUwWjkjoB9L8C0gDeAgmK7b8AAAAAHAAAAPz8APwAAgAAAAAAAPC/AkeU9gZfmNi/AqQBvAUSFNu/AAAAABgAAAD8/AD8AAIAAAAAAADwvwJHlPYGX5jYvwIv/yH99nXiPwAAAAAYAAAA/PwA/AACAAAAAAAA8L8C++3rwDkj4j8CRdjw9EpZ7D8AAAAAGAAAAPz8APwAAgAAAAAAAPC/Ardif9k9efI/AnP5D+m3r7M/AAAAABwAAAD8/AD8AAIAAAAAAADwvwL77evAOSPiPwLp2az6XG3nvwAAAAAcAAAA/PwA/AACAAAAAAAA8L8C6+I2GsDbB8AC0gDeAgmK7b8AAAAAGAAAAPz8APwAAgAAAAAAAPC/Alyxv+yePAFAAnP5D+m3r7M/AAAAABgAAAD8/AD8AAIAAAAAAADwvwJ8YTJVMCoIQAKkAbwFEhTbvwAAAAAYAAAA/PwA/AACAAAAAAAA8L8CfGEyVTAqCEACL/8h/fZ14j8AAAAAPAAEAWUEAAAAAAAAAAAADAFlCAgAAAAAAAAABAgBZQgIAAAAAAAAAAgUAWUEAAAAAAAAAAAQDAFlBAAAAAAAAAAAEBQBZQQAAAAAAAAAABQYAWUIDAAAAAAAAAAYHAFlBAAAAAAAAAAAHCABZQgIAAAAAAAAACAQAWUEAAAAAAAAAAAAJAFlBAAAAAAAAAAAHCgBZQQAAAAAAAAAACwoAWUEAAAAAAAAAAAwLAFlBAAAAAAAAAAAKDABZQQAAAAAAAAAAAAAAAA=</t>
        </r>
      </text>
    </comment>
    <comment ref="A1508" authorId="0" shapeId="0" xr:uid="{7B912CC9-B624-486D-9634-C7F32E118CFF}">
      <text>
        <r>
          <rPr>
            <sz val="9"/>
            <color indexed="81"/>
            <rFont val="MS P ゴシック"/>
            <family val="3"/>
            <charset val="128"/>
          </rPr>
          <t>Insight iXlW00001C0001508R0585476093S00003014P01104LAocjBAQBF1NjaVRlZ2ljLmRhdGEuTW9sZWN1bGUBbwF/ARJTY2lUZWdpYy5Nb2xlY3VsZQAAAQFkAv5qAQAAAAIAAjgYAAAA/PwA/AACAAAAAAAA8L8CDr4wmSqYAMACt9EA3gIJ5D8AAAAAGAAAAPz8APwAAgAAAAAAAPC/Ag6+MJkqmADAApJc/kP67de/AAAAABgAAAD8/AD8AAIAAAAAAADwvwLbG3xhMlXzvwJJLv8h/fbrvwAAAAAYAAAA/PwA/AACAAAAAAAA8L8C2xt8YTJV878C3GgAb4EE8j8AAAAAGAAAAPz8APwAAgAAAAAAAPC/AmPuWkI+6NW/ArfRAN4CCeQ/AAAAABgAAAD8/AD8AAIAAAAAAADwvwJj7lpCPujVvwKSXP5D+u3XvwAAAAAYAAAA/PwA/AACAAAAAAAA8L8CNKK0N/jC4D8CSS7/If32678AAAAAGAAAAPz8APwAAgAAAAAAAPC/Alyxv+yePPY/ApJc/kP67de/AAAAABwAAAD8/AD8AAIAAAAAAADwvwJcsb/snjz2PwK30QDeAgnkPwAAAAAYAAAA/PwA/AACAAAAAAAA8L8CNKK0N/jC4D8C3GgAb4EE8j8AAAAAIAAAAPz8APwAAgAAAAAAAPC/Ahb7y+7Jw+A/Am40gLdAAgFAAAAAABgAAAD8/AD8AAIAAAAAAADwvwJXfa62Yv8CQAKrYFRSJ6DJvwAAAAAYAAAA/PwA/AACAAAAAAAA8L8CEhQ/xty1+z8Ca7x0kxgE9b8AAAAAHAAAAPz8APwAAgAAAAAAAPC/AtsbfGEyVfO/AiWX/5B++/2/AAAAADwABAFlBAAAAAAAAAAABAgBZQgIAAAAAAAAAAgUAWUEAAAAAAAAAAAQDAFlBAAAAAAAAAAADAABZQgIAAAAAAAAABAUAWUICAAAAAAAAAAQJAFlBAAAAAAAAAAAFBgBZQQAAAAAAAAAABgcAWUEAAAAAAAAAAAcIAFlBAAAAAAAAAAAICQBZQQAAAAAAAAAACQoAWUIAAAAAAAAAAAcLAFlBAAAAAAAAAAAHDABZQQAAAAAAAAAAAg0AWUEAAAAAAAAAAAAAAAA</t>
        </r>
      </text>
    </comment>
    <comment ref="A1509" authorId="0" shapeId="0" xr:uid="{DB3E0E81-DB4E-41C0-817B-26C5F0FEB74F}">
      <text>
        <r>
          <rPr>
            <sz val="9"/>
            <color indexed="81"/>
            <rFont val="MS P ゴシック"/>
            <family val="3"/>
            <charset val="128"/>
          </rPr>
          <t>Insight iXlW00001C0001509R0585476093S00003016P01412LAocjBAQBF1NjaVRlZ2ljLmRhdGEuTW9sZWN1bGUBbwF/ARJTY2lUZWdpYy5Nb2xlY3VsZQAAAQFkAv5qAQAAAAIAAgESGAAAAPz8APwAAgAAAAAAAPC/ApVliGNd3OQ/AgJNhA1Pr+Q/AAAAABgAAAD8/AD8AAIAAAAAAADwvwL/If32deDUvwKq8dJNYhDcPwAAAAAYAAAA/PwA/AACAAAAAAAA8L8Cfq62Yn/Z778C8kHPZtXn8j8AAAAAHAAAAPz8APwAAgAAAAAAAPC/Akku/yH99uW/AgFvgQTFDwFAAAAAABgAAAD8/AD8AAIAAAAAAADwvwKXkA96NqvSPwIMJCh+jLkCQAAAAAAYAAAA/PwA/AACAAAAAAAA8L8CrD5XW7G/7j8CkML1KFyP+T8AAAAAGAAAAPz8APwAAgAAAAAAAPC/AjZeukkMAtu/AspUwaikTv2/AAAAABgAAAD8/AD8AAIAAAAAAADwvwLRItv5fmrcPwJlqmBUUqcCwAAAAAAYAAAA/PwA/AACAAAAAAAA8L8C9ihcj8L19D8CylTBqKRO/b8AAAAAGAAAAPz8APwAAgAAAAAAAPC/AjZeukkMAtu/ApOpglFJneq/AAAAABgAAAD8/AD8AAIAAAAAAADwvwLRItv5fmrcPwImUwWjkjrVvwAAAAAYAAAA/PwA/AACAAAAAAAA8L8C9ihcj8L19D8Ck6mCUUmd6r8AAAAAIAAAAPz8APwAAgAAAAAAAPC/AnctIR/0bABAAlUwKqkT0MS/AAAAABgAAAD8/AD8AAIAAAAAAADwvwKBJsKGp1f6PwLVeOkmMQjoPwAAAAAYAAAA/PwA/AACAAAAAAAA8L8Cz/dT46Wb9L8CJlMFo5I61b8AAAAAJAAAAPz8APwAAgAAAAAAAPC/As/3U+Olm/y/Agu1pnnHKfO/AAAAACQAAAD8/AD8AAIAAAAAAADwvwIIrBxaZDsBwAK0WfW52orFPwAAAAAkAAAA/PwA/AACAAAAAAAA8L8CXW3F/rJ78L8CzV1LyAc92z8AAAAAARQABAFlBAAAAAAAAAAAABQBZQQAAAAAAAAAAAQIAWUEAAAAAAAAAAAIDAFlBAAAAAAAAAAADBABZQQAAAAAAAAAABAUAWUEAAAAAAAAAAAYHAFlCAgAAAAAAAAAHCABZQQAAAAAAAAAACAsAWUICAAAAAAAAAAoJAFlCAgAAAAAAAAAJBgBZQQAAAAAAAAAACgsAWUEAAAAAAAAAAAsMAFlBAAAAAAAAAAAMDQBZQQAAAAAAAAAADQAAWUEAAAAAAAAAAAAKAFlBAAAAAAAAAAAJDgBZQQAAAAAAAAAADg8AWUEAAAAAAAAAAA4ARABZQQAAAAAAAAAADgBEQFlBAAAAAAAAAAAAAAAAA==</t>
        </r>
      </text>
    </comment>
    <comment ref="A1510" authorId="0" shapeId="0" xr:uid="{19721ADC-E4D0-418E-88A0-5FB3B59D48E1}">
      <text>
        <r>
          <rPr>
            <sz val="9"/>
            <color indexed="81"/>
            <rFont val="MS P ゴシック"/>
            <family val="3"/>
            <charset val="128"/>
          </rPr>
          <t>Insight iXlW00001C0001510R0585476093S00003018P01252LAocjBAQBF1NjaVRlZ2ljLmRhdGEuTW9sZWN1bGUBbwF/ARJTY2lUZWdpYy5Nb2xlY3VsZQAAAQFkAv5qAQAAAAIAAgEQAREAAAD8/AD8AAIAAAAAAADwvwL45GGh1jTfvwLRItv5fmr5PwAAAAAYAAAA/PwA/AACAAAAAAAA8L8CD5wzorQ32D8C0SLb+X5q8T8AAAAAGAAAAPz8APwAAgAAAAAAAPC/AkVHcvkP6fM/AtEi2/l+avk/AAAAABgAAAD8/AD8AAIAAAAAAADwvwLE0ytlGeIAQAJCz2bV52rxPwAAAAAYAAAA/PwA/AACAAAAAAAA8L8CxNMrZRniAEACH/RsVn2utj8AAAAAGAAAAPz8APwAAgAAAAAAAPC/AkVHcvkP6fM/AvnCZKpgVNq/AAAAABgAAAD8/AD8AAIAAAAAAADwvwIv3SQGgZXwPwIIrBxaZDv2vwAAAAAgAAAA/PwA/AACAAAAAAAA8L8CPb1SliGOpT8C8kHPZtXn978AAAAAGAAAAPz8APwAAgAAAAAAAPC/AtQrZRniWNe/AtzXgXNGlOK/AAAAABgAAAD8/AD8AAIAAAAAAADwvwJDrWnecYrwvwJ2cRsN4C31vwAAAAAYAAAA/PwA/AACAAAAAAAA8L8Cf2q8dJMYAMAC0bNZ9bna8b8AAAAAHAAAAPz8APwAAgAAAAAAAPC/Av32deCckQLAAg6+MJkqGMW/AAAAABgAAAD8/AD8AAIAAAAAAADwvwI830+Nl276vwKM22gAb4HiPwAAAAAYAAAA/PwA/AACAAAAAAAA8L8CAW+BBMWP5b8Cvw6cM6K01z8AAAAAGAAAAPz8APwAAgAAAAAAAPC/Ag+cM6K0N9g/Ah/0bFZ9rrY/AAAAAAERAAAA/PwA/AACAAAAAAAA8L8CKjqSy39IB0AC7Q2+MJkqqD8AAAAAAREABAFlBAAAAAAAAAAABAgBZQQAAAAAAAAAAAgMAWUICAAAAAAAAAAMEAFlBAAAAAAAAAAAEBQBZQgMAAAAAAAAABQYAWUEAAAAAAAAAAAYHAFlBAAAAAAAAAAAHCABZQQAAAAAAAAAACAkAWUEAAAAAAAAAAAkKAFlBAAAAAAAAAAAKCwBZQQAAAAAAAAAACwwAWUEAAAAAAAAAAAwNAFlBAAAAAAAAAAANCABZQQAAAAAAAAAACA4AWUEAAAAAAAAAAA4BAFlCAgAAAAAAAAAOBQBZQQAAAAAAAAAAAAAAAA=</t>
        </r>
      </text>
    </comment>
    <comment ref="A1511" authorId="0" shapeId="0" xr:uid="{F4282B6E-0D65-4D17-AEE2-AF9582C3B974}">
      <text>
        <r>
          <rPr>
            <sz val="9"/>
            <color indexed="81"/>
            <rFont val="MS P ゴシック"/>
            <family val="3"/>
            <charset val="128"/>
          </rPr>
          <t>Insight iXlW00001C0001511R0585476093S00003020P01036LAocjBAQBF1NjaVRlZ2ljLmRhdGEuTW9sZWN1bGUBbwF/ARJTY2lUZWdpYy5Nb2xlY3VsZQAAAQFkAv5qAQAAAAIAAjQYAAAA/PwA/AACAAAAAAAA8L8CoBov3SQGsb8CXLG/7J48978AAAAAGAAAAPz8APwAAgAAAAAAAPC/Am8Sg8DKodE/Akm/fR04Z+C/AAAAABgAAAD8/AD8AAIAAAAAAADwvwJtVn2utmLtPwK+UpYhjnX0vwAAAAAYAAAA/PwA/AACAAAAAAAA8L8CTYQNT6+UAsACuECC4seY7z8AAAAAGAAAAPz8APwAAgAAAAAAAPC/Ak2EDU+vlALAAiDSb18Hzom/AAAAABgAAAD8/AD8AAIAAAAAAADwvwJZqDXNO073vwJJv30dOGfgvwAAAAAYAAAA/PwA/AACAAAAAAAA8L8CLpCg+DHm4r8CINJvXwfOib8AAAAAGAAAAPz8APwAAgAAAAAAAPC/Ai6QoPgx5uK/ArhAguLHmO8/AAAAABgAAAD8/AD8AAIAAAAAAADwvwJZqDXNO073vwJcIEHxY8z3PwAAAAAYAAAA/PwA/AACAAAAAAAA8L8CbVZ9rrZi7T8CD5wzorQ30D8AAAAAGAAAAPz8APwAAgAAAAAAAPC/AhdIUPwYc/4/AlqGONbFbbQ/AAAAACAAAAD8/AD8AAIAAAAAAADwvwIv/yH99vUBQAKjkjoBTYTrvwAAAAAgAAAA/PwA/AACAAAAAAAA8L8CWRe30QBeBEACG55eKcsQ6z8AAAAAOAQAAWUEAAAAAAAAAAAIBAFlBAAAAAAAAAAADBABZQgIAAAAAAAAABAUAWUEAAAAAAAAAAAUGAFlCAgAAAAAAAAAGBwBZQQAAAAAAAAAABwgAWUICAAAAAAAAAAgDAFlBAAAAAAAAAAAGAQBZQQAAAAAAAAAAAQkAWUEAAAAAAAAAAAkKAFlBAAAAAAAAAAAKCwBZQQAAAAAAAAAACgwAWUIAAAAAAAAAAAIAAFlBAAAAAAAAAAAAAAAAA==</t>
        </r>
      </text>
    </comment>
    <comment ref="A1512" authorId="0" shapeId="0" xr:uid="{0C66874B-9BB0-4463-B82D-C40E8FEFF8ED}">
      <text>
        <r>
          <rPr>
            <sz val="9"/>
            <color indexed="81"/>
            <rFont val="MS P ゴシック"/>
            <family val="3"/>
            <charset val="128"/>
          </rPr>
          <t>Insight iXlW00001C0001512R0585476093S00003022P01108LAocjBAQBF1NjaVRlZ2ljLmRhdGEuTW9sZWN1bGUBbwF/ARJTY2lUZWdpYy5Nb2xlY3VsZQAAAQFkAv5qAQAAAAIAAjgYAAAA/PwA/AACAAAAAAAA8L8CQxzr4jYa4D8CPnlYqDXN478AAAAAGAAAAPz8APwAAgAAAAAAAPC/AuC+DpwzosQ/AlYOLbKd7/i/AAAAABgAAAD8/AD8AAIAAAAAAADwvwJSSZ2AJsIAwALgLZCg+DHsPwAAAAAYAAAA/PwA/AACAAAAAAAA8L8CUkmdgCbCAMACAJF++zpwvr8AAAAAGAAAAPz8APwAAgAAAAAAAPC/AmIyVTAqqfO/Aj55WKg1zeO/AAAAABgAAAD8/AD8AAIAAAAAAADwvwKASL99HTjXvwLvycNCrWm+vwAAAAAYAAAA/PwA/AACAAAAAAAA8L8CgEi/fR04178Cw4anV8oy7D8AAAAAGAAAAPz8APwAAgAAAAAAAPC/AmIyVTAqqfO/AvAWSFD8GPY/AAAAABgAAAD8/AD8AAIAAAAAAADwvwK9dJMYBFbyPwJIUPwYc9fCPwAAAAAYAAAA/PwA/AACAAAAAAAA8L8Cz4jS3uALAUACikFg5dAim78AAAAAIAAAAPz8APwAAgAAAAAAAPC/AvJjzF1LyANAAplMFYxK6u6/AAAAACAAAAD8/AD8AAIAAAAAAADwvwIcfGEyVTAGQAIm5IOezarnPwAAAAABIwAAAPz8APwAAgAAAAAAAPC/AnP5D+m3rwfAAvAWSFD8GPY/AAAAABgAAAD8/AD8AAIAAAAAAADwvwK9dJMYBFbyPwK4rwPnjCj2vwAAAAA8ADQBZQQAAAAAAAAAAAQAAWUEAAAAAAAAAAAIDAFlCAgAAAAAAAAADBABZQQAAAAAAAAAABAUAWUICAAAAAAAAAAUGAFlBAAAAAAAAAAAGBwBZQgIAAAAAAAAABwIAWUEAAAAAAAAAAAUAAFlBAAAAAAAAAAAACABZQQAAAAAAAAAACAkAWUEAAAAAAAAAAAkKAFlBAAAAAAAAAAAJCwBZQgAAAAAAAAAAAgwAWUEAAAAAAAAAAAENAFlBAAAAAAAAAAAAAAAAA==</t>
        </r>
      </text>
    </comment>
    <comment ref="A1513" authorId="0" shapeId="0" xr:uid="{B1EAE715-7AD9-42C3-9E27-2053E0A18038}">
      <text>
        <r>
          <rPr>
            <sz val="9"/>
            <color indexed="81"/>
            <rFont val="MS P ゴシック"/>
            <family val="3"/>
            <charset val="128"/>
          </rPr>
          <t>Insight iXlW00001C0001513R0585476093S00003024P01252LAocjBAQBF1NjaVRlZ2ljLmRhdGEuTW9sZWN1bGUBbwF/ARJTY2lUZWdpYy5Nb2xlY3VsZQAAAQFkAv5qAQAAAAIAAgEQGAAAAPz8APwAAgAAAAAAAPC/AvjkYaHWNN+/AtEi2/l+avk/AAAAABgAAAD8/AD8AAIAAAAAAADwvwIPnDOitDfYPwLRItv5fmrxPwAAAAAYAAAA/PwA/AACAAAAAAAA8L8CRUdy+Q/p8z8C0SLb+X5q+T8AAAAAGAAAAPz8APwAAgAAAAAAAPC/AsTTK2UZ4gBAAkLPZtXnavE/AAAAABgAAAD8/AD8AAIAAAAAAADwvwLE0ytlGeIAQAIf9GxWfa62PwAAAAAYAAAA/PwA/AACAAAAAAAA8L8CRUdy+Q/p8z8C+cJkqmBU2r8AAAAAGAAAAPz8APwAAgAAAAAAAPC/Ai/dJAaBlfA/AgisHFpkO/a/AAAAACAAAAD8/AD8AAIAAAAAAADwvwI9vVKWIY6lPwLyQc9m1ef3vwAAAAAYAAAA/PwA/AACAAAAAAAA8L8C1CtlGeJY178C3NeBc0aU4r8AAAAAGAAAAPz8APwAAgAAAAAAAPC/AkOtad5xivC/AnZxGw3gLfW/AAAAABgAAAD8/AD8AAIAAAAAAADwvwJ/arx0kxgAwALRs1n1udrxvwAAAAAcAAAA/PwA/AACAAAAAAAA8L8C/fZ14JyRAsACDr4wmSoYxb8AAAAAGAAAAPz8APwAAgAAAAAAAPC/AjzfT42Xbvq/AozbaABvgeI/AAAAABgAAAD8/AD8AAIAAAAAAADwvwIBb4EExY/lvwK/DpwzorTXPwAAAAAYAAAA/PwA/AACAAAAAAAA8L8CD5wzorQ32D8CH/RsVn2utj8AAAAAAREAAAD8/AD8AAIAAAAAAADwvwIqOpLLf0gHQALtDb4wmSqoPwAAAAABEQAEAWUEAAAAAAAAAAAECAFlBAAAAAAAAAAACAwBZQgIAAAAAAAAAAwQAWUEAAAAAAAAAAAQFAFlCAwAAAAAAAAAFBgBZQQAAAAAAAAAABgcAWUEAAAAAAAAAAAcIAFlBAAAAAAAAAAAICQBZQQAAAAAAAAAACQoAWUEAAAAAAAAAAAoLAFlBAAAAAAAAAAALDABZQQAAAAAAAAAADA0AWUEAAAAAAAAAAA0IAFlBAAAAAAAAAAAIDgBZQQAAAAAAAAAADgEAWUICAAAAAAAAAA4FAFlBAAAAAAAAAAAAAAAAA==</t>
        </r>
      </text>
    </comment>
    <comment ref="A1514" authorId="0" shapeId="0" xr:uid="{3484E8DF-5D10-4140-82A1-5B12FBAC6B6E}">
      <text>
        <r>
          <rPr>
            <sz val="9"/>
            <color indexed="81"/>
            <rFont val="MS P ゴシック"/>
            <family val="3"/>
            <charset val="128"/>
          </rPr>
          <t>Insight iXlW00001C0001514R0585476093S00003026P01176LAocjBAQBF1NjaVRlZ2ljLmRhdGEuTW9sZWN1bGUBbwF/ARJTY2lUZWdpYy5Nb2xlY3VsZQAAAQFkAv5qAQAAAAIAAjwYAAAA/PwA/AACAAAAAAAA8L8CT9GRXP5D6D8CkKD4Meau5b8AAAAAGAAAAPz8APwAAgAAAAAAAPC/AobJVMGopNo/Ao51cRsN4Pm/AAAAABgAAAD8/AD8AAIAAAAAAADwvwIeOGdEaW/9vwJwXwfOGVHqPwAAAAAYAAAA/PwA/AACAAAAAAAA8L8CHjhnRGlv/b8CQYLix5i7xr8AAAAAGAAAAPz8APwAAgAAAAAAAPC/ArivA+eMKO+/ApCg+DHmruW/AAAAABgAAAD8/AD8AAIAAAAAAADwvwKneccpOpK7vwJBguLHmLvGvwAAAAAYAAAA/PwA/AACAAAAAAAA8L8Cp3nHKTqSu78CcF8HzhlR6j8AAAAAGAAAAPz8APwAAgAAAAAAAPC/ArivA+eMKO+/ArivA+eMKPU/AAAAABgAAAD8/AD8AAIAAAAAAADwvwJCz2bV52r2PwIPLbKd76e2PwAAAAAYAAAA/PwA/AACAAAAAAAA8L8CETY8vVIWA0AC5IOezarPtb8AAAAAIAAAAPz8APwAAgAAAAAAAPC/Am3n+6nx0gVAAva52or9ZfC/AAAAACAAAAD8/AD8AAIAAAAAAADwvwJfKcsQxzoIQALUvOMUHcnlPwAAAAAgAAAA/PwA/AACAAAAAAAA8L8CMEymCkalBcACuK8D54wo9T8AAAAAGAAAAPz8APwAAgAAAAAAAPC/AonS3uALkwzAAnBfB84ZUeo/AAAAABgAAAD8/AD8AAIAAAAAAADwvwJCz2bV52r2PwLwFkhQ/Bj3vwAAAAABEAA4AWUEAAAAAAAAAAAEAAFlBAAAAAAAAAAACAwBZQgIAAAAAAAAAAwQAWUEAAAAAAAAAAAQFAFlCAgAAAAAAAAAFBgBZQQAAAAAAAAAABgcAWUICAAAAAAAAAAcCAFlBAAAAAAAAAAAFAABZQQAAAAAAAAAAAAgAWUEAAAAAAAAAAAgJAFlBAAAAAAAAAAAJCgBZQQAAAAAAAAAACQsAWUIAAAAAAAAAAAIMAFlBAAAAAAAAAAAMDQBZQQAAAAAAAAAAAQ4AWUEAAAAAAAAAAAAAAAA</t>
        </r>
      </text>
    </comment>
    <comment ref="A1515" authorId="0" shapeId="0" xr:uid="{AC71FC7A-A88C-4109-BA4F-63FA32EBF435}">
      <text>
        <r>
          <rPr>
            <sz val="9"/>
            <color indexed="81"/>
            <rFont val="MS P ゴシック"/>
            <family val="3"/>
            <charset val="128"/>
          </rPr>
          <t>Insight iXlW00001C0001515R0585476093S00003028P01104LAocjBAQBF1NjaVRlZ2ljLmRhdGEuTW9sZWN1bGUBbwF/ARJTY2lUZWdpYy5Nb2xlY3VsZQAAAQFkAv5qAQAAAAIAAjgYAAAA/PwA/AACAAAAAAAA8L8CDr4wmSqYAMAC1LzjFB3J1b8AAAAAGAAAAPz8APwAAgAAAAAAAPC/Ag6+MJkqmADAApchjnVxG+U/AAAAABgAAAD8/AD8AAIAAAAAAADwvwLbG3xhMlXzvwLLEMe6uI3yPwAAAAAYAAAA/PwA/AACAAAAAAAA8L8C2xt8YTJV878Cat5xio7k6r8AAAAAGAAAAPz8APwAAgAAAAAAAPC/AmPuWkI+6NW/AtS84xQdydW/AAAAABgAAAD8/AD8AAIAAAAAAADwvwJj7lpCPujVvwKXIY51cRvlPwAAAAAYAAAA/PwA/AACAAAAAAAA8L8CNKK0N/jC4D8CyxDHuriN8j8AAAAAGAAAAPz8APwAAgAAAAAAAPC/Alyxv+yePPY/ApchjnVxG+U/AAAAABwAAAD8/AD8AAIAAAAAAADwvwJcsb/snjz2PwLUvOMUHcnVvwAAAAAYAAAA/PwA/AACAAAAAAAA8L8CNKK0N/jC4D8Cat5xio7k6r8AAAAAIAAAAPz8APwAAgAAAAAAAPC/Ahb7y+7Jw+A/AjXvOEVHcv2/AAAAABgAAAD8/AD8AAIAAAAAAADwvwISFD/G3LX7PwKD4seYu5b5PwAAAAAYAAAA/PwA/AACAAAAAAAA8L8CV32utmL/AkAC8BZIUPwY3z8AAAAAHAAAAPz8APwAAgAAAAAAAPC/AtsbfGEyVfO/AjXvOEVHcv2/AAAAADwABAFlCAgAAAAAAAAABAgBZQQAAAAAAAAAAAgUAWUICAAAAAAAAAAQDAFlCAgAAAAAAAAADAABZQQAAAAAAAAAABAUAWUEAAAAAAAAAAAQJAFlBAAAAAAAAAAAFBgBZQQAAAAAAAAAABgcAWUEAAAAAAAAAAAcIAFlBAAAAAAAAAAAICQBZQQAAAAAAAAAACQoAWUIAAAAAAAAAAAcLAFlBAAAAAAAAAAAHDABZQQAAAAAAAAAAAw0AWUEAAAAAAAAAAAAAAAA</t>
        </r>
      </text>
    </comment>
    <comment ref="A1516" authorId="0" shapeId="0" xr:uid="{68378882-81D3-4F56-9E0A-7D9C51BAC61E}">
      <text>
        <r>
          <rPr>
            <sz val="9"/>
            <color indexed="81"/>
            <rFont val="MS P ゴシック"/>
            <family val="3"/>
            <charset val="128"/>
          </rPr>
          <t>Insight iXlW00001C0001516R0585476093S00003030P01108LAocjBAQBF1NjaVRlZ2ljLmRhdGEuTW9sZWN1bGUBbwF/ARJTY2lUZWdpYy5Nb2xlY3VsZQAAAQFkAv5qAQAAAAIAAjgYAAAA/PwA/AACAAAAAAAA8L8C4L4OnDOixD8CVg4tsp3v+L8AAAAAGAAAAPz8APwAAgAAAAAAAPC/AkMc6+I2GuA/Aj55WKg1zeO/AAAAABgAAAD8/AD8AAIAAAAAAADwvwK9dJMYBFbyPwK4rwPnjCj2vwAAAAAYAAAA/PwA/AACAAAAAAAA8L8CUkmdgCbCAMAC4C2QoPgx7D8AAAAAGAAAAPz8APwAAgAAAAAAAPC/AlJJnYAmwgDAAgCRfvs6cL6/AAAAABgAAAD8/AD8AAIAAAAAAADwvwJiMlUwKqnzvwI+eVioNc3jvwAAAAAYAAAA/PwA/AACAAAAAAAA8L8CgEi/fR04178C78nDQq1pvr8AAAAAGAAAAPz8APwAAgAAAAAAAPC/AoBIv30dONe/AsOGp1fKMuw/AAAAABgAAAD8/AD8AAIAAAAAAADwvwJiMlUwKqnzvwLwFkhQ/Bj2PwAAAAAYAAAA/PwA/AACAAAAAAAA8L8CvXSTGARW8j8CSFD8GHPXwj8AAAAAGAAAAPz8APwAAgAAAAAAAPC/As+I0t7gCwFAAopBYOXQIpu/AAAAACAAAAD8/AD8AAIAAAAAAADwvwLyY8xdS8gDQAKZTBWMSuruvwAAAAAgAAAA/PwA/AACAAAAAAAA8L8CHHxhMlUwBkACJuSDns2q5z8AAAAAAREAAAD8/AD8AAIAAAAAAADwvwJz+Q/pt68HwALwFkhQ/Bj2PwAAAAA8BAABZQQAAAAAAAAAAAgEAWUEAAAAAAAAAAAMEAFlCAgAAAAAAAAAEBQBZQQAAAAAAAAAABQYAWUICAAAAAAAAAAYHAFlBAAAAAAAAAAAHCABZQgIAAAAAAAAACAMAWUEAAAAAAAAAAAYBAFlBAAAAAAAAAAABCQBZQQAAAAAAAAAACQoAWUEAAAAAAAAAAAoLAFlBAAAAAAAAAAAKDABZQgAAAAAAAAAAAw0AWUEAAAAAAAAAAAIAAFlBAAAAAAAAAAAAAAAAA==</t>
        </r>
      </text>
    </comment>
    <comment ref="A1517" authorId="0" shapeId="0" xr:uid="{06F1DBB1-1D08-4F4B-9B4E-8F281752DE2C}">
      <text>
        <r>
          <rPr>
            <sz val="9"/>
            <color indexed="81"/>
            <rFont val="MS P ゴシック"/>
            <family val="3"/>
            <charset val="128"/>
          </rPr>
          <t>Insight iXlW00001C0001517R0585476093S00003032P01108LAocjBAQBF1NjaVRlZ2ljLmRhdGEuTW9sZWN1bGUBbwF/ARJTY2lUZWdpYy5Nb2xlY3VsZQAAAQFkAv5qAQAAAAIAAjgYAAAA/PwA/AACAAAAAAAA8L8CQxzr4jYa4D8CEVg5tMh23r8AAAAAGAAAAPz8APwAAgAAAAAAAPC/AuC+DpwzosQ/ArsnDwu1pva/AAAAABgAAAD8/AD8AAIAAAAAAADwvwJSSZ2AJsIAwAL8qfHSTWLwPwAAAAAYAAAA/PwA/AACAAAAAAAA8L8CUkmdgCbCAMAC+n5qvHSTmD8AAAAAGAAAAPz8APwAAgAAAAAAAPC/AmIyVTAqqfO/AhFYObTIdt6/AAAAABgAAAD8/AD8AAIAAAAAAADwvwKASL99HTjXvwL6fmq8dJOYPwAAAAAYAAAA/PwA/AACAAAAAAAA8L8CgEi/fR04178C/Knx0k1i8D8AAAAAGAAAAPz8APwAAgAAAAAAAPC/AmIyVTAqqfO/Avyp8dJNYvg/AAAAABgAAAD8/AD8AAIAAAAAAADwvwK9dJMYBFbyPwJUdCSX/5DSPwAAAAAYAAAA/PwA/AACAAAAAAAA8L8Cz4jS3uALAUACXCBB8WPMvT8AAAAAIAAAAPz8APwAAgAAAAAAAPC/AvJjzF1LyANAAmN/2T15WOq/AAAAACAAAAD8/AD8AAIAAAAAAADwvwIcfGEyVTAGQAI+CtejcD3sPwAAAAABIwAAAPz8APwAAgAAAAAAAPC/AnP5D+m3rwfAAhFYObTIdt6/AAAAABgAAAD8/AD8AAIAAAAAAADwvwK9dJMYBFbyPwKsHFpkO9/zvwAAAAA8ADQBZQQAAAAAAAAAAAQAAWUEAAAAAAAAAAAIDAFlCAgAAAAAAAAADBABZQQAAAAAAAAAABAUAWUICAAAAAAAAAAUGAFlBAAAAAAAAAAAGBwBZQgIAAAAAAAAABwIAWUEAAAAAAAAAAAUAAFlBAAAAAAAAAAAACABZQQAAAAAAAAAACAkAWUEAAAAAAAAAAAkKAFlBAAAAAAAAAAAJCwBZQgAAAAAAAAAAAwwAWUEAAAAAAAAAAAENAFlBAAAAAAAAAAAAAAAAA==</t>
        </r>
      </text>
    </comment>
    <comment ref="A1518" authorId="0" shapeId="0" xr:uid="{47529808-074D-4D18-A254-0C6CB3075A6A}">
      <text>
        <r>
          <rPr>
            <sz val="9"/>
            <color indexed="81"/>
            <rFont val="MS P ゴシック"/>
            <family val="3"/>
            <charset val="128"/>
          </rPr>
          <t>Insight iXlW00001C0001518R0585476093S00003034P01104LAocjBAQBF1NjaVRlZ2ljLmRhdGEuTW9sZWN1bGUBbwF/ARJTY2lUZWdpYy5Nb2xlY3VsZQAAAQFkAv5qAQAAAAIAAjgYAAAA/PwA/AACAAAAAAAA8L8C4L4OnDOixD8CVg4tsp3v+L8AAAAAGAAAAPz8APwAAgAAAAAAAPC/AkMc6+I2GuA/Aj55WKg1zeO/AAAAABgAAAD8/AD8AAIAAAAAAADwvwK9dJMYBFbyPwK4rwPnjCj2vwAAAAAYAAAA/PwA/AACAAAAAAAA8L8CUkmdgCbCAMAC4C2QoPgx7D8AAAAAGAAAAPz8APwAAgAAAAAAAPC/AlJJnYAmwgDAAgCRfvs6cL6/AAAAABgAAAD8/AD8AAIAAAAAAADwvwJiMlUwKqnzvwI+eVioNc3jvwAAAAAYAAAA/PwA/AACAAAAAAAA8L8CgEi/fR04178C78nDQq1pvr8AAAAAGAAAAPz8APwAAgAAAAAAAPC/AoBIv30dONe/AsOGp1fKMuw/AAAAABgAAAD8/AD8AAIAAAAAAADwvwJiMlUwKqnzvwLwFkhQ/Bj2PwAAAAAYAAAA/PwA/AACAAAAAAAA8L8CvXSTGARW8j8CSFD8GHPXwj8AAAAAGAAAAPz8APwAAgAAAAAAAPC/As+I0t7gCwFAAopBYOXQIpu/AAAAACAAAAD8/AD8AAIAAAAAAADwvwLyY8xdS8gDQAKZTBWMSuruvwAAAAAgAAAA/PwA/AACAAAAAAAA8L8CHHxhMlUwBkACJuSDns2q5z8AAAAAGAAAAPz8APwAAgAAAAAAAPC/AnP5D+m3rwfAAvAWSFD8GPY/AAAAADwEAAFlBAAAAAAAAAAACAQBZQQAAAAAAAAAAAwQAWUICAAAAAAAAAAQFAFlBAAAAAAAAAAAFBgBZQgIAAAAAAAAABgcAWUEAAAAAAAAAAAcIAFlCAgAAAAAAAAAIAwBZQQAAAAAAAAAABgEAWUEAAAAAAAAAAAEJAFlBAAAAAAAAAAAJCgBZQQAAAAAAAAAACgsAWUEAAAAAAAAAAAoMAFlCAAAAAAAAAAADDQBZQQAAAAAAAAAAAgAAWUEAAAAAAAAAAAAAAAA</t>
        </r>
      </text>
    </comment>
    <comment ref="A1519" authorId="0" shapeId="0" xr:uid="{707C37D7-6750-414B-8B75-FBE27126EB7D}">
      <text>
        <r>
          <rPr>
            <sz val="9"/>
            <color indexed="81"/>
            <rFont val="MS P ゴシック"/>
            <family val="3"/>
            <charset val="128"/>
          </rPr>
          <t>Insight iXlW00001C0001519R0585476093S00003036P01468LAocjBAQBF1NjaVRlZ2ljLmRhdGEuTW9sZWN1bGUBbwF/ARJTY2lUZWdpYy5Nb2xlY3VsZQAAAQFkAv5qAQAAAAIAAgETGAAAAPz8APwAAgAAAAAAAPC/Agu1pnnHKco/Ao9TdCSX/4A/AAAAABgAAAD8/AD8AAIAAAAAAADwvwILtaZ5xynKPwKn6Egu/yHwPwAAAAAYAAAA/PwA/AACAAAAAAAA8L8C4zYawFsg8T8Cp+hILv8h+D8AAAAAGAAAAPz8APwAAgAAAAAAAPC/AiWX/5B++/4/AqfoSC7/IfA/AAAAABgAAAD8/AD8AAIAAAAAAADwvwIll/+Qfvv+PwKPU3Qkl/+APwAAAAAYAAAA/PwA/AACAAAAAAAA8L8C4zYawFsg8T8CZF3cRgN4378AAAAAGAAAAPz8APwAAgAAAAAAAPC/An6MuWsJ+ei/ArKd76fGS8c/AAAAABgAAAD8/AD8AAIAAAAAAADwvwKrYFRSJ6DBvwIg0m9fB87tvwAAAAAYAAAA/PwA/AACAAAAAAAA8L8CC7Wmeccp4D8CuK8D54wo+78AAAAAIAAAAPz8APwAAgAAAAAAAPC/Av8h/fZ14MQ/ArhAguLHGAXAAAAAACAAAAD8/AD8AAIAAAAAAADwvwJm9+Rhodb3PwIaUdobfGH4vwAAAAAkAAAA/PwA/AACAAAAAAAA8L8CtaZ5xyk6AkACX7pJDAIr/z8AAAAAJAAAAPz8APwAAgAAAAAAAPC/AgOaCBueXgdAAhIUP8bcteo/AAAAABgAAAD8/AD8AAIAAAAAAADwvwL2KFyPwvXxvwJuxf6ye/LxPwAAAAAYAAAA/PwA/AACAAAAAAAA8L8CswxxrIvbAMACDCQofoy59D8AAAAAGAAAAPz8APwAAgAAAAAAAPC/AgAAAAAAAAbAAse6uI0G8OA/AAAAABgAAAD8/AD8AAIAAAAAAADwvwLdJAaBlUMDwAJP0ZFc/kPavwAAAAAYAAAA/PwA/AACAAAAAAAA8L8C2qz6XG3F9r8Cxv6ye/Kw4r8AAAAAJAAAAPz8APwAAgAAAAAAAPC/AisYldQJaAjAAvw6cM6I0vK/AAAAAAEUAAQBZQQAAAAAAAAAAAAUAWUEAAAAAAAAAAAECAFlBAAAAAAAAAAACAwBZQQAAAAAAAAAAAwQAWUEAAAAAAAAAAAQFAFlBAAAAAAAAAAAGAABZQQAAAAAAAAAAAAcAWUEAAAAAAAAAAAcIAFlBAAAAAAAAAAAICQBZQQAAAAAAAAAACAoAWUIAAAAAAAAAAAMLAFlBAAAAAAAAAAADDABZQQAAAAAAAAAABg0AWUEAAAAAAAAAAA0OAFlCAgAAAAAAAAAODwBZQQAAAAAAAAAADwBEAFlCAgAAAAAAAAAARABEQFlBAAAAAAAAAAAAREYAWUIDAAAAAAAAAABEAESAWUEAAAAAAAAAAAAAAAA</t>
        </r>
      </text>
    </comment>
    <comment ref="A1520" authorId="0" shapeId="0" xr:uid="{D484AFBD-E6E9-4EEA-A746-441E184E5E55}">
      <text>
        <r>
          <rPr>
            <sz val="9"/>
            <color indexed="81"/>
            <rFont val="MS P ゴシック"/>
            <family val="3"/>
            <charset val="128"/>
          </rPr>
          <t>Insight iXlW00001C0001520R0585476093S00003038P01468LAocjBAQBF1NjaVRlZ2ljLmRhdGEuTW9sZWN1bGUBbwF/ARJTY2lUZWdpYy5Nb2xlY3VsZQAAAQFkAv5qAQAAAAIAAgETGAAAAPz8APwAAgAAAAAAAPC/Atqs+lxtxc4/Am+BBMWPMbe/AAAAABgAAAD8/AD8AAIAAAAAAADwvwLarPpcbcXOPwLTb18HzhntPwAAAAAYAAAA/PwA/AACAAAAAAAA8L8C3bWEfNCz8T8C6bevA+eM9j8AAAAAGAAAAPz8APwAAgAAAAAAAPC/Ah8Wak3zjv8/AtNvXwfOGe0/AAAAABgAAAD8/AD8AAIAAAAAAADwvwIfFmpN847/PwJvgQTFjzG3vwAAAAAYAAAA/PwA/AACAAAAAAAA8L8C3bWEfNCz8T8CLpCg+DHm4r8AAAAAGAAAAPz8APwAAgAAAAAAAPC/AouO5PIf0ue/AoQvTKYKRrU/AAAAABgAAAD8/AD8AAIAAAAAAADwvwK30QDeAgm6vwLOGVHaG3zwvwAAAAAYAAAA/PwA/AACAAAAAAAA8L8C/7J78rBQ4T8CduCcEaW9/L8AAAAAIAAAAPz8APwAAgAAAAAAAPC/As4ZUdobfMk/AhfZzvdT4wXAAAAAACAAAAD8/AD8AAIAAAAAAADwvwJgdk8eFmr4PwLYgXNGlPb5vwAAAAAkAAAA/PwA/AACAAAAAAAA8L8CMuauJeSDAkACoYmw4emV/T8AAAAAJAAAAPz8APwAAgAAAAAAAPC/AoDZPXlYqAdAApayDHGsi+c/AAAAABgAAAD8/AD8AAIAAAAAAADwvwLgLZCg+DH2vwJCYOXQItvlvwAAAAAYAAAA/PwA/AACAAAAAAAA8L8CYeXQItv5AsACBqOSOgFN4L8AAAAAGAAAAPz8APwAAgAAAAAAAPC/AoPAyqFFtgXAAtIA3gIJits/AAAAABgAAAD8/AD8AAIAAAAAAADwvwI2zTtO0ZEAwAJO845TdCTzPwAAAAAYAAAA/PwA/AACAAAAAAAA8L8Ci/1l9+Rh8b8CPujZrPpc8D8AAAAAJAAAAPz8APwAAgAAAAAAAPC/AvSOU3Qklw3AAocW2c73U+M/AAAAAAEUAAQBZQQAAAAAAAAAAAAUAWUEAAAAAAAAAAAECAFlBAAAAAAAAAAACAwBZQQAAAAAAAAAAAwQAWUEAAAAAAAAAAAQFAFlBAAAAAAAAAAAGAABZQQAAAAAAAAAAAAcAWUEAAAAAAAAAAAcIAFlBAAAAAAAAAAAICQBZQQAAAAAAAAAACAoAWUIAAAAAAAAAAAMLAFlBAAAAAAAAAAADDABZQQAAAAAAAAAABg0AWUIDAAAAAAAAAA0OAFlBAAAAAAAAAAAODwBZQgIAAAAAAAAADwBEAFlBAAAAAAAAAAAARABEQFlCAgAAAAAAAAAAREYAWUEAAAAAAAAAAA8ARIBZQQAAAAAAAAAAAAAAAA=</t>
        </r>
      </text>
    </comment>
    <comment ref="A1521" authorId="0" shapeId="0" xr:uid="{BB7892C9-2F9F-4282-9921-C8EC31EE4C34}">
      <text>
        <r>
          <rPr>
            <sz val="9"/>
            <color indexed="81"/>
            <rFont val="MS P ゴシック"/>
            <family val="3"/>
            <charset val="128"/>
          </rPr>
          <t>Insight iXlW00001C0001521R0585476093S00003040P01468LAocjBAQBF1NjaVRlZ2ljLmRhdGEuTW9sZWN1bGUBbwF/ARJTY2lUZWdpYy5Nb2xlY3VsZQAAAQFkAv5qAQAAAAIAAgETGAAAAPz8APwAAgAAAAAAAPC/Agu1pnnHKco/Ao9TdCSX/4A/AAAAABgAAAD8/AD8AAIAAAAAAADwvwILtaZ5xynKPwKn6Egu/yHwPwAAAAAYAAAA/PwA/AACAAAAAAAA8L8C4zYawFsg8T8Cp+hILv8h+D8AAAAAGAAAAPz8APwAAgAAAAAAAPC/AiWX/5B++/4/AqfoSC7/IfA/AAAAABgAAAD8/AD8AAIAAAAAAADwvwIll/+Qfvv+PwKPU3Qkl/+APwAAAAAYAAAA/PwA/AACAAAAAAAA8L8C4zYawFsg8T8CZF3cRgN4378AAAAAGAAAAPz8APwAAgAAAAAAAPC/An6MuWsJ+ei/ArKd76fGS8c/AAAAABgAAAD8/AD8AAIAAAAAAADwvwKrYFRSJ6DBvwIg0m9fB87tvwAAAAAYAAAA/PwA/AACAAAAAAAA8L8CC7Wmeccp4D8CuK8D54wo+78AAAAAIAAAAPz8APwAAgAAAAAAAPC/Av8h/fZ14MQ/ArhAguLHGAXAAAAAACAAAAD8/AD8AAIAAAAAAADwvwJm9+Rhodb3PwIaUdobfGH4vwAAAAAkAAAA/PwA/AACAAAAAAAA8L8CtaZ5xyk6AkACX7pJDAIr/z8AAAAAJAAAAPz8APwAAgAAAAAAAPC/AgOaCBueXgdAAhIUP8bcteo/AAAAABgAAAD8/AD8AAIAAAAAAADwvwL2KFyPwvXxvwJuxf6ye/LxPwAAAAAYAAAA/PwA/AACAAAAAAAA8L8CswxxrIvbAMACDCQofoy59D8AAAAAGAAAAPz8APwAAgAAAAAAAPC/AgAAAAAAAAbAAse6uI0G8OA/AAAAABgAAAD8/AD8AAIAAAAAAADwvwLdJAaBlUMDwAJP0ZFc/kPavwAAAAAYAAAA/PwA/AACAAAAAAAA8L8C2qz6XG3F9r8Cxv6ye/Kw4r8AAAAAGAAAAPz8APwAAgAAAAAAAPC/AisYldQJaAjAAvw6cM6I0vK/AAAAAAEUAAQBZQQAAAAAAAAAAAAUAWUEAAAAAAAAAAAECAFlBAAAAAAAAAAACAwBZQQAAAAAAAAAAAwQAWUEAAAAAAAAAAAQFAFlBAAAAAAAAAAAGAABZQQAAAAAAAAAAAAcAWUEAAAAAAAAAAAcIAFlBAAAAAAAAAAAICQBZQQAAAAAAAAAACAoAWUIAAAAAAAAAAAMLAFlBAAAAAAAAAAADDABZQQAAAAAAAAAABg0AWUEAAAAAAAAAAA0OAFlCAgAAAAAAAAAODwBZQQAAAAAAAAAADwBEAFlCAgAAAAAAAAAARABEQFlBAAAAAAAAAAAAREYAWUIDAAAAAAAAAABEAESAWUEAAAAAAAAAAAAAAAA</t>
        </r>
      </text>
    </comment>
    <comment ref="A1522" authorId="0" shapeId="0" xr:uid="{4043CB8F-D4B1-4137-BB49-C8B794DD7A69}">
      <text>
        <r>
          <rPr>
            <sz val="9"/>
            <color indexed="81"/>
            <rFont val="MS P ゴシック"/>
            <family val="3"/>
            <charset val="128"/>
          </rPr>
          <t>Insight iXlW00001C0001522R0585476093S00003042P01540LAocjBAQBF1NjaVRlZ2ljLmRhdGEuTW9sZWN1bGUBbwF/ARJTY2lUZWdpYy5Nb2xlY3VsZQAAAQFkAv5qAQAAAAIAAgEUGAAAAPz8APwAAgAAAAAAAPC/Ao4G8BZIUNw/AgpoImx4esW/AAAAABgAAAD8/AD8AAIAAAAAAADwvwKOBvAWSFDcPwL+ZffkYaHqPwAAAAAYAAAA/PwA/AACAAAAAAAA8L8C5WGh1jTv9D8C/7J78rBQ9T8AAAAAGAAAAPz8APwAAgAAAAAAAPC/AhNhw9MrZQFAAv5l9+Rhoeo/AAAAABgAAAD8/AD8AAIAAAAAAADwvwITYcPTK2UBQAIKaCJseHrFvwAAAAAYAAAA/PwA/AACAAAAAAAA8L8C5WGh1jTv9D8CA5oIG55e5b8AAAAAGAAAAPz8APwAAgAAAAAAAPC/Ano2qz5XW+G/Au0NvjCZKng/AAAAABgAAAD8/AD8AAIAAAAAAADwvwLdtYR80LO5PwK5HoXrUbjxvwAAAAAYAAAA/PwA/AACAAAAAAAA8L8C8mPMXUvI5z8CYeXQItv5/b8AAAAAIAAAAPz8APwAAgAAAAAAAPC/Agg9m1Wfq9k/AozbaABvgQbAAAAAACAAAAD8/AD8AAIAAAAAAADwvwLZzvdT46X7PwLDhqdXyjL7vwAAAAAkAAAA/PwA/AACAAAAAAAA8L8CNjy9UpYhBEACtoR80LNZ/D8AAAAAJAAAAPz8APwAAgAAAAAAAPC/AoQvTKYKRglAAsKopE5AE+U/AAAAABgAAAD8/AD8AAIAAAAAAADwvwLYgXNGlPbyvwIWak3zjlPovwAAAAAYAAAA/PwA/AACAAAAAAAA8L8CXI/C9ShcAcAC+FPjpZvE4r8AAAAAGAAAAPz8APwAAgAAAAAAAPC/An9qvHSTGATAAintDb4wmdY/AAAAABgAAAD8/AD8AAIAAAAAAADwvwJk7lpCPuj9vwJj7lpCPujxPwAAAAAYAAAA/PwA/AACAAAAAAAA8L8CBqOSOgFN7L8CqMZLN4lB7j8AAAAAIAAAAPz8APwAAgAAAAAAAPC/AvA4RUdy+QvAArMMcayL2+A/AAAAABgAAAD8/AD8AAIAAAAAAADwvwISFD/G3LUOwAIRWDm0yHb3PwAAAAABFQAEAWUEAAAAAAAAAAAAFAFlBAAAAAAAAAAABAgBZQQAAAAAAAAAAAgMAWUEAAAAAAAAAAAMEAFlBAAAAAAAAAAAEBQBZQQAAAAAAAAAABgAAWUEAAAAAAAAAAAAHAFlBAAAAAAAAAAAHCABZQQAAAAAAAAAACAkAWUEAAAAAAAAAAAgKAFlCAAAAAAAAAAADCwBZQQAAAAAAAAAAAwwAWUEAAAAAAAAAAAYNAFlCAwAAAAAAAAANDgBZQQAAAAAAAAAADg8AWUICAAAAAAAAAA8ARABZQQAAAAAAAAAAAEQAREBZQgIAAAAAAAAAAERGAFlBAAAAAAAAAAAPAESAWUEAAAAAAAAAAABEgETAWUEAAAAAAAAAAAAAAAA</t>
        </r>
      </text>
    </comment>
    <comment ref="A1523" authorId="0" shapeId="0" xr:uid="{26B6C29E-ADCD-47F0-87FF-2EEF2A6AAB02}">
      <text>
        <r>
          <rPr>
            <sz val="9"/>
            <color indexed="81"/>
            <rFont val="MS P ゴシック"/>
            <family val="3"/>
            <charset val="128"/>
          </rPr>
          <t>Insight iXlW00001C0001523R0585476093S00003044P01088LAocjBAQBF1NjaVRlZ2ljLmRhdGEuTW9sZWN1bGUBbwF/ARJTY2lUZWdpYy5Nb2xlY3VsZQAAAQFkAv5qAQAAAAIAAjggAPwA/PwA/AACAAAAAAAA8L8CGlHaG3zhA8ACOwFNhA1P8D8AAAAAGAAAAPz8APwAAgAAAAAAAPC/AnWTGARWDv2/AszuycNCrdE/AAAAACAAAAD8/AD8AAIAAAAAAADwvwIAAAAAAAABwAK4QILix5jlvwAAAAAYAAAA/PwA/AACAAAAAAAA8L8Cc9cS8kHP6r8CJZf/kH773j8AAAAAHAAAAPz8APwAAgAAAAAAAPC/AvSOU3Qkl9u/As47TtGRXPY/AAAAABwAAAD8/AD8AAIAAAAAAADwvwLzH9JvXwfiPwJVUiegibD0PwAAAAAYAAAA/PwA/AACAAAAAAAA8L8CAk2EDU+v6D8CZapgVFIn1D8AAAAAGAAAAPz8APwAAgAAAAAAAPC/AsOGp1fKMvo/AjerPldbsce/AAAAAAERAAAA/PwA/AACAAAAAAAA8L8CgnNGlPYGBEACZapgVFIn1D8AAAAAGAAAAPz8APwAAgAAAAAAAPC/AsOGp1fKMvo/AvYoXI/C9fK/AAAAABgAAAD8/AD8AAIAAAAAAADwvwIf9GxWfa7oPwL2KFyPwvX6vwAAAAAYAAAA/PwA/AACAAAAAAAA8L8CIGPuWkI+uL8CZ9Xnaiv28r8AAAAAHAAAAPz8APwAAgAAAAAAAPC/AiBj7lpCPri/AjerPldbsce/AAAAACwABAD8/AD8AAIAAAAAAADwvwLp2az6XG0KQAKitDf4wmTCvwAAAAA4AAQBZQQAAAAAAAAAAAQIAWUIAAAAAAAAAAAEDAFlBAAAAAAAAAAADBABZQgMAAAAAAAAABAUAWUEAAAAAAAAAAAUGAFlCAwAAAAAAAAAGBwBZQQAAAAAAAAAABwgAWUEAAAAAAAAAAAcJAFlCAgAAAAAAAAAJCgBZQQAAAAAAAAAACgsAWUICAAAAAAAAAAsMAFlBAAAAAAAAAAAMAwBZQQAAAAAAAAAADAYAWUEAAAAAAAAAAAAAAAA</t>
        </r>
      </text>
    </comment>
    <comment ref="A1524" authorId="0" shapeId="0" xr:uid="{D14C810E-8124-4085-834D-24E4B7231699}">
      <text>
        <r>
          <rPr>
            <sz val="9"/>
            <color indexed="81"/>
            <rFont val="MS P ゴシック"/>
            <family val="3"/>
            <charset val="128"/>
          </rPr>
          <t>Insight iXlW00001C0001524R0585476093S00003046P01088LAocjBAQBF1NjaVRlZ2ljLmRhdGEuTW9sZWN1bGUBbwF/ARJTY2lUZWdpYy5Nb2xlY3VsZQAAAQFkAv5qAQAAAAIAAjgYAAAA/PwA/AACAAAAAAAA8L8CgnNGlPYGBEACZapgVFIn1D8AAAAAGAAAAPz8APwAAgAAAAAAAPC/AsOGp1fKMvo/AjerPldbsce/AAAAABwAAAD8/AD8AAIAAAAAAADwvwLDhqdXyjL6PwL2KFyPwvXyvwAAAAAYAAAA/PwA/AACAAAAAAAA8L8CH/RsVn2u6D8C9ihcj8L1+r8AAAAAGAAAAPz8APwAAgAAAAAAAPC/AiBj7lpCPri/AmfV52or9vK/AAAAABwAAAD8/AD8AAIAAAAAAADwvwIgY+5aQj64vwI3qz5XW7HHvwAAAAAYAAAA/PwA/AACAAAAAAAA8L8Cc9cS8kHP6r8CJZf/kH773j8AAAAAHAAAAPz8APwAAgAAAAAAAPC/AvSOU3Qkl9u/As47TtGRXPY/AAAAABwAAAD8/AD8AAIAAAAAAADwvwLzH9JvXwfiPwJVUiegibD0PwAAAAAYAAAA/PwA/AACAAAAAAAA8L8CAk2EDU+v6D8CZapgVFIn1D8AAAAAGAAAAPz8APwAAgAAAAAAAPC/AnWTGARWDv2/AszuycNCrdE/AAAAACAAAAD8/AD8AAIAAAAAAADwvwIAAAAAAAABwAK4QILix5jlvwAAAAAgAPwA/PwA/AACAAAAAAAA8L8CGlHaG3zhA8ACOwFNhA1P8D8AAAAALAAEAPz8APwAAgAAAAAAAPC/AunZrPpcbQpAAqK0N/jCZMK/AAAAADgABAFlBAAAAAAAAAAABAgBZQgMAAAAAAAAAAgMAWUEAAAAAAAAAAAMEAFlCAgAAAAAAAAAEBQBZQQAAAAAAAAAABQYAWUEAAAAAAAAAAAYHAFlCAgAAAAAAAAAHCABZQQAAAAAAAAAACAkAWUIDAAAAAAAAAAkBAFlBAAAAAAAAAAAJBQBZQQAAAAAAAAAABgoAWUEAAAAAAAAAAAoLAFlCAAAAAAAAAAAKDABZQQAAAAAAAAAAAAAAAA=</t>
        </r>
      </text>
    </comment>
    <comment ref="A1525" authorId="0" shapeId="0" xr:uid="{D063209C-4252-4603-B1F1-2AE40A4E735D}">
      <text>
        <r>
          <rPr>
            <sz val="9"/>
            <color indexed="81"/>
            <rFont val="MS P ゴシック"/>
            <family val="3"/>
            <charset val="128"/>
          </rPr>
          <t>Insight iXlW00001C0001525R0585476093S00003048P01108LAocjBAQBF1NjaVRlZ2ljLmRhdGEuTW9sZWN1bGUBbwF/ARJTY2lUZWdpYy5Nb2xlY3VsZQAAAQFkAv5qAQAAAAIAAjgYAAAA/PwA/AACAAAAAAAA8L8CdEaU9gZf0D8CPnlYqDXN478AAAAAGAAAAPz8APwAAgAAAAAAAPC/AoxK6gQ0Eba/AlYOLbKd7/i/AAAAABgAAAD8/AD8AAIAAAAAAADwvwLNXUvIB70CwALDhqdXyjLsPwAAAAAYAAAA/PwA/AACAAAAAAAA8L8CzV1LyAe9AsAC78nDQq1pvr8AAAAAGAAAAPz8APwAAgAAAAAAAPC/AueuJeSDnve/Aj55WKg1zeO/AAAAABgAAAD8/AD8AAIAAAAAAADwvwJKnYAmwobjvwLvycNCrWm+vwAAAAAYAAAA/PwA/AACAAAAAAAA8L8CSp2AJsKG478C4C2QoPgx7D8AAAAAGAAAAPz8APwAAgAAAAAAAPC/Alhbsb/snve/AvAWSFD8GPY/AAAAABgAAAD8/AD8AAIAAAAAAADwvwJw8IXJVMHsPwJIUPwYc9fCPwAAAAAYAAAA/PwA/AACAAAAAAAA8L8CGZXUCWgi/j8CikFg5dAim78AAAAAIAAAAPz8APwAAgAAAAAAAPC/Aq8l5IOezQFAAplMFYxK6u6/AAAAACAAAAD8/AD8AAIAAAAAAADwvwLaPXlYqDUEQAIm5IOezarnPwAAAAABEQAAAPz8APwAAgAAAAAAAPC/AnRGlPYGX9A/AvAWSFD8GPY/AAAAABgAAAD8/AD8AAIAAAAAAADwvwJw8IXJVMHsPwK4rwPnjCj2vwAAAAA8ADQBZQQAAAAAAAAAAAQAAWUEAAAAAAAAAAAIDAFlCAgAAAAAAAAADBABZQQAAAAAAAAAABAUAWUICAAAAAAAAAAUGAFlBAAAAAAAAAAAGBwBZQgIAAAAAAAAABwIAWUEAAAAAAAAAAAUAAFlBAAAAAAAAAAAACABZQQAAAAAAAAAACAkAWUEAAAAAAAAAAAkKAFlBAAAAAAAAAAAJCwBZQgAAAAAAAAAABgwAWUEAAAAAAAAAAAENAFlBAAAAAAAAAAAAAAAAA==</t>
        </r>
      </text>
    </comment>
    <comment ref="A1526" authorId="0" shapeId="0" xr:uid="{27955113-55A9-4D06-9314-C4274588AD16}">
      <text>
        <r>
          <rPr>
            <sz val="9"/>
            <color indexed="81"/>
            <rFont val="MS P ゴシック"/>
            <family val="3"/>
            <charset val="128"/>
          </rPr>
          <t>Insight iXlW00001C0001526R0585476093S00003050P01304LAocjBAQBF1NjaVRlZ2ljLmRhdGEuTW9sZWN1bGUBbwF/ARJTY2lUZWdpYy5Nb2xlY3VsZQAAAQFkAv5qAQAAAAIAAgERGAAAAPz8APwAAgAAAAAAAPC/AsDsnjwsVAdAAo6XbhKDwLq/AAAAABgAAAD8/AD8AAIAAAAAAADwvwJ6Nqs+V9sEQAJKDAIrhxbrPwAAAAAYAAAA/PwA/AACAAAAAAAA8L8CqvHSTWIQ+j8CO3DOiNLe8D8AAAAAGAAAAPz8APwAAgAAAAAAAPC/AvVsVn2utu4/Agr5oGez6tM/AAAAABwAAAD8/AD8AAIAAAAAAADwvwIGo5I6AU30PwK3Yn/ZPXnkvwAAAAAYAAAA/PwA/AACAAAAAAAA8L8CYOXQItv5AUAC4zYawFsg678AAAAAGAAAAPz8APwAAgAAAAAAAPC/AgU0ETY8vZK/ArFQa5p3nOA/AAAAABwAAAD8/AD8AAIAAAAAAADwvwI0MzMzMzPbvwLOqs/VVuz2PwAAAAAcAAAA/PwA/AACAAAAAAAA8L8Cg8DKoUW29r8C5BQdyeU/9T8AAAAAGAAAAPz8APwAAgAAAAAAAPC/AgvXo3A9Cvq/AmdmZmZmZtY/AAAAABgAAAD8/AD8AAIAAAAAAADwvwKmm8QgsPIDwAIzMzMzMzPDvwAAAAAYAAAA/PwA/AACAAAAAAAA8L8CppvEILDyA8ACZ2ZmZmZm8r8AAAAAGAAAAPz8APwAAgAAAAAAAPC/AgvXo3A9Cvq/AmdmZmZmZvq/AAAAABgAAAD8/AD8AAIAAAAAAADwvwKS7Xw/NV7ovwJnZmZmZmbyvwAAAAAYAAAA/PwA/AACAAAAAAAA8L8Cku18PzVe6L8CMzMzMzMzw78AAAAAAREAAAD8/AD8AAIAAAAAAADwvwImUwWjkroNQAJ6xyk6ksu/vwAAAAABEQAAAPz8APwAAgAAAAAAAPC/AiEf9GxW/RJAAgIrhxbZzre/AAAAAAERAAQBZQQAAAAAAAAAAAQIAWUEAAAAAAAAAAAIDAFlBAAAAAAAAAAADBABZQQAAAAAAAAAABAUAWUEAAAAAAAAAAAUAAFlBAAAAAAAAAAADBgBZQQAAAAAAAAAABgcAWUEAAAAAAAAAAAcIAFlBAAAAAAAAAAAICQBZQgMAAAAAAAAACQoAWUEAAAAAAAAAAAoLAFlCAgAAAAAAAAALDABZQQAAAAAAAAAADA0AWUICAAAAAAAAAA0OAFlBAAAAAAAAAAAOBgBZQgIAAAAAAAAADgkAWUEAAAAAAAAAAAAAAAA</t>
        </r>
      </text>
    </comment>
    <comment ref="A1527" authorId="0" shapeId="0" xr:uid="{B6881A88-7366-4635-B742-D66DC85BA421}">
      <text>
        <r>
          <rPr>
            <sz val="9"/>
            <color indexed="81"/>
            <rFont val="MS P ゴシック"/>
            <family val="3"/>
            <charset val="128"/>
          </rPr>
          <t>Insight iXlW00001C0001527R0585476093S00003052P01104LAocjBAQBF1NjaVRlZ2ljLmRhdGEuTW9sZWN1bGUBbwF/ARJTY2lUZWdpYy5Nb2xlY3VsZQAAAQFkAv5qAQAAAAIAAjgYAAAA/PwA/AACAAAAAAAA8L8CQxzr4jYa4D8CPnlYqDXN478AAAAAGAAAAPz8APwAAgAAAAAAAPC/AuC+DpwzosQ/AlYOLbKd7/i/AAAAABgAAAD8/AD8AAIAAAAAAADwvwJSSZ2AJsIAwALgLZCg+DHsPwAAAAAYAAAA/PwA/AACAAAAAAAA8L8CUkmdgCbCAMACAJF++zpwvr8AAAAAGAAAAPz8APwAAgAAAAAAAPC/AmIyVTAqqfO/Aj55WKg1zeO/AAAAABgAAAD8/AD8AAIAAAAAAADwvwKASL99HTjXvwLvycNCrWm+vwAAAAAYAAAA/PwA/AACAAAAAAAA8L8CgEi/fR04178Cw4anV8oy7D8AAAAAGAAAAPz8APwAAgAAAAAAAPC/AmIyVTAqqfO/AvAWSFD8GPY/AAAAABgAAAD8/AD8AAIAAAAAAADwvwK9dJMYBFbyPwJIUPwYc9fCPwAAAAAYAAAA/PwA/AACAAAAAAAA8L8Cz4jS3uALAUACikFg5dAim78AAAAAIAAAAPz8APwAAgAAAAAAAPC/AvJjzF1LyANAAplMFYxK6u6/AAAAACAAAAD8/AD8AAIAAAAAAADwvwIcfGEyVTAGQAIm5IOezarnPwAAAAAkAAAA/PwA/AACAAAAAAAA8L8Cc/kP6bevB8AC8BZIUPwY9j8AAAAAGAAAAPz8APwAAgAAAAAAAPC/Ar10kxgEVvI/ArivA+eMKPa/AAAAADwANAFlBAAAAAAAAAAABAABZQQAAAAAAAAAAAgMAWUICAAAAAAAAAAMEAFlBAAAAAAAAAAAEBQBZQgIAAAAAAAAABQYAWUEAAAAAAAAAAAYHAFlCAgAAAAAAAAAHAgBZQQAAAAAAAAAABQAAWUEAAAAAAAAAAAAIAFlBAAAAAAAAAAAICQBZQQAAAAAAAAAACQoAWUEAAAAAAAAAAAkLAFlCAAAAAAAAAAACDABZQQAAAAAAAAAAAQ0AWUEAAAAAAAAAAAAAAAA</t>
        </r>
      </text>
    </comment>
    <comment ref="A1528" authorId="0" shapeId="0" xr:uid="{BF5877C4-64F6-4E2A-8E80-36B75CF95812}">
      <text>
        <r>
          <rPr>
            <sz val="9"/>
            <color indexed="81"/>
            <rFont val="MS P ゴシック"/>
            <family val="3"/>
            <charset val="128"/>
          </rPr>
          <t>Insight iXlW00001C0001528R0585476093S00003054P01196LAocjBAQBF1NjaVRlZ2ljLmRhdGEuTW9sZWN1bGUBbwF/ARJTY2lUZWdpYy5Nb2xlY3VsZQAAAQFkAv5qAQAAAAIAAjwYAAAA/PwA/AACAAAAAAAA8L8CeekmMQis+78CB4GVQ4ts2z8AAAAAGAAAAPz8APwAAgAAAAAAAPC/AnnpJjEIrPu/AkJg5dAi2/Y/AAAAABgAAAD8/AD8AAIAAAAAAADwvwJvEoPAyqHrvwJCYOXQItv+PwAAAAAYAAAA/PwA/AACAAAAAAAA8L8CbxKDwMqh678C6Pup8dJNsr8AAAAAHAAAAPz8APwAAgAAAAAAAPC/AnsUrkfhemQ/AgeBlUOLbNs/AAAAABgAAAD8/AD8AAIAAAAAAADwvwJ7FK5H4XpkPwJCYOXQItv2PwAAAAAcAAAA/PwA/AACAAAAAAAA8L8CMuauJeSD7j8CzczMzMzM+z8AAAAAHAAAAPz8APwAAgAAAAAAAPC/AtPe4AuTqfg/AoPAyqFFtu0/AAAAABgAAAD8/AD8AAIAAAAAAADwvwIy5q4l5IPuPwJlO99PjZe+PwAAAAAYAAAA/PwA/AACAAAAAAAA8L8CbxKDwMqh678Cv58aL90k8b8AAAAAIAAAAPz8APwAAgAAAAAAAPC/AnsUrkfhemQ/Ar+fGi/dJPm/AAAAACAAAAD8/AD8AAIAAAAAAADwvwJ56SYxCKz7vwK/nxov3ST5vwAAAAAYAAAA/PwA/AACAAAAAAAA8L8Cpd++Dpwz9D8CsVBrmnec6r8AAAAAGAAAAPz8APwAAgAAAAAAAPC/Ao51cRsN4PA/AqMjufyH9Py/AAAAABgAAAD8/AD8AAIAAAAAAADwvwKWsgxxrAsAQAIYt9EA3gL4vwAAAAABEQAEAWUEAAAAAAAAAAAADAFlCAgAAAAAAAAABAgBZQgIAAAAAAAAAAgUAWUEAAAAAAAAAAAQDAFlBAAAAAAAAAAAEBQBZQQAAAAAAAAAABQYAWUIDAAAAAAAAAAYHAFlBAAAAAAAAAAAHCABZQgIAAAAAAAAACAQAWUEAAAAAAAAAAAMJAFlBAAAAAAAAAAAJCgBZQgAAAAAAAAAACQsAWUEAAAAAAAAAAAgMAFlBAAAAAAAAAAANDABZQQAAAAAAAAAADg0AWUEAAAAAAAAAAAwOAFlBAAAAAAAAAAAAAAAAA==</t>
        </r>
      </text>
    </comment>
    <comment ref="A1529" authorId="0" shapeId="0" xr:uid="{502FF060-372A-416A-98BA-079B27890B4D}">
      <text>
        <r>
          <rPr>
            <sz val="9"/>
            <color indexed="81"/>
            <rFont val="MS P ゴシック"/>
            <family val="3"/>
            <charset val="128"/>
          </rPr>
          <t>Insight iXlW00001C0001529R0585476093S00003056P01016LAocjBAQBF1NjaVRlZ2ljLmRhdGEuTW9sZWN1bGUBbwF/ARJTY2lUZWdpYy5Nb2xlY3VsZQAAAQFkAv5qAQAAAAIAAjQgAPwA/PwA/AACAAAAAAAA8L8Cfq62Yn9ZAEACdnEbDeAt9z8AAAAAGAAAAPz8APwAAgAAAAAAAPC/ArHh6ZWyDPE/AmAHzhlR2vM/AAAAACAAAAD8/AD8AAIAAAAAAADwvwLHSzeJQWDZPwLnjCjtDb7/PwAAAAAYAAAA/PwA/AACAAAAAAAA8L8CS+oENBE26D8CQ61p3nGK0j8AAAAAHAAAAPz8APwAAgAAAAAAAPC/At/gC5OpgvU/AnUCmggbnuC/AAAAABwAAAD8/AD8AAIAAAAAAADwvwJL6gQ0ETboPwLGbTSAt0D1vwAAAAAYAAAA/PwA/AACAAAAAAAA8L8CTDeJQWDlyL8COwFNhA1P8L8AAAAAHAAAAPz8APwAAgAAAAAAAPC/AiuHFtnO9/C/AjsBTYQNT/i/AAAAABgAAAD8/AD8AAIAAAAAAADwvwJt5/up8dL+vwI7AU2EDU/wvwAAAAAYAAAA/PwA/AACAAAAAAAA8L8Cbef7qfHS/r8CpU5AE2HDk78AAAAAGAAAAPz8APwAAgAAAAAAAPC/AiuHFtnO9/C/Ahb7y+7Jw94/AAAAABwAAAD8/AD8AAIAAAAAAADwvwJMN4lBYOXIvwKlTkATYcOTvwAAAAAsAAQA/PwA/AACAAAAAAAA8L8C5BQdyeW/BkACsi5uowG8zT8AAAAANAAEAWUEAAAAAAAAAAAECAFlCAAAAAAAAAAABAwBZQQAAAAAAAAAAAwQAWUIDAAAAAAAAAAQFAFlBAAAAAAAAAAAFBgBZQgMAAAAAAAAABgcAWUEAAAAAAAAAAAcIAFlBAAAAAAAAAAAICQBZQQAAAAAAAAAACQoAWUEAAAAAAAAAAAoLAFlBAAAAAAAAAAALAwBZQQAAAAAAAAAACwYAWUEAAAAAAAAAAAAAAAA</t>
        </r>
      </text>
    </comment>
    <comment ref="A1530" authorId="0" shapeId="0" xr:uid="{796EA208-C61E-4A29-BC9E-1C08AE5BE83D}">
      <text>
        <r>
          <rPr>
            <sz val="9"/>
            <color indexed="81"/>
            <rFont val="MS P ゴシック"/>
            <family val="3"/>
            <charset val="128"/>
          </rPr>
          <t>Insight iXlW00001C0001530R0585476093S00003058P01104LAocjBAQBF1NjaVRlZ2ljLmRhdGEuTW9sZWN1bGUBbwF/ARJTY2lUZWdpYy5Nb2xlY3VsZQAAAQFkAv5qAQAAAAIAAjgYAAAA/PwA/AACAAAAAAAA8L8C4L4OnDOixD8CuycPC7Wm9r8AAAAAGAAAAPz8APwAAgAAAAAAAPC/AkMc6+I2GuA/AhFYObTIdt6/AAAAABgAAAD8/AD8AAIAAAAAAADwvwK9dJMYBFbyPwKsHFpkO9/zvwAAAAAYAAAA/PwA/AACAAAAAAAA8L8CUkmdgCbCAMAC/Knx0k1i8D8AAAAAGAAAAPz8APwAAgAAAAAAAPC/AlJJnYAmwgDAAvp+arx0k5g/AAAAABgAAAD8/AD8AAIAAAAAAADwvwJiMlUwKqnzvwIRWDm0yHbevwAAAAAYAAAA/PwA/AACAAAAAAAA8L8CgEi/fR04178C+n5qvHSTmD8AAAAAGAAAAPz8APwAAgAAAAAAAPC/AoBIv30dONe/Avyp8dJNYvA/AAAAABgAAAD8/AD8AAIAAAAAAADwvwJiMlUwKqnzvwL8qfHSTWL4PwAAAAAYAAAA/PwA/AACAAAAAAAA8L8CvXSTGARW8j8CVHQkl/+Q0j8AAAAAGAAAAPz8APwAAgAAAAAAAPC/As+I0t7gCwFAAlwgQfFjzL0/AAAAACAAAAD8/AD8AAIAAAAAAADwvwLyY8xdS8gDQAJjf9k9eVjqvwAAAAAgAAAA/PwA/AACAAAAAAAA8L8CHHxhMlUwBkACPgrXo3A97D8AAAAAGAAAAPz8APwAAgAAAAAAAPC/AnP5D+m3rwfAAhFYObTIdt6/AAAAADwEAAFlBAAAAAAAAAAACAQBZQQAAAAAAAAAAAwQAWUICAAAAAAAAAAQFAFlBAAAAAAAAAAAFBgBZQgIAAAAAAAAABgcAWUEAAAAAAAAAAAcIAFlCAgAAAAAAAAAIAwBZQQAAAAAAAAAABgEAWUEAAAAAAAAAAAEJAFlBAAAAAAAAAAAJCgBZQQAAAAAAAAAACgsAWUEAAAAAAAAAAAoMAFlCAAAAAAAAAAAEDQBZQQAAAAAAAAAAAgAAWUEAAAAAAAAAAAAAAAA</t>
        </r>
      </text>
    </comment>
    <comment ref="A1531" authorId="0" shapeId="0" xr:uid="{0420ADDF-98F7-468F-ADFB-A1766EC294AF}">
      <text>
        <r>
          <rPr>
            <sz val="9"/>
            <color indexed="81"/>
            <rFont val="MS P ゴシック"/>
            <family val="3"/>
            <charset val="128"/>
          </rPr>
          <t>Insight iXlW00001C0001531R0585476093S00003060P01468LAocjBAQBF1NjaVRlZ2ljLmRhdGEuTW9sZWN1bGUBbwF/ARJTY2lUZWdpYy5Nb2xlY3VsZQAAAQFkAv5qAQAAAAIAAgETGAAAAPz8APwAAgAAAAAAAPC/Atqs+lxtxc4/Am+BBMWPMbe/AAAAABgAAAD8/AD8AAIAAAAAAADwvwLarPpcbcXOPwLTb18HzhntPwAAAAAYAAAA/PwA/AACAAAAAAAA8L8C3bWEfNCz8T8C6bevA+eM9j8AAAAAGAAAAPz8APwAAgAAAAAAAPC/Ah8Wak3zjv8/AtNvXwfOGe0/AAAAABgAAAD8/AD8AAIAAAAAAADwvwIfFmpN847/PwJvgQTFjzG3vwAAAAAYAAAA/PwA/AACAAAAAAAA8L8C3bWEfNCz8T8CLpCg+DHm4r8AAAAAGAAAAPz8APwAAgAAAAAAAPC/AouO5PIf0ue/AoQvTKYKRrU/AAAAABgAAAD8/AD8AAIAAAAAAADwvwK30QDeAgm6vwLOGVHaG3zwvwAAAAAYAAAA/PwA/AACAAAAAAAA8L8C/7J78rBQ4T8CduCcEaW9/L8AAAAAIAAAAPz8APwAAgAAAAAAAPC/As4ZUdobfMk/AhfZzvdT4wXAAAAAACAAAAD8/AD8AAIAAAAAAADwvwJgdk8eFmr4PwLYgXNGlPb5vwAAAAAkAAAA/PwA/AACAAAAAAAA8L8CMuauJeSDAkACoYmw4emV/T8AAAAAJAAAAPz8APwAAgAAAAAAAPC/AoDZPXlYqAdAApayDHGsi+c/AAAAABgAAAD8/AD8AAIAAAAAAADwvwLgLZCg+DH2vwJCYOXQItvlvwAAAAAYAAAA/PwA/AACAAAAAAAA8L8CYeXQItv5AsACBqOSOgFN4L8AAAAAGAAAAPz8APwAAgAAAAAAAPC/AoPAyqFFtgXAAtIA3gIJits/AAAAABgAAAD8/AD8AAIAAAAAAADwvwI2zTtO0ZEAwAJO845TdCTzPwAAAAAYAAAA/PwA/AACAAAAAAAA8L8Ci/1l9+Rh8b8CPujZrPpc8D8AAAAAASMAAAD8/AD8AAIAAAAAAADwvwL0jlN0JJcNwAKHFtnO91PjPwAAAAABFAAEAWUEAAAAAAAAAAAAFAFlBAAAAAAAAAAABAgBZQQAAAAAAAAAAAgMAWUEAAAAAAAAAAAMEAFlBAAAAAAAAAAAEBQBZQQAAAAAAAAAABgAAWUEAAAAAAAAAAAAHAFlBAAAAAAAAAAAHCABZQQAAAAAAAAAACAkAWUEAAAAAAAAAAAgKAFlCAAAAAAAAAAADCwBZQQAAAAAAAAAAAwwAWUEAAAAAAAAAAAYNAFlCAwAAAAAAAAANDgBZQQAAAAAAAAAADg8AWUICAAAAAAAAAA8ARABZQQAAAAAAAAAAAEQAREBZQgIAAAAAAAAAAERGAFlBAAAAAAAAAAAPAESAWUEAAAAAAAAAAAAAAAA</t>
        </r>
      </text>
    </comment>
    <comment ref="A1532" authorId="0" shapeId="0" xr:uid="{D0A7ECEB-D987-4D8E-B802-1D1FD4951139}">
      <text>
        <r>
          <rPr>
            <sz val="9"/>
            <color indexed="81"/>
            <rFont val="MS P ゴシック"/>
            <family val="3"/>
            <charset val="128"/>
          </rPr>
          <t>Insight iXlW00001C0001532R0585476093S00003062P01688LAocjBAQBF1NjaVRlZ2ljLmRhdGEuTW9sZWN1bGUBbwF/ARJTY2lUZWdpYy5Nb2xlY3VsZQAAAQFkAv5qAQAAAAIAAgEWGAAAAPz8APwAAgAAAAAAAPC/AqCrrdhfdr8/Ardif9k9edy/AAAAABgAAAD8/AD8AAIAAAAAAADwvwKgq63YX3a/PwKlTkATYcPhPwAAAAAYAAAA/PwA/AACAAAAAAAA8L8C93XgnBGl7z8CUyegibDh8D8AAAAAGAAAAPz8APwAAgAAAAAAAPC/Aj2bVZ+rrf0/AqVOQBNhw+E/AAAAABgAAAD8/AD8AAIAAAAAAADwvwI9m1Wfq639PwK3Yn/ZPXncvwAAAAAYAAAA/PwA/AACAAAAAAAA8L8C93XgnBGl7z8CXLG/7J487r8AAAAAGAAAAPz8APwAAgAAAAAAAPC/Ak2EDU+vlOu/Ano2qz5XW9G/AAAAABgAAAD8/AD8AAIAAAAAAADwvwJe3EYDeAvMvwL0/dR46Sb2vwAAAAAYAAAA/PwA/AACAAAAAAAA8L8CPSzUmuYd2z8ChzjWxW00AcAAAAAAIAAAAPz8APwAAgAAAAAAAPC/AplMFYxK6rQ/AmKh1jTvuAjAAAAAACAAAAD8/AD8AAIAAAAAAADwvwLwp8ZLN4n2PwJvEoPAyqH/vwAAAAAkAAAA/PwA/AACAAAAAAAA8L8C+n5qvHSTAUACCvmgZ7Pq9z8AAAAAJAAAAPz8APwAAgAAAAAAAPC/Ag+cM6K0twZAAtEi2/l+atg/AAAAABgAAAD8/AD8AAIAAAAAAADwvwJseHqlLEPzvwIxCKwcWmTlPwAAAAAYAAAA/PwA/AACAAAAAAAA8L8CpwpGJXWCAcACbsX+snvy6j8AAAAAGAAAAPz8APwAAgAAAAAAAPC/AvT91HjppgbAAuzAOSNKe7M/AAAAABgAAAD8/AD8AAIAAAAAAADwvwLRItv5fuoDwAJRa5p3nKLrvwAAAAAYAAAA/PwA/AACAAAAAAAA8L8CwqikTkAT+L8CR5T2Bl+Y8L8AAAAAGAAAAPz8APwAAgAAAAAAAPC/AqMjufyH9OG/AsHKoUW28/Y/AAAAACQAAAD8/AD8AAIAAAAAAADwvwJ6WKg1zTv1vwKu2F92T54AQAAAAAAkAAAA/PwA/AACAAAAAAAA8L8CmUwVjErqtD8C7Z48LNSaAUAAAAAAJAAAAPz8APwAAgAAAAAAAPC/Ap/Nqs/VVsw/Al+YTBWMSvQ/AAAAAAEXAAQBZQQAAAAAAAAAAAAUAWUEAAAAAAAAAAAECAFlBAAAAAAAAAAACAwBZQQAAAAAAAAAAAwQAWUEAAAAAAAAAAAQFAFlBAAAAAAAAAAAGAABZQQAAAAAAAAAAAAcAWUEAAAAAAAAAAAcIAFlBAAAAAAAAAAAICQBZQQAAAAAAAAAACAoAWUIAAAAAAAAAAAMLAFlBAAAAAAAAAAADDABZQQAAAAAAAAAABg0AWUIDAAAAAAAAAA0OAFlBAAAAAAAAAAAODwBZQgIAAAAAAAAADwBEAFlBAAAAAAAAAAAARABEQFlCAgAAAAAAAAAAREYAWUEAAAAAAAAAAA0ARIBZQQAAAAAAAAAAAESARMBZQQAAAAAAAAAAAESARQBZQQAAAAAAAAAAAESARUBZQQAAAAAAAAAAAAAAAA=</t>
        </r>
      </text>
    </comment>
    <comment ref="A1533" authorId="0" shapeId="0" xr:uid="{1EA7F5F2-F8C6-41C2-AAF2-DACB68063A43}">
      <text>
        <r>
          <rPr>
            <sz val="9"/>
            <color indexed="81"/>
            <rFont val="MS P ゴシック"/>
            <family val="3"/>
            <charset val="128"/>
          </rPr>
          <t>Insight iXlW00001C0001533R0585476093S00003064P01688LAocjBAQBF1NjaVRlZ2ljLmRhdGEuTW9sZWN1bGUBbwF/ARJTY2lUZWdpYy5Nb2xlY3VsZQAAAQFkAv5qAQAAAAIAAgEWGAAAAPz8APwAAgAAAAAAAPC/At4kBoGVQ+k/Ak7zjlN0JMe/AAAAABgAAAD8/AD8AAIAAAAAAADwvwLeJAaBlUPpPwItQxzr4jbqPwAAAAAYAAAA/PwA/AACAAAAAAAA8L8CsHJoke18+j8ClyGOdXEb9T8AAAAAGAAAAPz8APwAAgAAAAAAAPC/AnnpJjEILARAAi1DHOviNuo/AAAAABgAAAD8/AD8AAIAAAAAAADwvwJ56SYxCCwEQAJO845TdCTHvwAAAAAYAAAA/PwA/AACAAAAAAAA8L8CsHJoke18+j8C1LzjFB3J5b8AAAAAGAAAAPz8APwAAgAAAAAAAPC/Ao9TdCSX/8i/ApPLf0i/fX2/AAAAABgAAAD8/AD8AAIAAAAAAADwvwKkcD0K16PcPwIhsHJoke3xvwAAAAAYAAAA/PwA/AACAAAAAAAA8L8CxEKtad5x8T8COiNKe4Mv/r8AAAAAIAAAAPz8APwAAgAAAAAAAPC/AhvAWyBB8ec/Anl6pSxDnAbAAAAAACAAAAD8/AD8AAIAAAAAAADwvwLSb18HzpkAQAIrGJXUCWj7vwAAAAAkAAAA/PwA/AACAAAAAAAA8L8CnMQgsHLoBkAC3UYDeAsk/D8AAAAAJAAAAPz8APwAAgAAAAAAAPC/Aum3rwPnDAxAAg8tsp3vp+Q/AAAAABgAAAD8/AD8AAIAAAAAAADwvwIa4lgXt9HqvwLnjCjtDb7ovwAAAAAYAAAA/PwA/AACAAAAAAAA8L8C7g2+MJkq/b8Cq8/VVuwv478AAAAAGAAAAPz8APwAAgAAAAAAAPC/AhriWBe3UQHAAoenV8oyxNU/AAAAABgAAAD8/AD8AAIAAAAAAADwvwKY3ZOHhVr4vwKKsOHplbLxPwAAAAAYAAAA/PwA/AACAAAAAAAA8L8Cb4EExY8x4b8C16NwPQrX7T8AAAAAGAAAAPz8APwAAgAAAAAAAPC/Aoqw4emVMgnAAgCRfvs6cOA/AAAAACQAAAD8/AD8AAIAAAAAAADwvwLZX3ZPHpYKwAKDUUmdgCbevwAAAAAkAAAA/PwA/AACAAAAAAAA8L8CfT81XrqJEMACHqfoSC7/5T8AAAAAJAAAAPz8APwAAgAAAAAAAPC/AgIrhxbZzgfAAmHl0CLb+fc/AAAAAAEXAAQBZQQAAAAAAAAAAAAUAWUEAAAAAAAAAAAECAFlBAAAAAAAAAAACAwBZQQAAAAAAAAAAAwQAWUEAAAAAAAAAAAQFAFlBAAAAAAAAAAAGAABZQQAAAAAAAAAAAAcAWUEAAAAAAAAAAAcIAFlBAAAAAAAAAAAICQBZQQAAAAAAAAAACAoAWUIAAAAAAAAAAAMLAFlBAAAAAAAAAAADDABZQQAAAAAAAAAABg0AWUIDAAAAAAAAAA0OAFlBAAAAAAAAAAAODwBZQgIAAAAAAAAADwBEAFlBAAAAAAAAAAAARABEQFlCAgAAAAAAAAAAREYAWUEAAAAAAAAAAA8ARIBZQQAAAAAAAAAAAESARMBZQQAAAAAAAAAAAESARQBZQQAAAAAAAAAAAESARUBZQQAAAAAAAAAAAAAAAA=</t>
        </r>
      </text>
    </comment>
    <comment ref="A1534" authorId="0" shapeId="0" xr:uid="{B79B827F-2535-4BDE-B147-12B6E350955A}">
      <text>
        <r>
          <rPr>
            <sz val="9"/>
            <color indexed="81"/>
            <rFont val="MS P ゴシック"/>
            <family val="3"/>
            <charset val="128"/>
          </rPr>
          <t>Insight iXlW00001C0001534R0585476093S00003066P01160LAocjBAQBF1NjaVRlZ2ljLmRhdGEuTW9sZWN1bGUBbwF/ARJTY2lUZWdpYy5Nb2xlY3VsZQAAAQFkAv5qAQAAAAIAAjwYAAAA/PwA/AACAAAAAAAA8L8CEqW9wRcmA8ACF0hQ/Bhz9b8AAAAAIAAAAPz8APwAAgAAAAAAAPC/AhKlvcEXJgPAAlwgQfFjzNW/AAAAABgAAAD8/AD8AAIAAAAAAADwvwLi6ZWyDHH4vwJJv30dOGfEPwAAAAAYAAAA/PwA/AACAAAAAAAA8L8C4umVsgxx+L8C6bevA+eM8j8AAAAAGAAAAPz8APwAAgAAAAAAAPC/AkETYcPTK+W/Aum3rwPnjPo/AAAAABgAAAD8/AD8AAIAAAAAAADwvwILtaZ5xynKPwLpt68D54zyPwAAAAAcAAAA/PwA/AACAAAAAAAA8L8CsHJoke188j8CdSSX/5B+9z8AAAAAHAAAAPz8APwAAgAAAAAAAPC/AmrecYqO5Ps/AtJvXwfOGeU/AAAAABgAAAD8/AD8AAIAAAAAAADwvwKwcmiR7XzyPwISpb3BFybDvwAAAAAYAAAA/PwA/AACAAAAAAAA8L8CPN9PjZdu9z8CsVBrmnec8b8AAAAAIAAAAPz8APwAAgAAAAAAAPC/AnyDL0ymigNAAse6uI0G8PS/AAAAACAA/AD8/AD8AAIAAAAAAADwvwL5oGez6nPpPwI51sVtNID9vwAAAAAcAAAA/PwA/AACAAAAAAAA8L8CC7Wmeccpyj8CSb99HThnxD8AAAAAGAAAAPz8APwAAgAAAAAAAPC/AkETYcPTK+W/AlwgQfFjzNW/AAAAACwABAD8/AD8AAIAAAAAAADwvwLi6ZWyDPEJQAJ88rBQa5q3vwAAAAA8AAQBZQQAAAAAAAAAAAQIAWUEAAAAAAAAAAAIDAFlBAAAAAAAAAAADBABZQgIAAAAAAAAABAUAWUEAAAAAAAAAAAUGAFlCAwAAAAAAAAAGBwBZQQAAAAAAAAAABwgAWUIDAAAAAAAAAAgJAFlBAAAAAAAAAAAJCgBZQgAAAAAAAAAACQsAWUEAAAAAAAAAAAgMAFlBAAAAAAAAAAAMBQBZQQAAAAAAAAAADA0AWUEAAAAAAAAAAA0CAFlCAwAAAAAAAAAAAAAAA==</t>
        </r>
      </text>
    </comment>
    <comment ref="A1535" authorId="0" shapeId="0" xr:uid="{D145145A-8A49-4271-BBD6-8DA136EF7F72}">
      <text>
        <r>
          <rPr>
            <sz val="9"/>
            <color indexed="81"/>
            <rFont val="MS P ゴシック"/>
            <family val="3"/>
            <charset val="128"/>
          </rPr>
          <t>Insight iXlW00001C0001535R0585476093S00003068P01540LAocjBAQBF1NjaVRlZ2ljLmRhdGEuTW9sZWN1bGUBbwF/ARJTY2lUZWdpYy5Nb2xlY3VsZQAAAQFkAv5qAQAAAAIAAgEUGAAAAPz8APwAAgAAAAAAAPC/Auj7qfHSTeC/AmrecYqO5Pm/AAAAABgAAAD8/AD8AAIAAAAAAADwvwIyCKwcWmTfPwJq3nGKjuT5vwAAAAAcAAAA/PwA/AACAAAAAAAA8L8CL90kBoGV6T8CtoR80LNZ5b8AAAAAHAAAAPz8APwAAgAAAAAAAPC/Atv5fmq8dIO/AicxCKwcWrS/AAAAABgAAAD8/AD8AAIAAAAAAADwvwL+1HjpJjHqvwK2hHzQs1nlvwAAAAAYAAAA/PwA/AACAAAAAAAA8L8CHVpkO99P/L8Ce6UsQxzr1r8AAAAAGAAAAPz8APwAAgAAAAAAAPC/AsZtNIC3QPE/AnulLEMcawPAAAAAACAAAAD8/AD8AAIAAAAAAADwvwKTy39Iv33lPwJ90LNZ9bkKwAAAAAAgAAAA/PwA/AACAAAAAAAA8L8CvjCZKhiVAEAChlrTvOOUAsAAAAAAJAAAAPz8APwAAgAAAAAAAPC/Ao25awn5oADAAv0Yc9cS8vS/AAAAACQAAAD8/AD8AAIAAAAAAADwvwIW+8vuycMFwAJKDAIrhxapvwAAAAAkAAAA/PwA/AACAAAAAAAA8L8Cku18PzVe978Cfoy5awn54j8AAAAAGAAAAPz8APwAAgAAAAAAAPC/Atv5fmq8dIO/Atz5fmq8dO0/AAAAABgAAAD8/AD8AAIAAAAAAADwvwKcxCCwcmjrPwLufD81Xrr2PwAAAAAYAAAA/PwA/AACAAAAAAAA8L8CnMQgsHJo6z8Cd76fGi9dA0AAAAAAGAAAAPz8APwAAgAAAAAAAPC/Atv5fmq8dIO/Ane+nxovXQdAAAAAABgAAAD8/AD8AAIAAAAAAADwvwJrvHSTGATsvwJ3vp8aL10DQAAAAAAYAAAA/PwA/AACAAAAAAAA8L8Ca7x0kxgE7L8C7nw/NV669j8AAAAAIAAAAPz8APwAAgAAAAAAAPC/ApDC9Shcj/s/Ar5SliGOde0/AAAAABgAAAD8/AD8AAIAAAAAAADwvwJpke18P7UEQAJfKcsQx7r2PwAAAAABFQAEAWUEAAAAAAAAAAAECAFlCAgAAAAAAAAACAwBZQQAAAAAAAAAAAwQAWUEAAAAAAAAAAAQAAFlCAgAAAAAAAAAEBQBZQQAAAAAAAAAAAQYAWUEAAAAAAAAAAAYHAFlBAAAAAAAAAAAGCABZQgAAAAAAAAAABQkAWUEAAAAAAAAAAAUKAFlBAAAAAAAAAAAFCwBZQQAAAAAAAAAAAwwAWUEAAAAAAAAAAAwNAFlCAwAAAAAAAAANDgBZQQAAAAAAAAAADg8AWUICAAAAAAAAAA8ARABZQQAAAAAAAAAAAEQAREBZQgIAAAAAAAAAAERMAFlBAAAAAAAAAAANAESAWUEAAAAAAAAAAABEgETAWUEAAAAAAAAAAAAAAAA</t>
        </r>
      </text>
    </comment>
    <comment ref="A1536" authorId="0" shapeId="0" xr:uid="{B9185365-477A-4A84-9F81-0FAE28910B92}">
      <text>
        <r>
          <rPr>
            <sz val="9"/>
            <color indexed="81"/>
            <rFont val="MS P ゴシック"/>
            <family val="3"/>
            <charset val="128"/>
          </rPr>
          <t>Insight iXlW00001C0001536R0585476093S00003070P01004LAocjBAQBF1NjaVRlZ2ljLmRhdGEuTW9sZWN1bGUBbwF/ARJTY2lUZWdpYy5Nb2xlY3VsZQAAAQFkAv5qAQAAAAIAAjQcAAAA/PwA/AACAAAAAAAA8L8CZTvfT42X8L8CthX7y+7J5b8AAAAAGAAAAPz8APwAAgAAAAAAAPC/Aqrx0k1iEPa/AnIbDeAtkNA/AAAAABgAAAD8/AD8AAIAAAAAAADwvwLRItv5fmrgvwK5jQbwFkjoPwAAAAAYAAAA/PwA/AACAAAAAAAA8L8CKe0NvjCZ1j8CchsN4C2Q0D8AAAAAGAAAAPz8APwAAgAAAAAAAPC/AozbaABvgfM/ArmNBvAWSOg/AAAAABgAAAD8/AD8AAIAAAAAAADwvwLnHafoSK4AQAI2zTtO0ZHQPwAAAAAYAAAA/PwA/AACAAAAAAAA8L8C5x2n6EiuAEACZRniWBe3578AAAAAGAAAAPz8APwAAgAAAAAAAPC/AozbaABvgfM/ArMMcayL2/O/AAAAABwAAAD8/AD8AAIAAAAAAADwvwIp7Q2+MJnWPwJlGeJYF7fnvwAAAAAYAAAA/PwA/AACAAAAAAAA8L8CI2x4eqUsAMAC9rnaiv1l8D8AAAAAGAAAAPz8APwAAgAAAAAAAPC/AkVHcvkP6QLAAuSDns2qz7U/AAAAAAERAAAA/PwA/AACAAAAAAAA8L8CTYQNT68UB0ACJuSDns2qv78AAAAAAREAAAD8/AD8AAIAAAAAAADwvwJqb/CFyVQPQAKuR+F6FK63vwAAAAAwAAQBZQQAAAAAAAAAAAQIAWUEAAAAAAAAAAAIDAFlBAAAAAAAAAAADBABZQgMAAAAAAAAABAUAWUEAAAAAAAAAAAUGAFlCAgAAAAAAAAAGBwBZQQAAAAAAAAAABwgAWUICAAAAAAAAAAgDAFlBAAAAAAAAAAABCQBZQQAAAAAAAAAACQoAWUEAAAAAAAAAAAoBAFlBAAAAAAAAAAAAAAAAA==</t>
        </r>
      </text>
    </comment>
    <comment ref="A1537" authorId="0" shapeId="0" xr:uid="{B7618FD4-1B4C-47A1-922B-711C5847C329}">
      <text>
        <r>
          <rPr>
            <sz val="9"/>
            <color indexed="81"/>
            <rFont val="MS P ゴシック"/>
            <family val="3"/>
            <charset val="128"/>
          </rPr>
          <t>Insight iXlW00001C0001537R0585476093S00003072P01104LAocjBAQBF1NjaVRlZ2ljLmRhdGEuTW9sZWN1bGUBbwF/ARJTY2lUZWdpYy5Nb2xlY3VsZQAAAQFkAv5qAQAAAAIAAjgcAAAA/PwA/AACAAAAAAAA8L8CZO5aQj7o/D8CtoR80LNZ7z8AAAAAGAAAAPz8APwAAgAAAAAAAPC/AmPuWkI+6PQ/Ap2iI7n8h/0/AAAAABgAAAD8/AD8AAIAAAAAAADwvwKgGi/dJAbVPwKHONbFbTT6PwAAAAAcAAAA/PwA/AACAAAAAAAA8L8CAk2EDU+vzD8CoImw4emV5D8AAAAAGAAAAPz8APwAAgAAAAAAAPC/AqTfvg6cM/I/ApvmHafoSM4/AAAAABgAAAD8/AD8AAIAAAAAAADwvwJKnYAmwob1PwLQ1VbsL7vnvwAAAAAgAAAA/PwA/AACAAAAAAAA8L8CrBxaZDtfAkAC5IOezarP8L8AAAAAIAAAAPz8APwAAgAAAAAAAPC/AqLWNO84ReM/Aqd5xyk6kva/AAAAABgAAAD8/AD8AAIAAAAAAADwvwJDrWnecYrkvwKBJsKGp1fCPwAAAAAYAAAA/PwA/AACAAAAAAAA8L8CQ61p3nGK5L8CYHZPHhZq678AAAAAGAAAAPz8APwAAgAAAAAAAPC/AlTjpZvEIPi/AjC7Jw8LtfW/AAAAACAAAAD8/AD8AAIAAAAAAADwvwLLoUW28/0CwAJgdk8eFmrrvwAAAAAYAAAA/PwA/AACAAAAAAAA8L8Cy6FFtvP9AsACgSbChqdXwj8AAAAAGAAAAPz8APwAAgAAAAAAAPC/AlTjpZvEIPi/AqCJsOHpleQ/AAAAADwABAFlBAAAAAAAAAAABAgBZQgIAAAAAAAAAAgMAWUEAAAAAAAAAAAMEAFlBAAAAAAAAAAAEAABZQgIAAAAAAAAABAUAWUEAAAAAAAAAAAUGAFlCAAAAAAAAAAAFBwBZQQAAAAAAAAAAAwgAWUEAAAAAAAAAAAgJAFlBAAAAAAAAAAAIDQBZQQAAAAAAAAAACQoAWUEAAAAAAAAAAAoLAFlBAAAAAAAAAAALDABZQQAAAAAAAAAADA0AWUEAAAAAAAAAAAAAAAA</t>
        </r>
      </text>
    </comment>
    <comment ref="A1538" authorId="0" shapeId="0" xr:uid="{1A188540-3504-42E0-81ED-8AE459095BD0}">
      <text>
        <r>
          <rPr>
            <sz val="9"/>
            <color indexed="81"/>
            <rFont val="MS P ゴシック"/>
            <family val="3"/>
            <charset val="128"/>
          </rPr>
          <t>Insight iXlW00001C0001538R0585476093S00003074P00948LAocjBAQBF1NjaVRlZ2ljLmRhdGEuTW9sZWN1bGUBbwF/ARJTY2lUZWdpYy5Nb2xlY3VsZQAAAQFkAv5qAQAAAAIAAjAcAAAA/PwA/AACAAAAAAAA8L8CZTvfT42X8D8C1LzjFB3J5T8AAAAAGAAAAPz8APwAAgAAAAAAAPC/Aqrx0k1iEPY/AnIbDeAtkNC/AAAAABgAAAD8/AD8AAIAAAAAAADwvwLRItv5fmrgPwK5jQbwFkjovwAAAAAYAAAA/PwA/AACAAAAAAAA8L8CKe0NvjCZ1r8CchsN4C2Q0L8AAAAAGAAAAPz8APwAAgAAAAAAAPC/AozbaABvgfO/ArmNBvAWSOi/AAAAABgAAAD8/AD8AAIAAAAAAADwvwLnHafoSK4AwAJyGw3gLZDQvwAAAAAgAAAA/PwA/AACAAAAAAAA8L8C5x2n6EiuAMACSHL5D+m35z8AAAAAGAAAAPz8APwAAgAAAAAAAPC/AozbaABvgfO/ArMMcayL2/M/AAAAABgAAAD8/AD8AAIAAAAAAADwvwIp7Q2+MJnWvwJlGeJYF7fnPwAAAAAYAAAA/PwA/AACAAAAAAAA8L8CI2x4eqUsAEAC9rnaiv1l8L8AAAAAGAAAAPz8APwAAgAAAAAAAPC/AkVHcvkP6QJAAuSDns2qz7W/AAAAAAERAAAA/PwA/AACAAAAAAAA8L8CrK3YX3ZPCUAC6pWyDHGsuz8AAAAAMAAEAWUEAAAAAAAAAAAECAFlBAAAAAAAAAAACAwBZQQAAAAAAAAAAAwQAWUEAAAAAAAAAAAQFAFlBAAAAAAAAAAAFBgBZQQAAAAAAAAAABgcAWUEAAAAAAAAAAAcIAFlBAAAAAAAAAAAIAwBZQQAAAAAAAAAAAQkAWUEAAAAAAAAAAAkKAFlBAAAAAAAAAAAKAQBZQQAAAAAAAAAAAAAAAA=</t>
        </r>
      </text>
    </comment>
    <comment ref="A1539" authorId="0" shapeId="0" xr:uid="{181E07D2-E9B5-4D16-B533-B23BC61A3EEB}">
      <text>
        <r>
          <rPr>
            <sz val="9"/>
            <color indexed="81"/>
            <rFont val="MS P ゴシック"/>
            <family val="3"/>
            <charset val="128"/>
          </rPr>
          <t>Insight iXlW00001C0001539R0585476093S00003076P01540LAocjBAQBF1NjaVRlZ2ljLmRhdGEuTW9sZWN1bGUBbwF/ARJTY2lUZWdpYy5Nb2xlY3VsZQAAAQFkAv5qAQAAAAIAAgEUGAAAAPz8APwAAgAAAAAAAPC/Ar4wmSoYlfg/ApF++zpwzvK/AAAAABgAAAD8/AD8AAIAAAAAAADwvwJfmEwVjEoAQAJ6xyk6ksvTvwAAAAAcAAAA/PwA/AACAAAAAAAA8L8CjnVxGw3g9T8CpU5AE2HD2z8AAAAAHAAAAPz8APwAAgAAAAAAAPC/Au0vuycPC90/Ah3r4jYawJs/AAAAABgAAAD8/AD8AAIAAAAAAADwvwIGEhQ/xtzhPwIU0ETY8PTuvwAAAAAYAAAA/PwA/AACAAAAAAAA8L8CrkfhehSux78CyXa+nxov+r8AAAAAGAAAAPz8APwAAgAAAAAAAPC/AjqSy39IPwhAAi1DHOviNsq/AAAAACAAAAD8/AD8AAIAAAAAAADwvwIXSFD8GPMMQALx9EpZhjjwvwAAAAAgAAAA/PwA/AACAAAAAAAA8L8COdbFbTSAC0ACPZtVn6ut5j8AAAAAJAAAAPz8APwAAgAAAAAAAPC/AiWX/5B++94/AmFUUiegCQPAAAAAACQAAAD8/AD8AAIAAAAAAADwvwL7XG3F/rLtvwLEQq1p3nECwAAAAAAkAAAA/PwA/AACAAAAAAAA8L8Cam/whclU678CoYmw4emV7L8AAAAAGAAAAPz8APwAAgAAAAAAAPC/At4CCYofY9q/AlkXt9EA3uA/AAAAABgAAAD8/AD8AAIAAAAAAADwvwL5oGez6nP0vwId6+I2GsCbPwAAAAAYAAAA/PwA/AACAAAAAAAA8L8CnoAmwoYnAcACd76fGi/d4D8AAAAAGAAAAPz8APwAAgAAAAAAAPC/Ap6AJsKGJwHAAjzfT42Xbvg/AAAAABgAAAD8/AD8AAIAAAAAAADwvwL5oGez6nP0vwKe76fGSzcAQAAAAAAYAAAA/PwA/AACAAAAAAAA8L8CGlHaG3xh2r8CPN9PjZdu+D8AAAAAIAAAAPz8APwAAgAAAAAAAPC/Ar4wmSoYFQjAAp7vp8ZLNwBAAAAAABgAAAD8/AD8AAIAAAAAAADwvwLf4AuTqQIPwAI830+Nl274PwAAAAABFQAEAWUEAAAAAAAAAAAECAFlCAgAAAAAAAAACAwBZQQAAAAAAAAAAAwQAWUEAAAAAAAAAAAQAAFlCAgAAAAAAAAAEBQBZQQAAAAAAAAAAAQYAWUEAAAAAAAAAAAYHAFlBAAAAAAAAAAAGCABZQgAAAAAAAAAABQkAWUEAAAAAAAAAAAUKAFlBAAAAAAAAAAAFCwBZQQAAAAAAAAAAAwwAWUEAAAAAAAAAAAwNAFlCAwAAAAAAAAANDgBZQQAAAAAAAAAADg8AWUICAAAAAAAAAA8ARABZQQAAAAAAAAAAAEQAREBZQgIAAAAAAAAAAERMAFlBAAAAAAAAAAAPAESAWUEAAAAAAAAAAABEgETAWUEAAAAAAAAAAAAAAAA</t>
        </r>
      </text>
    </comment>
    <comment ref="A1540" authorId="0" shapeId="0" xr:uid="{26CD6CFC-2A04-4A26-8EB4-17C729482841}">
      <text>
        <r>
          <rPr>
            <sz val="9"/>
            <color indexed="81"/>
            <rFont val="MS P ゴシック"/>
            <family val="3"/>
            <charset val="128"/>
          </rPr>
          <t>Insight iXlW00001C0001540R0585476093S00003078P01004LAocjBAQBF1NjaVRlZ2ljLmRhdGEuTW9sZWN1bGUBbwF/ARJTY2lUZWdpYy5Nb2xlY3VsZQAAAQFkAv5qAQAAAAIAAjQcAAAA/PwA/AACAAAAAAAA8L8CZTvfT42X8D8C1LzjFB3J5T8AAAAAGAAAAPz8APwAAgAAAAAAAPC/Aqrx0k1iEPY/AnIbDeAtkNC/AAAAABgAAAD8/AD8AAIAAAAAAADwvwLRItv5fmrgPwK5jQbwFkjovwAAAAAYAAAA/PwA/AACAAAAAAAA8L8CKe0NvjCZ1r8CchsN4C2Q0L8AAAAAGAAAAPz8APwAAgAAAAAAAPC/AozbaABvgfO/ArmNBvAWSOi/AAAAABgAAAD8/AD8AAIAAAAAAADwvwLnHafoSK4AwAJyGw3gLZDQvwAAAAAcAAAA/PwA/AACAAAAAAAA8L8C5x2n6EiuAMACSHL5D+m35z8AAAAAGAAAAPz8APwAAgAAAAAAAPC/AozbaABvgfO/ArMMcayL2/M/AAAAABgAAAD8/AD8AAIAAAAAAADwvwIp7Q2+MJnWvwJlGeJYF7fnPwAAAAAYAAAA/PwA/AACAAAAAAAA8L8CI2x4eqUsAEAC9rnaiv1l8L8AAAAAGAAAAPz8APwAAgAAAAAAAPC/AkVHcvkP6QJAAuSDns2qz7W/AAAAAAERAAAA/PwA/AACAAAAAAAA8L8CrK3YX3ZPCUACrkfhehSutz8AAAAAAREAAAD8/AD8AAIAAAAAAADwvwJkzF1LyMcQQAIm5IOezaq/PwAAAAAwAAQBZQQAAAAAAAAAAAQIAWUEAAAAAAAAAAAIDAFlBAAAAAAAAAAADBABZQgMAAAAAAAAABAUAWUEAAAAAAAAAAAUGAFlCAgAAAAAAAAAGBwBZQQAAAAAAAAAABwgAWUICAAAAAAAAAAgDAFlBAAAAAAAAAAABCQBZQQAAAAAAAAAACQoAWUEAAAAAAAAAAAoBAFlBAAAAAAAAAAAAAAAAA==</t>
        </r>
      </text>
    </comment>
    <comment ref="A1541" authorId="0" shapeId="0" xr:uid="{A8AF725E-9D80-4F68-8B9D-CA0BE0EF5107}">
      <text>
        <r>
          <rPr>
            <sz val="9"/>
            <color indexed="81"/>
            <rFont val="MS P ゴシック"/>
            <family val="3"/>
            <charset val="128"/>
          </rPr>
          <t>Insight iXlW00001C0001541R0585476093S00003080P00508LAocjBAQBF1NjaVRlZ2ljLmRhdGEuTW9sZWN1bGUBbwF/ARJTY2lUZWdpYy5Nb2xlY3VsZQAAAQFkAv5qAQAAAAIAAhgYAAAA/PwA/AACAAAAAAAA8L8CE4PAyqFF8D8CRiV1ApoI0z8AAAAAGAAAAPz8APwAAgAAAAAAAPC/ArYV+8vuybM/AoSezarP1aa/AAAAABwAAAD8/AD8AAIAAAAAAADwvwKq8dJNYhDQPwJGtvP91HjwvwAAAAAYAAAA/PwA/AACAAAAAAAA8L8CkzoBTYQN278Cm+Ydp+hI6j8AAAAAGAAAAPz8APwAAgAAAAAAAPC/AkqdgCbChu2/AoSezarP1aa/AAAAAAERAAAA/PwA/AACAAAAAAAA8L8C4E+Nl24S/T8COrTIdr6fur8AAAAAFAAEAWUEAAAAAAAAAAAECAFlBAAAAAAAAAAABAwBZQQAAAAAAAAAAAwQAWUEAAAAAAAAAAAQBAFlBAAAAAAAAAAAAAAAAA==</t>
        </r>
      </text>
    </comment>
    <comment ref="A1542" authorId="0" shapeId="0" xr:uid="{01C3A05A-ADE2-4955-A7F5-9798B192DF17}">
      <text>
        <r>
          <rPr>
            <sz val="9"/>
            <color indexed="81"/>
            <rFont val="MS P ゴシック"/>
            <family val="3"/>
            <charset val="128"/>
          </rPr>
          <t>Insight iXlW00001C0001542R0585476093S00003082P00576LAocjBAQBF1NjaVRlZ2ljLmRhdGEuTW9sZWN1bGUBbwF/ARJTY2lUZWdpYy5Nb2xlY3VsZQAAAQFkAv5qAQAAAAIAAhwYAAAA/PwA/AACAAAAAAAA8L8C+THmriXk9j8CuECC4seY378AAAAAGAAAAPz8APwAAgAAAAAAAPC/AmFUUiegidw/Apjdk4eFWuW/AAAAABgAAAD8/AD8AAIAAAAAAADwvwIWjErqBDTJvwLAfR04Z0S5PwAAAAAcAAAA/PwA/AACAAAAAAAA8L8CYVRSJ6CJ3D8C6pWyDHGs6z8AAAAAGAAAAPz8APwAAgAAAAAAAPC/AsSxLm6jAfG/ArivA+eMKOM/AAAAABgAAAD8/AD8AAIAAAAAAADwvwLEsS5uowHxvwKRoPgx5q7ZvwAAAAABEQAAAPz8APwAAgAAAAAAAPC/AmN/2T152AFAAsB9HThnRLk/AAAAABgABAFlBAAAAAAAAAAABAgBZQQAAAAAAAAAAAgMAWUEAAAAAAAAAAAIEAFlBAAAAAAAAAAAEBQBZQQAAAAAAAAAABQIAWUEAAAAAAAAAAAAAAAA</t>
        </r>
      </text>
    </comment>
    <comment ref="A1543" authorId="0" shapeId="0" xr:uid="{F09047E8-787C-4604-82F6-4B51DF506BF5}">
      <text>
        <r>
          <rPr>
            <sz val="9"/>
            <color indexed="81"/>
            <rFont val="MS P ゴシック"/>
            <family val="3"/>
            <charset val="128"/>
          </rPr>
          <t>Insight iXlW00001C0001543R0585476093S00003084P01036LAocjBAQBF1NjaVRlZ2ljLmRhdGEuTW9sZWN1bGUBbwF/ARJTY2lUZWdpYy5Nb2xlY3VsZQAAAQFkAv5qAQAAAAIAAjQYAAAA/PwA/AACAAAAAAAA8L8CGy/dJAaB8T8Ck8t/SL991b8AAAAAGAAAAPz8APwAAgAAAAAAAPC/As47TtGRXP8/AtxoAG+BBMU/AAAAABgAAAD8/AD8AAIAAAAAAADwvwLnHafoSK4DQAIv/yH99nXmvwAAAAAYAAAA/PwA/AACAAAAAAAA8L8CGy/dJAaB+T8Cl/+Qfvs6878AAAAAGAAAAPz8APwAAgAAAAAAAPC/Asl2vp8aL80/AsnlP6Tfvuq/AAAAABgAAAD8/AD8AAIAAAAAAADwvwI2XrpJDALjPwK62or9ZffgPwAAAAAcAAAA/PwA/AACAAAAAAAA8L8CGy/dJAaB8T8Cn82qz9VW9j8AAAAAGAAAAPz8APwAAgAAAAAAAPC/AtEi2/l+auS/ApPLf0i/fdW/AAAAABgAAAD8/AD8AAIAAAAAAADwvwKq8dJNYhD4vwLJ5T+k377qvwAAAAAcAAAA/PwA/AACAAAAAAAA8L8CL/8h/fb1AsACV32utmJ/1b8AAAAAGAAAAPz8APwAAgAAAAAAAPC/Ai//If329QLAAlXBqKROQOU/AAAAABgAAAD8/AD8AAIAAAAAAADwvwKq8dJNYhD4vwKrYFRSJ6DyPwAAAAAYAAAA/PwA/AACAAAAAAAA8L8C0SLb+X5q5L8CVcGopE5A5T8AAAAAOAAEAWUEAAAAAAAAAAAECAFlBAAAAAAAAAAACAwBZQQAAAAAAAAAAAwAAWUEAAAAAAAAAAAAEAFlBAAAAAAAAAAAABQBZQQAAAAAAAAAABQYAWUEAAAAAAAAAAAQHAFlBAAAAAAAAAAAHCABZQgMAAAAAAAAACAkAWUEAAAAAAAAAAAkKAFlCAgAAAAAAAAAKCwBZQQAAAAAAAAAACwwAWUICAAAAAAAAAAwHAFlBAAAAAAAAAAAAAAAAA==</t>
        </r>
      </text>
    </comment>
    <comment ref="A1544" authorId="0" shapeId="0" xr:uid="{DB24DAF4-3473-45A8-B677-AF90919282F5}">
      <text>
        <r>
          <rPr>
            <sz val="9"/>
            <color indexed="81"/>
            <rFont val="MS P ゴシック"/>
            <family val="3"/>
            <charset val="128"/>
          </rPr>
          <t>Insight iXlW00001C0001544R0585476093S00003086P01304LAocjBAQBF1NjaVRlZ2ljLmRhdGEuTW9sZWN1bGUBbwF/ARJTY2lUZWdpYy5Nb2xlY3VsZQAAAQFkAv5qAQAAAAIAAgERIAAAAPz8APwAAgAAAAAAAPC/AjXvOEVHct2/AvXb14FzxgBAAAAAABgAAAD8/AD8AAIAAAAAAADwvwJahjjWxW2kPwKoV8oyxLHzPwAAAAAcAAAA/PwA/AACAAAAAAAA8L8CWmQ730+N8D8CL26jAbwF8j8AAAAAGAAAAPz8APwAAgAAAAAAAPC/AnDOiNLe4PM/AiWX/5B++8I/AAAAABwAAAD8/AD8AAIAAAAAAADwvwJZF7fRAN4AQAJuNIC3QILWvwAAAAAYAAAA/PwA/AACAAAAAAAA8L8CWRe30QDeAEACHA3gLZCg9b8AAAAAGAAAAPz8APwAAgAAAAAAAPC/AnDOiNLe4PM/AhwN4C2QoP2/AAAAABgAAAD8/AD8AAIAAAAAAADwvwK7uI0G8BbYPwIcDeAtkKD1vwAAAAAYAAAA/PwA/AACAAAAAAAA8L8Cu7iNBvAW2D8CbjSAt0CC1r8AAAAAGAAAAPz8APwAAgAAAAAAAPC/AmRd3EYDeNe/AspUwaikTtQ/AAAAABgAAAD8/AD8AAIAAAAAAADwvwLmriXkg57lvwLXNO84RUfkvwAAAAAYAAAA/PwA/AACAAAAAAAA8L8CL/8h/fZ1+r8C5WGh1jTv6r8AAAAAHAAAAPz8APwAAgAAAAAAAPC/Ai/dJAaBlQLAAq+2Yn/ZPbm/AAAAABgAAAD8/AD8AAIAAAAAAADwvwLqJjEIrBwAwAJI4XoUrkfrPwAAAAAYAAAA/PwA/AACAAAAAAAA8L8CGCZTBaOS8L8CutqK/WX38D8AAAAAAREAAAD8/AD8AAIAAAAAAADwvwLAfR04Z0QHQAIyCKwcWmS7PwAAAAABEQAAAPz8APwAAgAAAAAAAPC/AtxoAG+BhA9AAlVSJ6CJsME/AAAAAAERAAQBZQgAAAAAAAAAAAQIAWUEAAAAAAAAAAAIDAFlBAAAAAAAAAAADBABZQgMAAAAAAAAABAUAWUEAAAAAAAAAAAUGAFlCAgAAAAAAAAAGBwBZQQAAAAAAAAAABwgAWUICAAAAAAAAAAgDAFlBAAAAAAAAAAAICQBZQQAAAAAAAAAACQEAWUEAAAAAAAAAAAkKAFlBAAAAAAAAAAAKCwBZQQAAAAAAAAAACwwAWUEAAAAAAAAAAAwNAFlBAAAAAAAAAAANDgBZQQAAAAAAAAAADgkAWUEAAAAAAAAAAAAAAAA</t>
        </r>
      </text>
    </comment>
    <comment ref="A1545" authorId="0" shapeId="0" xr:uid="{22601109-256B-4565-9945-02D77A49B5AA}">
      <text>
        <r>
          <rPr>
            <sz val="9"/>
            <color indexed="81"/>
            <rFont val="MS P ゴシック"/>
            <family val="3"/>
            <charset val="128"/>
          </rPr>
          <t>Insight iXlW00001C0001545R0585476093S00003088P00576LAocjBAQBF1NjaVRlZ2ljLmRhdGEuTW9sZWN1bGUBbwF/ARJTY2lUZWdpYy5Nb2xlY3VsZQAAAQFkAv5qAQAAAAIAAhwYAAAA/PwA/AACAAAAAAAA8L8CYVRSJ6CJ3D8C6pWyDHGs6z8AAAAAGAAAAPz8APwAAgAAAAAAAPC/AhaMSuoENMm/AsB9HThnRLk/AAAAABgAAAD8/AD8AAIAAAAAAADwvwJhVFInoIncPwKY3ZOHhVrlvwAAAAAcAAAA/PwA/AACAAAAAAAA8L8C+THmriXk9j8CuECC4seY378AAAAAGAAAAPz8APwAAgAAAAAAAPC/AsSxLm6jAfG/ArivA+eMKOM/AAAAABgAAAD8/AD8AAIAAAAAAADwvwLEsS5uowHxvwKRoPgx5q7ZvwAAAAABEQAAAPz8APwAAgAAAAAAAPC/AmN/2T152AFAAsB9HThnRLk/AAAAABgABAFlBAAAAAAAAAAABAgBZQQAAAAAAAAAAAgMAWUEAAAAAAAAAAAEEAFlBAAAAAAAAAAAEBQBZQQAAAAAAAAAABQEAWUEAAAAAAAAAAAAAAAA</t>
        </r>
      </text>
    </comment>
    <comment ref="A1546" authorId="0" shapeId="0" xr:uid="{FCC08404-8418-4C87-8853-30CB06F37ADC}">
      <text>
        <r>
          <rPr>
            <sz val="9"/>
            <color indexed="81"/>
            <rFont val="MS P ゴシック"/>
            <family val="3"/>
            <charset val="128"/>
          </rPr>
          <t>Insight iXlW00001C0001546R0585476093S00003090P00648LAocjBAQBF1NjaVRlZ2ljLmRhdGEuTW9sZWN1bGUBbwF/ARJTY2lUZWdpYy5Nb2xlY3VsZQAAAQFkAv5qAQAAAAIAAiAYAAAA/PwA/AACAAAAAAAA8L8C1zTvOEVHsj8CWag1zTtO8L8AAAAAGAAAAPz8APwAAgAAAAAAAPC/Atc07zhFR7I/Ah8Wak3zjpO/AAAAABgAAAD8/AD8AAIAAAAAAADwvwJmGeJYF7ftvwIfFmpN846TvwAAAAAcAAAA/PwA/AACAAAAAAAA8L8CswxxrIvb9r8CF2pN845T7L8AAAAAGAAAAPz8APwAAgAAAAAAAPC/Atc07zhFR7I/Ak+vlGWIY+8/AAAAABgAAAD8/AD8AAIAAAAAAADwvwJO845TdCTxPwJPr5RliGPvPwAAAAAYAAAA/PwA/AACAAAAAAAA8L8CTvOOU3Qk8T8CHxZqTfOOk78AAAAAAREAAAD8/AD8AAIAAAAAAADwvwIbwFsgQfH9PwIfFmpN846TvwAAAAAcAAQBZQQAAAAAAAAAAAQIAWUEAAAAAAAAAAAIDAFlBAAAAAAAAAAABBABZQQAAAAAAAAAABAUAWUEAAAAAAAAAAAUGAFlBAAAAAAAAAAAGAQBZQQAAAAAAAAAAAAAAAA=</t>
        </r>
      </text>
    </comment>
    <comment ref="A1547" authorId="0" shapeId="0" xr:uid="{E6522D8B-82FB-4D7F-B425-979888CBE042}">
      <text>
        <r>
          <rPr>
            <sz val="9"/>
            <color indexed="81"/>
            <rFont val="MS P ゴシック"/>
            <family val="3"/>
            <charset val="128"/>
          </rPr>
          <t>Insight iXlW00001C0001547R0585476093S00003092P01004LAocjBAQBF1NjaVRlZ2ljLmRhdGEuTW9sZWN1bGUBbwF/ARJTY2lUZWdpYy5Nb2xlY3VsZQAAAQFkAv5qAQAAAAIAAjQcAAAA/PwA/AACAAAAAAAA8L8CysNCrWne6b8CxY8xdy2hAMAAAAAAGAAAAPz8APwAAgAAAAAAAPC/AsrDQq1p3um/AoofY+5aQvG/AAAAABgAAAD8/AD8AAIAAAAAAADwvwKTy39Iv32tPwIUP8bctYTivwAAAAAYAAAA/PwA/AACAAAAAAAA8L8CPb1SliGO7T8Cih9j7lpC8b8AAAAAGAAAAPz8APwAAgAAAAAAAPC/AuC+Dpwzovw/AhQ/xty1hOK/AAAAABgAAAD8/AD8AAIAAAAAAADwvwLgvg6cM6L8PwLYgXNGlPbaPwAAAAAcAAAA/PwA/AACAAAAAAAA8L8CPb1SliGO7T8C7MA5I0p77T8AAAAAGAAAAPz8APwAAgAAAAAAAPC/ApPLf0i/fa0/AtiBc0aU9to/AAAAABgAAAD8/AD8AAIAAAAAAADwvwLKw0Ktad7pvwLswDkjSnvtPwAAAAAYAAAA/PwA/AACAAAAAAAA8L8C5WGh1jTv9L8CuECC4seY/D8AAAAAGAAAAPz8APwAAgAAAAAAAPC/AuVhodY07/y/AuzAOSNKe+0/AAAAAAERAAAA/PwA/AACAAAAAAAA8L8C18VtNIC3BEACaCJseHqlxL8AAAAAAREAAAD8/AD8AAIAAAAAAADwvwLzsFBrmvcMQAIs1JrmHafAvwAAAAAwAAQBZQQAAAAAAAAAAAQIAWUEAAAAAAAAAAAIDAFlCAwAAAAAAAAADBABZQQAAAAAAAAAABAUAWUICAAAAAAAAAAUGAFlBAAAAAAAAAAAGBwBZQgIAAAAAAAAABwIAWUEAAAAAAAAAAAcIAFlBAAAAAAAAAAAICQBZQQAAAAAAAAAACQoAWUEAAAAAAAAAAAoIAFlBAAAAAAAAAAAAAAAAA==</t>
        </r>
      </text>
    </comment>
    <comment ref="A1548" authorId="0" shapeId="0" xr:uid="{3593A6C3-55C8-4C45-87FE-DAC8BC8DA400}">
      <text>
        <r>
          <rPr>
            <sz val="9"/>
            <color indexed="81"/>
            <rFont val="MS P ゴシック"/>
            <family val="3"/>
            <charset val="128"/>
          </rPr>
          <t>Insight iXlW00001C0001548R0585476093S00003094P00664LAocjBAQBF1NjaVRlZ2ljLmRhdGEuTW9sZWN1bGUBbwF/ARJTY2lUZWdpYy5Nb2xlY3VsZQAAAQFkAv5qAQAAAAIAAiAYAAAA/PwA/AACAAAAAAAA8L8CRIts5/up8L8Cy6FFtvP95L8AAAAAGAAAAPz8APwAAgAAAAAAAPC/AhFYObTIdsa/AiuHFtnO98O/AAAAABgAAAD8/AD8AAIAAAAAAADwvwIRWDm0yHbGvwLm0CLb+X7yvwAAAAAYAAAA/PwA/AACAAAAAAAA8L8CveMUHcnl6T8CcoqO5PIfkj8AAAAAGAAAAPz8APwAAgAAAAAAAPC/AnIbDeAtkOC/AqQBvAUSFOk/AAAAABgAAAD8/AD8AAIAAAAAAADwvwKaKhiV1An4vwLCFyZTBaPuPwAAAAAgAAAA/PwA/AACAAAAAAAA8L8CJCh+jLlr8j8CwhcmUwWj7j8AAAAAIAAAAPz8APwAAgAAAAAAAPC/AnpYqDXNO/c/Av0Yc9cS8ue/AAAAACAEAAFlBAAAAAAAAAAACAQBZQQAAAAAAAAAAAAIAWUEAAAAAAAAAAAMBAFlBAAAAAAAAAAABBABZQQAAAAAAAAAABAUAWUEAAAAAAAAAAAMGAFlCAAAAAAAAAAADBwBZQQAAAAAAAAAAAAAAAA=</t>
        </r>
      </text>
    </comment>
    <comment ref="A1549" authorId="0" shapeId="0" xr:uid="{51894506-054D-451A-A59B-238643711AEF}">
      <text>
        <r>
          <rPr>
            <sz val="9"/>
            <color indexed="81"/>
            <rFont val="MS P ゴシック"/>
            <family val="3"/>
            <charset val="128"/>
          </rPr>
          <t>Insight iXlW00001C0001549R0585476093S00003096P01196LAocjBAQBF1NjaVRlZ2ljLmRhdGEuTW9sZWN1bGUBbwF/ARJTY2lUZWdpYy5Nb2xlY3VsZQAAAQFkAv5qAQAAAAIAAjwcAAAA/PwA/AACAAAAAAAA8L8CMuauJeQDAEACj+TyH9Jv778AAAAAGAAAAPz8APwAAgAAAAAAAPC/AjLmriXkAwRAAlwgQfFjzL2/AAAAABgAAAD8/AD8AAIAAAAAAADwvwIy5q4l5AMAQAJ4nKIjufznPwAAAAAYAAAA/PwA/AACAAAAAAAA8L8CZMxdS8gH8D8CeJyiI7n85z8AAAAAGAAAAPz8APwAAgAAAAAAAPC/AsiYu5aQD+A/AlwgQfFjzL2/AAAAABgAAAD8/AD8AAIAAAAAAADwvwJkzF1LyAfwPwKP5PIf0m/vvwAAAAAcAAAA/PwA/AACAAAAAAAA8L8C0ETY8PRK1T8CxNMrZRni9z8AAAAAGAAAAPz8APwAAgAAAAAAAPC/AqCJsOHpleK/Alafq63YX/E/AAAAABgAAAD8/AD8AAIAAAAAAADwvwKZu5aQD3revwIGgZVDi2y3PwAAAAAYAAAA/PwA/AACAAAAAAAA8L8CQRNhw9Mr0b8CdEaU9gZf7L8AAAAAGAAAAPz8APwAAgAAAAAAAPC/AljKMsSxLvC/AmrecYqO5Pi/AAAAABwAAAD8/AD8AAIAAAAAAADwvwJnZmZmZmb/vwLfcYqO5PLzvwAAAAAYAAAA/PwA/AACAAAAAAAA8L8CPujZrPpcAcACUdobfGEy0b8AAAAAGAAAAPz8APwAAgAAAAAAAPC/AvVKWYY41va/Am8Sg8DKodk/AAAAACAAAAD8/AD8AAIAAAAAAADwvwKDUUmdgCb3vwJWn6ut2F/5PwAAAAABEQAEAWUEAAAAAAAAAAAECAFlCAgAAAAAAAAACAwBZQQAAAAAAAAAAAwQAWUICAAAAAAAAAAQFAFlBAAAAAAAAAAAFAABZQgIAAAAAAAAAAwYAWUEAAAAAAAAAAAYHAFlBAAAAAAAAAAAHCABZQQAAAAAAAAAACAQAWUEAAAAAAAAAAAgJAFlBAAAAAAAAAAAJCgBZQQAAAAAAAAAACgsAWUEAAAAAAAAAAAsMAFlBAAAAAAAAAAAMDQBZQQAAAAAAAAAADQgAWUEAAAAAAAAAAAcOAFlCAAAAAAAAAAAAAAAAA==</t>
        </r>
      </text>
    </comment>
    <comment ref="A1550" authorId="0" shapeId="0" xr:uid="{ABD0B451-12BF-4586-A699-EA984BB8EC69}">
      <text>
        <r>
          <rPr>
            <sz val="9"/>
            <color indexed="81"/>
            <rFont val="MS P ゴシック"/>
            <family val="3"/>
            <charset val="128"/>
          </rPr>
          <t>Insight iXlW00001C0001550R0585476093S00003098P01668LAocjBAQBF1NjaVRlZ2ljLmRhdGEuTW9sZWN1bGUBbwF/ARJTY2lUZWdpYy5Nb2xlY3VsZQAAAQFkAv5qAQAAAAIAAgEWGAAAAPz8APwAAgAAAAAAAPC/AkOtad5xCg1AAg+cM6K0N/s/AAAAABgAAAD8/AD8AAIAAAAAAADwvwJDrWnecQoNQAIeOGdEaW/mPwAAAAAYAAAA/PwA/AACAAAAAAAA8L8CotY07ziFEkACHjhnRGlv5j8AAAAAGAAAAPz8APwAAgAAAAAAAPC/AkOtad5xCg1AAsWPMXctIdO/AAAAACAAAAD8/AD8AAIAAAAAAADwvwJDrWnecQoFQAIeOGdEaW/mPwAAAAAYAAAA/PwA/AACAAAAAAAA8L8CQ61p3nEKAUACH4XrUbgexb8AAAAAIAAAAPz8APwAAgAAAAAAAPC/AkOtad5xCgVAAubQItv5fvC/AAAAABwAAAD8/AD8AAIAAAAAAADwvwKGWtO84xTyPwIfhetRuB7FvwAAAAAYAAAA/PwA/AACAAAAAAAA8L8CC7Wmeccp5D8CPN9PjZdu5j8AAAAAGAAAAPz8APwAAgAAAAAAAPC/AuqVsgxxrNe/AjzfT42XbuY/AAAAABwAAAD8/AD8AAIAAAAAAADwvwL1SlmGONbrvwIfhetRuB7FvwAAAAAYAAAA/PwA/AACAAAAAAAA8L8C6pWyDHGs178C5tAi2/l+8L8AAAAAGAAAAPz8APwAAgAAAAAAAPC/Agu1pnnHKeQ/AubQItv5fvC/AAAAABgAAAD8/AD8AAIAAAAAAADwvwJ7pSxDHOv9vwIfhetRuB7FvwAAAAAYAAAA/PwA/AACAAAAAAAA8L8CvVKWIY71AsAC5tAi2/l+8L8AAAAAGAAAAPz8APwAAgAAAAAAAPC/Ar5SliGO9QrAAubQItv5fvC/AAAAABgAAAD8/AD8AAIAAAAAAADwvwJvgQTFj/EQwALLoUW28/3gvwAAAAAYAAAA/PwA/AACAAAAAAAA8L8Cb4EExY/xEMAC5tAi2/l++L8AAAAAGAAAAPz8APwAAgAAAAAAAPC/Ar1SliGO9QLAAh44Z0Rpb+Y/AAAAACAAAAD8/AD8AAIAAAAAAADwvwK+UpYhjvUKwAIeOGdEaW/mPwAAAAAgAPwA/PwA/AACAAAAAAAA8L8Ce6UsQxzr/b8CUfwYc9cS+T8AAAAALAAEAPz8APwAAgAAAAAAAPC/AtUJaCJsuBVAAsP1KFyPwrU/AAAAAAEWAAQBZQQAAAAAAAAAAAQIAWUEAAAAAAAAAAAEDAFlBAAAAAAAAAAABBABZQQAAAAAAAAAABAUAWUEAAAAAAAAAAAUGAFlCAAAAAAAAAAAFBwBZQQAAAAAAAAAABwgAWUEAAAAAAAAAAAgJAFlBAAAAAAAAAAAJCgBZQQAAAAAAAAAACgsAWUEAAAAAAAAAAAsMAFlBAAAAAAAAAAAMBwBZQQAAAAAAAAAACg0AWUEAAAAAAAAAAA0OAFlBAAAAAAAAAAAODwBZQQAAAAAAAAAADwBEAFlBAAAAAAAAAAAARABEQFlBAAAAAAAAAAAARE8AWUEAAAAAAAAAAA0ARIBZQQAAAAAAAAAAAESARMBZQgAAAAAAAAAAAESARQBZQQAAAAAAAAAAAAAAAA=</t>
        </r>
      </text>
    </comment>
    <comment ref="A1551" authorId="0" shapeId="0" xr:uid="{7D615BBC-1FAB-4883-BE23-AC293F5EBD50}">
      <text>
        <r>
          <rPr>
            <sz val="9"/>
            <color indexed="81"/>
            <rFont val="MS P ゴシック"/>
            <family val="3"/>
            <charset val="128"/>
          </rPr>
          <t>Insight iXlW00001C0001551R0585476093S00003100P01004LAocjBAQBF1NjaVRlZ2ljLmRhdGEuTW9sZWN1bGUBbwF/ARJTY2lUZWdpYy5Nb2xlY3VsZQAAAQFkAv5qAQAAAAIAAjQcAAAA/PwA/AACAAAAAAAA8L8CUwWjkjqBBkACB/AWSFD8iL8AAAAAGAAAAPz8APwAAgAAAAAAAPC/AmWqYFRSJ/8/AsBbIEHxY+C/AAAAABgAAAD8/AD8AAIAAAAAAADwvwIjSnuDL0zxPwIH8BZIUPyIvwAAAAAYAAAA/PwA/AACAAAAAAAA8L8CI0p7gy9M8T8CQKTfvg6c7z8AAAAAHAAAAPz8APwAAgAAAAAAAPC/Ag5Pr5RliMs/AiDSb18Hzvc/AAAAABgAAAD8/AD8AAIAAAAAAADwvwLA7J48LNTkvwJApN++DpzvPwAAAAAYAAAA/PwA/AACAAAAAAAA8L8CwOyePCzU5L8CB/AWSFD8iL8AAAAAGAAAAPz8APwAAgAAAAAAAPC/Ag5Pr5RliMs/AsBbIEHxY+C/AAAAABgAAAD8/AD8AAIAAAAAAADwvwKi1jTvOEX4vwLAWyBB8WPgvwAAAAAYAAAA/PwA/AACAAAAAAAA8L8CUWuad5wiBMACwFsgQfFj4L8AAAAAGAAAAPz8APwAAgAAAAAAAPC/AlFrmnecIgDAAiKOdXEbDfa/AAAAAAERAAAA/PwA/AACAAAAAAAA8L8CumsJ+aDnDEACbqMBvAUSpD8AAAAAAREAAAD8/AD8AAIAAAAAAADwvwJrK/aX3ZMSQAIvbqMBvAWyPwAAAAAwAAQBZQQAAAAAAAAAAAQIAWUEAAAAAAAAAAAIDAFlBAAAAAAAAAAADBABZQgIAAAAAAAAABAUAWUEAAAAAAAAAAAUGAFlCAgAAAAAAAAAGBwBZQQAAAAAAAAAABwIAWUIDAAAAAAAAAAYIAFlBAAAAAAAAAAAICQBZQQAAAAAAAAAACQoAWUEAAAAAAAAAAAoIAFlBAAAAAAAAAAAAAAAAA==</t>
        </r>
      </text>
    </comment>
    <comment ref="A1552" authorId="0" shapeId="0" xr:uid="{596BDDF2-169C-4264-A3AC-F115E22F3E35}">
      <text>
        <r>
          <rPr>
            <sz val="9"/>
            <color indexed="81"/>
            <rFont val="MS P ゴシック"/>
            <family val="3"/>
            <charset val="128"/>
          </rPr>
          <t>Insight iXlW00001C0001552R0585476093S00003102P01004LAocjBAQBF1NjaVRlZ2ljLmRhdGEuTW9sZWN1bGUBbwF/ARJTY2lUZWdpYy5Nb2xlY3VsZQAAAQFkAv5qAQAAAAIAAjQcAAAA/PwA/AACAAAAAAAA8L8CtoR80LNZBkACb4EExY8x6T8AAAAAGAAAAPz8APwAAgAAAAAAAPC/AraEfNCzWQJAAqH4MeauJbS/AAAAABgAAAD8/AD8AAIAAAAAAADwvwJsCfmgZ7P0PwKh+DHmriW0vwAAAAAYAAAA/PwA/AACAAAAAAAA8L8C2BLyQc9m6T8Cb4EExY8x6T8AAAAAGAAAAPz8APwAAgAAAAAAAPC/AqO0N/jCZMq/Am+BBMWPMek/AAAAABgAAAD8/AD8AAIAAAAAAADwvwIp7Q2+MJnmvwKh+DHmriW0vwAAAAAcAAAA/PwA/AACAAAAAAAA8L8Co7Q3+MJkyr8CelioNc077r8AAAAAGAAAAPz8APwAAgAAAAAAAPC/AtgS8kHPZuk/Apj/kH77Ou6/AAAAABgAAAD8/AD8AAIAAAAAAADwvwKV9gZfmEz7vwKh+DHmriW0vwAAAAAYAAAA/PwA/AACAAAAAAAA8L8Cayv2l92TBMAC2IFzRpT22j8AAAAAGAAAAPz8APwAAgAAAAAAAPC/Amsr9pfdkwTAAhQ/xty1hOK/AAAAAAERAAAA/PwA/AACAAAAAAAA8L8CHeviNhrADEAC7Q2+MJkquL8AAAAAAREAAAD8/AD8AAIAAAAAAADwvwId6+I2GoASQAJ2cRsN4C2wvwAAAAAwAAQBZQQAAAAAAAAAAAQIAWUEAAAAAAAAAAAIDAFlCAwAAAAAAAAADBABZQQAAAAAAAAAABAUAWUICAAAAAAAAAAUGAFlBAAAAAAAAAAAGBwBZQgIAAAAAAAAABwIAWUEAAAAAAAAAAAUIAFlBAAAAAAAAAAAICQBZQQAAAAAAAAAACQoAWUEAAAAAAAAAAAoIAFlBAAAAAAAAAAAAAAAAA==</t>
        </r>
      </text>
    </comment>
    <comment ref="A1553" authorId="0" shapeId="0" xr:uid="{C806419E-A866-4221-A844-FDB02A06C91A}">
      <text>
        <r>
          <rPr>
            <sz val="9"/>
            <color indexed="81"/>
            <rFont val="MS P ゴシック"/>
            <family val="3"/>
            <charset val="128"/>
          </rPr>
          <t>Insight iXlW00001C0001553R0585476093S00003104P01004LAocjBAQBF1NjaVRlZ2ljLmRhdGEuTW9sZWN1bGUBbwF/ARJTY2lUZWdpYy5Nb2xlY3VsZQAAAQFkAv5qAQAAAAIAAjQcAAAA/PwA/AACAAAAAAAA8L8CMLsnDws1AEACiWNd3EYD9j8AAAAAGAAAAPz8APwAAgAAAAAAAPC/AjC7Jw8LNQBAAiKOdXEbDdg/AAAAABgAAAD8/AD8AAIAAAAAAADwvwKuad5xio7yPwJ6xyk6ksu/vwAAAAAYAAAA/PwA/AACAAAAAAAA8L8CrmnecYqO8j8CeJyiI7n88b8AAAAAGAAAAPz8APwAAgAAAAAAAPC/Aq8l5IOezdI/AnicoiO5/Pm/AAAAABwAAAD8/AD8AAIAAAAAAADwvwKsrdhfdk/ivwJ4nKIjufzxvwAAAAAYAAAA/PwA/AACAAAAAAAA8L8CrK3YX3ZP4r8CescpOpLLv78AAAAAGAAAAPz8APwAAgAAAAAAAPC/Aq8l5IOezdI/AiKOdXEbDdg/AAAAABgAAAD8/AD8AAIAAAAAAADwvwIYt9EA3gL3vwIijnVxGw3YPwAAAAAYAAAA/PwA/AACAAAAAAAA8L8CGLfRAN4C/78CysNCrWne8z8AAAAAGAAAAPz8APwAAgAAAAAAAPC/AozbaABvgQPAAiKOdXEbDdg/AAAAAAERAAAA/PwA/AACAAAAAAAA8L8ClyGOdXGbBkAC24r9Zffkwb8AAAAAAREAAAD8/AD8AAIAAAAAAADwvwKzDHGsi9sOQAI+eVioNc27vwAAAAAwAAQBZQQAAAAAAAAAAAQIAWUEAAAAAAAAAAAIDAFlBAAAAAAAAAAADBABZQgIAAAAAAAAABAUAWUEAAAAAAAAAAAUGAFlCAgAAAAAAAAAGBwBZQQAAAAAAAAAABwIAWUIDAAAAAAAAAAYIAFlBAAAAAAAAAAAICQBZQQAAAAAAAAAACQoAWUEAAAAAAAAAAAoIAFlBAAAAAAAAAAAAAAAAA==</t>
        </r>
      </text>
    </comment>
    <comment ref="A1554" authorId="0" shapeId="0" xr:uid="{8087A0E1-408C-4522-B2B4-E9329DA4FA11}">
      <text>
        <r>
          <rPr>
            <sz val="9"/>
            <color indexed="81"/>
            <rFont val="MS P ゴシック"/>
            <family val="3"/>
            <charset val="128"/>
          </rPr>
          <t>Insight iXlW00001C0001554R0585476093S00003106P00948LAocjBAQBF1NjaVRlZ2ljLmRhdGEuTW9sZWN1bGUBbwF/ARJTY2lUZWdpYy5Nb2xlY3VsZQAAAQFkAv5qAQAAAAIAAjAkAAAA/PwA/AACAAAAAAAA8L8CUdobfGEy6T8CLGUZ4lgX/T8AAAAAGAAAAPz8APwAAgAAAAAAAPC/Am+BBMWPMek/AljKMsSxLuo/AAAAABgAAAD8/AD8AAIAAAAAAADwvwL5oGez6nP6PwKwlGWIY13UPwAAAAAYAAAA/PwA/AACAAAAAAAA8L8C+aBns+pz+j8CqTXNO07R5b8AAAAAGAAAAPz8APwAAgAAAAAAAPC/Am+BBMWPMek/AtSa5h2n6PK/AAAAABgAAAD8/AD8AAIAAAAAAADwvwKyv+yePCy0vwKpNc07TtHlvwAAAAAYAAAA/PwA/AACAAAAAAAA8L8CelioNc077r8C1JrmHafo8r8AAAAAHAAAAPz8APwAAgAAAAAAAPC/An+MuWsJ+fy/Aqk1zTtO0eW/AAAAABgAAAD8/AD8AAIAAAAAAADwvwJ/jLlrCfn8vwKwlGWIY13UPwAAAAAYAAAA/PwA/AACAAAAAAAA8L8CelioNc077r8CWMoyxLEu6j8AAAAAGAAAAPz8APwAAgAAAAAAAPC/ArK/7J48LLS/ArCUZYhjXdQ/AAAAAAERAAAA/PwA/AACAAAAAAAA8L8C4zYawFugA0ACsJRliGNd1D8AAAAAMAAEAWUEAAAAAAAAAAAECAFlBAAAAAAAAAAACAwBZQgIAAAAAAAAAAwQAWUEAAAAAAAAAAAQFAFlCAwAAAAAAAAAFBgBZQQAAAAAAAAAABgcAWUEAAAAAAAAAAAcIAFlBAAAAAAAAAAAICQBZQQAAAAAAAAAACQoAWUEAAAAAAAAAAAoBAFlCAgAAAAAAAAAKBQBZQQAAAAAAAAAAAAAAAA=</t>
        </r>
      </text>
    </comment>
    <comment ref="A1555" authorId="0" shapeId="0" xr:uid="{B0543FDD-5EDB-4C27-BF16-D9C22C6F157A}">
      <text>
        <r>
          <rPr>
            <sz val="9"/>
            <color indexed="81"/>
            <rFont val="MS P ゴシック"/>
            <family val="3"/>
            <charset val="128"/>
          </rPr>
          <t>Insight iXlW00001C0001555R0585476093S00003108P01088LAocjBAQBF1NjaVRlZ2ljLmRhdGEuTW9sZWN1bGUBbwF/ARJTY2lUZWdpYy5Nb2xlY3VsZQAAAQFkAv5qAQAAAAIAAjgYAAAA/PwA/AACAAAAAAAA8L8CN6s+V1uxrz8Cm+Ydp+hI6r8AAAAAGAAAAPz8APwAAgAAAAAAAPC/AjerPldbse0/AjbNO07RkdS/AAAAABwAAAD8/AD8AAIAAAAAAADwvwLdtYR80LP8PwKb5h2n6EjqvwAAAAAYAAAA/PwA/AACAAAAAAAA8L8CDwu1pnlHBUACNs07TtGR1L8AAAAAGAAAAPz8APwAAgAAAAAAAPC/At21hHzQs/w/Ak7zjlN0JP2/AAAAABgAAAD8/AD8AAIAAAAAAADwvwI3qz5XW7HtPwJlGeJYF7flPwAAAAAgAAAA/PwA/AACAAAAAAAA8L8C3bWEfNCz/D8CswxxrIvb8j8AAAAAIAAAAPz8APwAAgAAAAAAAPC/AjerPldbsa8/ArMMcayL2/I/AAAAABgAAAD8/AD8AAIAAAAAAADwvwKyLm6jAbzpvwI2zTtO0ZHUvwAAAAAYAAAA/PwA/AACAAAAAAAA8L8Cm3ecoiO5+r8Cm+Ydp+hI6r8AAAAAGAAAAPz8APwAAgAAAAAAAPC/Au7rwDkjSgTAAjbNO07RkdS/AAAAABgAAAD8/AD8AAIAAAAAAADwvwLu68A5I0oEwAJlGeJYF7flPwAAAAAYAAAA/PwA/AACAAAAAAAA8L8Cm3ecoiO5+r8CQmDl0CLb8j8AAAAAGAAAAPz8APwAAgAAAAAAAPC/ArIubqMBvOm/AoPAyqFFtuU/AAAAADgEAAFlBAAAAAAAAAAABAgBZQQAAAAAAAAAAAgMAWUEAAAAAAAAAAAIEAFlBAAAAAAAAAAABBQBZQQAAAAAAAAAABQYAWUEAAAAAAAAAAAUHAFlCAAAAAAAAAAAACABZQQAAAAAAAAAACAkAWUIDAAAAAAAAAAkKAFlBAAAAAAAAAAAKCwBZQgIAAAAAAAAACwwAWUEAAAAAAAAAAAwNAFlCAgAAAAAAAAANCABZQQAAAAAAAAAAAAAAAA=</t>
        </r>
      </text>
    </comment>
    <comment ref="A1556" authorId="0" shapeId="0" xr:uid="{E396B0D4-3B60-4095-80E0-F1EC92FEC72A}">
      <text>
        <r>
          <rPr>
            <sz val="9"/>
            <color indexed="81"/>
            <rFont val="MS P ゴシック"/>
            <family val="3"/>
            <charset val="128"/>
          </rPr>
          <t>Insight iXlW00001C0001556R0585476093S00003110P01232LAocjBAQBF1NjaVRlZ2ljLmRhdGEuTW9sZWN1bGUBbwF/ARJTY2lUZWdpYy5Nb2xlY3VsZQAAAQFkAv5qAQAAAAIAAgEQGAAAAPz8APwAAgAAAAAAAPC/AhHHuriNBqA/AjLmriXkg+a/AAAAABgAAAD8/AD8AAIAAAAAAADwvwKPU3Qkl//gPwJFaW/whcnEPwAAAAAcAAAA/PwA/AACAAAAAAAA8L8CyCk6kst/+D8CRWlv8IXJxD8AAAAAGAAAAPz8APwAAgAAAAAAAPC/Ahzr4jYaQABAAjLmriXkg+a/AAAAABgAAAD8/AD8AAIAAAAAAADwvwLkFB3J5T8AQAJqTfOOU3TwPwAAAAAYAAAA/PwA/AACAAAAAAAA8L8C33GKjuTynz8Cak3zjlN08D8AAAAAIAAAAPz8APwAAgAAAAAAAPC/Ao9TdCSX/+A/Aqyt2F92T/4/AAAAACAAAAD8/AD8AAIAAAAAAADwvwJxrIvbaADvvwJqTfOOU3TwPwAAAAAYAAAA/PwA/AACAAAAAAAA8L8C5BQdyeU/CEACak3zjlN08D8AAAAAGAAAAPz8APwAAgAAAAAAAPC/Ah3r4jYaQAhAAjLmriXkg+a/AAAAABgAAAD8/AD8AAIAAAAAAADwvwKPU3Qkl//uvwIy5q4l5IPmvwAAAAAYAAAA/PwA/AACAAAAAAAA8L8CyCk6kst/978CW9O84xQd+b8AAAAAGAAAAPz8APwAAgAAAAAAAPC/AuQUHcnlvwPAAlvTvOMUHfm/AAAAABgAAAD8/AD8AAIAAAAAAADwvwLkFB3J5b8HwAIy5q4l5IPmvwAAAAAYAAAA/PwA/AACAAAAAAAA8L8CHeviNhrAA8ACRWlv8IXJxD8AAAAAGAAAAPz8APwAAgAAAAAAAPC/AjnWxW00gPe/AkVpb/CFycQ/AAAAAAEQBAABZQQAAAAAAAAAAAQIAWUEAAAAAAAAAAAIDAFlBAAAAAAAAAAACBABZQQAAAAAAAAAAAQUAWUEAAAAAAAAAAAUGAFlBAAAAAAAAAAAFBwBZQgAAAAAAAAAABAgAWUEAAAAAAAAAAAMJAFlBAAAAAAAAAAAACgBZQQAAAAAAAAAACgsAWUIDAAAAAAAAAAsMAFlBAAAAAAAAAAAMDQBZQgIAAAAAAAAADQ4AWUEAAAAAAAAAAA4PAFlCAgAAAAAAAAAPCgBZQQAAAAAAAAAAAAAAAA=</t>
        </r>
      </text>
    </comment>
    <comment ref="A1557" authorId="0" shapeId="0" xr:uid="{F84F0237-674E-405B-9E5A-C043D89AA982}">
      <text>
        <r>
          <rPr>
            <sz val="9"/>
            <color indexed="81"/>
            <rFont val="MS P ゴシック"/>
            <family val="3"/>
            <charset val="128"/>
          </rPr>
          <t>Insight iXlW00001C0001557R0585476093S00003112P01324LAocjBAQBF1NjaVRlZ2ljLmRhdGEuTW9sZWN1bGUBbwF/ARJTY2lUZWdpYy5Nb2xlY3VsZQAAAQFkAv5qAQAAAAIAAgERGAAAAPz8APwAAgAAAAAAAPC/AmU730+Nl8a/Avw6cM6I0ua/AAAAABgAAAD8/AD8AAIAAAAAAADwvwJOYhBYObTUPwIfFmpN847DPwAAAAAcAAAA/PwA/AACAAAAAAAA8L8ClBgEVg4t9T8CHxZqTfOOwz8AAAAAGAAAAPz8APwAAgAAAAAAAPC/ApQYBFYOLf0/Avw6cM6I0ua/AAAAABgAAAD8/AD8AAIAAAAAAADwvwKUGARWDi39PwIGo5I6AU3wPwAAAAAYAAAA/PwA/AACAAAAAAAA8L8CZTvfT42Xxr8Cd08eFmpN8D8AAAAAIAAAAPz8APwAAgAAAAAAAPC/Ak5iEFg5tNQ/ArivA+eMKP4/AAAAACAAAAD8/AD8AAIAAAAAAADwvwJt5/up8dLyvwJ3Tx4Wak3wPwAAAAAYAAAA/PwA/AACAAAAAAAA8L8CSgwCK4eWBkACBqOSOgFN8D8AAAAAGAAAAPz8APwAAgAAAAAAAPC/AkoMAiuHlgpAAh8Wak3zjsM/AAAAABgAAAD8/AD8AAIAAAAAAADwvwJKDAIrh5YGQAL8OnDOiNLmvwAAAAAYAAAA/PwA/AACAAAAAAAA8L8Cbef7qfHS8r8C/DpwzojS5r8AAAAAGAAAAPz8APwAAgAAAAAAAPC/Am3n+6nx0vq/AsB9HThnRPm/AAAAABgAAAD8/AD8AAIAAAAAAADwvwK38/3UeGkFwALAfR04Z0T5vwAAAAAYAAAA/PwA/AACAAAAAAAA8L8Ct/P91HhpCcAC/DpwzojS5r8AAAAAGAAAAPz8APwAAgAAAAAAAPC/Arfz/dR4aQXAAh8Wak3zjsM/AAAAABgAAAD8/AD8AAIAAAAAAADwvwJt5/up8dL6vwIfFmpN847DPwAAAAABEgQAAWUEAAAAAAAAAAAECAFlBAAAAAAAAAAACAwBZQQAAAAAAAAAAAgQAWUEAAAAAAAAAAAEFAFlBAAAAAAAAAAAFBgBZQQAAAAAAAAAABQcAWUIAAAAAAAAAAAQIAFlBAAAAAAAAAAADCgBZQQAAAAAAAAAACAkAWUEAAAAAAAAAAAkKAFlBAAAAAAAAAAAACwBZQQAAAAAAAAAACwwAWUIDAAAAAAAAAAwNAFlBAAAAAAAAAAANDgBZQgIAAAAAAAAADg8AWUEAAAAAAAAAAA8ARABZQgIAAAAAAAAAAEQLAFlBAAAAAAAAAAAAAAAAA==</t>
        </r>
      </text>
    </comment>
    <comment ref="A1558" authorId="0" shapeId="0" xr:uid="{FD3C4B5B-F018-43E3-9A89-F79CDE8B8E8D}">
      <text>
        <r>
          <rPr>
            <sz val="9"/>
            <color indexed="81"/>
            <rFont val="MS P ゴシック"/>
            <family val="3"/>
            <charset val="128"/>
          </rPr>
          <t>Insight iXlW00001C0001558R0585476093S00003114P01160LAocjBAQBF1NjaVRlZ2ljLmRhdGEuTW9sZWN1bGUBbwF/ARJTY2lUZWdpYy5Nb2xlY3VsZQAAAQFkAv5qAQAAAAIAAjwYAAAA/PwA/AACAAAAAAAA8L8CLpCg+DFmA8ACjErqBDQR8T8AAAAAGAAAAPz8APwAAgAAAAAAAPC/Ai6QoPgxZgPAAsKopE5AE7E/AAAAABgAAAD8/AD8AAIAAAAAAADwvwKqE9BE2PD4vwLQ1VbsL7vbvwAAAAAYAAAA/PwA/AACAAAAAAAA8L8C0GbV52or5r8CwqikTkATsT8AAAAAGAAAAPz8APwAAgAAAAAAAPC/AtBm1edqK+a/AhueXinLEPE/AAAAABgAAAD8/AD8AAIAAAAAAADwvwIbwFsgQfH4vwIbnl4pyxD5PwAAAAAYAAAA/PwA/AACAAAAAAAA8L8C0GbV52orxj8C0NVW7C+7278AAAAAHAAAAPz8APwAAgAAAAAAAPC/AhwN4C2QoPA/AsKopE5AE7E/AAAAABgAAAD8/AD8AAIAAAAAAADwvwLOGVHaG3z+PwLQ1VbsL7vbvwAAAAAYAAAA/PwA/AACAAAAAAAA8L8CHA3gLZCg8D8CjErqBDQR8T8AAAAAGAAAAPz8APwAAgAAAAAAAPC/AtBm1edqK8Y/AnS1FfvL7va/AAAAACAAAAD8/AD8AAIAAAAAAADwvwLQZtXnaivmvwJ0tRX7y+7+vwAAAAAgAAAA/PwA/AACAAAAAAAA8L8CHA3gLZCg8D8CdLUV+8vu/r8AAAAAGAAAAPz8APwAAgAAAAAAAPC/As4ZUdobfP4/AoxK6gQ0Efk/AAAAABgAAAD8/AD8AAIAAAAAAADwvwIIPZtVnysGQALCqKROQBOxPwAAAAA8AAQBZQgIAAAAAAAAAAQIAWUEAAAAAAAAAAAIDAFlCAgAAAAAAAAADBABZQQAAAAAAAAAABAUAWUICAAAAAAAAAAUAAFlBAAAAAAAAAAAGAwBZQQAAAAAAAAAABgcAWUEAAAAAAAAAAAcIAFlBAAAAAAAAAAAHCQBZQQAAAAAAAAAABgoAWUEAAAAAAAAAAAoLAFlBAAAAAAAAAAAKDABZQgAAAAAAAAAACQ0AWUEAAAAAAAAAAAgOAFlBAAAAAAAAAAAAAAAAA==</t>
        </r>
      </text>
    </comment>
    <comment ref="A1559" authorId="0" shapeId="0" xr:uid="{CA5AD089-51E6-4379-B55D-BC6B8567032D}">
      <text>
        <r>
          <rPr>
            <sz val="9"/>
            <color indexed="81"/>
            <rFont val="MS P ゴシック"/>
            <family val="3"/>
            <charset val="128"/>
          </rPr>
          <t>Insight iXlW00001C0001559R0585476093S00003116P01184LAocjBAQBF1NjaVRlZ2ljLmRhdGEuTW9sZWN1bGUBbwF/ARJTY2lUZWdpYy5Nb2xlY3VsZQAAAQFkAv5qAQAAAAIAAgEQGAAAAPz8APwAAgAAAAAAAPC/ApvmHafoyATAAgAAAAAAAPC/AAAAABgAAAD8/AD8AAIAAAAAAADwvwL0bFZ9rrb7vwIAAAAAAAD4vwAAAAAYAAAA/PwA/AACAAAAAAAA8L8Cg8DKoUW2678CAAAAAAAA8L8AAAAAGAAAAPz8APwAAgAAAAAAAPC/AoPAyqFFtuu/AAAAAAAYAAAA/PwA/AACAAAAAAAA8L8Cg8DKoUW2+78CAAAAAAAA4D8AAAAAGAAAAPz8APwAAgAAAAAAAPC/ApvmHafoyATAAAAAAAAYAAAA/PwA/AACAAAAAAAA8L8AAgAAAAAAAOA/AAAAABgAAAD8/AD8AAIAAAAAAADwvwACAAAAAAAA+D8AAAAAIAAAAPz8APwAAgAAAAAAAPC/AoPAyqFFtus/AgAAAAAAAABAAAAAACAAAAD8/AD8AAIAAAAAAADwvwKDwMqhRbbrvwIAAAAAAAAAQAAAAAAYAAAA/PwA/AACAAAAAAAA8L8Cg8DKoUW26z8CAAAAAAAA8L8AAAAAHAAAAPz8APwAAgAAAAAAAPC/AoPAyqFFtus/AAAAAAAYAAAA/PwA/AACAAAAAAAA8L8Cg8DKoUW2+z8CAAAAAAAA4D8AAAAAGAAAAPz8APwAAgAAAAAAAPC/ApvmHafoyARAAAAAAAAYAAAA/PwA/AACAAAAAAAA8L8Cm+Ydp+jIBEACAAAAAAAA8L8AAAAAGAAAAPz8APwAAgAAAAAAAPC/AvRsVn2utvs/AgAAAAAAAPi/AAAAAAERAAQBZQgIAAAAAAAAAAQIAWUEAAAAAAAAAAAIDAFlCAgAAAAAAAAADBABZQQAAAAAAAAAABAUAWUICAAAAAAAAAAUAAFlBAAAAAAAAAAAGAwBZQQAAAAAAAAAABgsAWUEAAAAAAAAAAAYHAFlBAAAAAAAAAAAHCABZQQAAAAAAAAAABwkAWUIAAAAAAAAAAAoLAFlBAAAAAAAAAAAKDwBZQQAAAAAAAAAACwwAWUEAAAAAAAAAAAwNAFlBAAAAAAAAAAANDgBZQQAAAAAAAAAADg8AWUEAAAAAAAAAAAAAAAA</t>
        </r>
      </text>
    </comment>
    <comment ref="A1560" authorId="0" shapeId="0" xr:uid="{6EB8D126-660C-4FE3-BF48-4412934F9391}">
      <text>
        <r>
          <rPr>
            <sz val="9"/>
            <color indexed="81"/>
            <rFont val="MS P ゴシック"/>
            <family val="3"/>
            <charset val="128"/>
          </rPr>
          <t>Insight iXlW00001C0001560R0585476093S00003118P01320LAocjBAQBF1NjaVRlZ2ljLmRhdGEuTW9sZWN1bGUBbwF/ARJTY2lUZWdpYy5Nb2xlY3VsZQAAAQFkAv5qAQAAAAIAAgERGAAAAPz8APwAAgAAAAAAAPC/Aj0s1JrmHfG/AiNseHqlLO2/AAAAABgAAAD8/AD8AAIAAAAAAADwvwJ/jLlrCfn+vwISNjy9Upb2vwAAAAAYAAAA/PwA/AACAAAAAAAA8L8CYHZPHhZqBsACBcWPMXct7b8AAAAAGAAAAPz8APwAAgAAAAAAAPC/AmB2Tx4WagbAAtzXgXNGlLY/AAAAABgAAAD8/AD8AAIAAAAAAADwvwJ/jLlrCfn+vwL8OnDOiNLiPwAAAAAYAAAA/PwA/AACAAAAAAAA8L8CPSzUmuYd8b8C3NeBc0aUtj8AAAAAGAAAAPz8APwAAgAAAAAAAPC/Atlfdk8eFsq/Avw6cM6I0uI/AAAAABgAAAD8/AD8AAIAAAAAAADwvwLZX3ZPHhbKvwJ+HThnRGn5PwAAAAAgAAAA/PwA/AACAAAAAAAA8L8Cb4EExY8x5T8Cvw6cM6K0AEAAAAAAIAAAAPz8APwAAgAAAAAAAPC/Aj0s1JrmHfG/Ar8OnDOitABAAAAAABwAAAD8/AD8AAIAAAAAAADwvwJvgQTFjzHlPwLc14FzRpS2PwAAAAAYAAAA/PwA/AACAAAAAAAA8L8C+aBns+pz+D8C/DpwzojS4j8AAAAAGAAAAPz8APwAAgAAAAAAAPC/Ap6AJsKGJwNAAtzXgXNGlLY/AAAAABwAAAD8/AD8AAIAAAAAAADwvwKegCbChicDQAIFxY8xdy3tvwAAAAAYAAAA/PwA/AACAAAAAAAA8L8C+aBns+pz+D8CEjY8vVKW9r8AAAAAGAAAAPz8APwAAgAAAAAAAPC/Am+BBMWPMeU/AiNseHqlLO2/AAAAABgAAAD8/AD8AAIAAAAAAADwvwK+MJkqGBUKQAKD4seYu5b2vwAAAAABEgAEAWUEAAAAAAAAAAAAFAFlCAgAAAAAAAAABAgBZQgIAAAAAAAAAAgMAWUEAAAAAAAAAAAMEAFlCAgAAAAAAAAAEBQBZQQAAAAAAAAAABgUAWUEAAAAAAAAAAAYHAFlBAAAAAAAAAAAHCABZQQAAAAAAAAAABwkAWUIAAAAAAAAAAAYKAFlBAAAAAAAAAAAKCwBZQQAAAAAAAAAACg8AWUEAAAAAAAAAAAsMAFlBAAAAAAAAAAAMDQBZQQAAAAAAAAAADQ4AWUEAAAAAAAAAAA4PAFlBAAAAAAAAAAANAEQAWUEAAAAAAAAAAAAAAAA</t>
        </r>
      </text>
    </comment>
    <comment ref="A1561" authorId="0" shapeId="0" xr:uid="{EB14B5D2-DC50-47D6-8B01-5291600C9218}">
      <text>
        <r>
          <rPr>
            <sz val="9"/>
            <color indexed="81"/>
            <rFont val="MS P ゴシック"/>
            <family val="3"/>
            <charset val="128"/>
          </rPr>
          <t>Insight iXlW00001C0001561R0585476093S00003120P01072LAocjBAQBF1NjaVRlZ2ljLmRhdGEuTW9sZWN1bGUBbwF/ARJTY2lUZWdpYy5Nb2xlY3VsZQAAAQFkAv5qAQAAAAIAAjggAAAA/PwA/AACAAAAAAAA8L8C9ihcj8L1AMAC/mX35GGh6D8AAAAAGAAAAPz8APwAAgAAAAAAAPC/An4dOGdEafW/AvRsVn2utsI/AAAAABgAAAD8/AD8AAIAAAAAAADwvwK06nO1FfvbvwKQwvUoXI/iPwAAAAAYAAAA/PwA/AACAAAAAAAA8L8CkaD4Meau3T8C9GxWfa62wj8AAAAAGAAAAPz8APwAAgAAAAAAAPC/AnPXEvJBz9o/AjQRNjy9UvI/AAAAABgAAAD8/AD8AAIAAAAAAADwvwIf9GxWfa71PwL9GHPXEvL3PwAAAAAcAAAA/PwA/AACAAAAAAAA8L8CgNk9eVio/z8CHcnlP6Tf5j8AAAAAGAAAAPz8APwAAgAAAAAAAPC/AiqpE9BE2PY/ApeQD3o2q76/AAAAABwAAAD8/AD8AAIAAAAAAADwvwJn1edqK/blPwL3l92Th4XqvwAAAAAYAAAA/PwA/AACAAAAAAAA8L8CM1UwKqkTsD8CaQBvgQTF+b8AAAAAGAAAAPz8APwAAgAAAAAAAPC/Alr1udqK/e2/AmkAb4EExfm/AAAAABwAAAD8/AD8AAIAAAAAAADwvwIN4C2QoPj4vwL3l92Th4XqvwAAAAABEQAAAPz8APwAAgAAAAAAAPC/AiZTBaOSOgZAAqCJsOHplbK/AAAAAAERAAAA/PwA/AACAAAAAAAA8L8CQz7o2ax6DkACUdobfGEypb8AAAAANAAEAWUIAAAAAAAAAAAECAFlBAAAAAAAAAAADAgBZQQAAAAAAAAAAAwQAWUEAAAAAAAAAAAQFAFlBAAAAAAAAAAAFBgBZQQAAAAAAAAAABgcAWUEAAAAAAAAAAAcDAFlBAAAAAAAAAAADCABZQQAAAAAAAAAACAkAWUEAAAAAAAAAAAkKAFlBAAAAAAAAAAAKCwBZQQAAAAAAAAAACwEAWUEAAAAAAAAAAAAAAAA</t>
        </r>
      </text>
    </comment>
    <comment ref="A1562" authorId="0" shapeId="0" xr:uid="{9570854E-7504-4C16-B7D4-4428C2611304}">
      <text>
        <r>
          <rPr>
            <sz val="9"/>
            <color indexed="81"/>
            <rFont val="MS P ゴシック"/>
            <family val="3"/>
            <charset val="128"/>
          </rPr>
          <t>Insight iXlW00001C0001562R0585476093S00003122P01468LAocjBAQBF1NjaVRlZ2ljLmRhdGEuTW9sZWN1bGUBbwF/ARJTY2lUZWdpYy5Nb2xlY3VsZQAAAQFkAv5qAQAAAAIAAgETHAAAAPz8APwAAgAAAAAAAPC/AvMf0m9fB94/ArAD54wo7c0/AAAAABgAAAD8/AD8AAIAAAAAAADwvwKZTBWMSuq0vwJE+u3rwDnjvwAAAAAYAAAA/PwA/AACAAAAAAAA8L8C0NVW7C+78L8C6dms+lxt1b8AAAAAGAAAAPz8APwAAgAAAAAAAPC/AqH4MeauJf+/AvLSTWIQWLk/AAAAABgAAAD8/AD8AAIAAAAAAADwvwK5jQbwFsgGwALp2az6XG3VvwAAAAAcAAAA/PwA/AACAAAAAAAA8L8CgSbChqdX6r8CFNBE2PD09L8AAAAAGAAAAPz8APwAAgAAAAAAAPC/AqH4MeauJfe/AkGC4seYuwDAAAAAABgAAAD8/AD8AAIAAAAAAADwvwJR/Bhz15IDwAJBguLHmLsAwAAAAAAcAAAA/PwA/AACAAAAAAAA8L8CAW+BBMWPCMACFNBE2PD09L8AAAAAGAAAAPz8APwAAgAAAAAAAPC/AqabxCCwcvG/AjcawFsgQeU/AAAAABgAAAD8/AD8AAIAAAAAAADwvwId6+I2GsDDvwLkFB3J5T/wPwAAAAAgAAAA/PwA/AACAAAAAAAA8L8C8KfGSzcJDcACmbuWkA960j8AAAAAIAAAAPz8APwAAgAAAAAAAPC/AiS5/If02/4/AtPe4AuTqfI/AAAAABgAAAD8/AD8AAIAAAAAAADwvwJd/kP67WsHQAKL/WX35GHzPwAAAAAYAAAA/PwA/AACAAAAAAAA8L8COUVHcvkPB0ACkKD4MeauAUAAAAAAGAAAAPz8APwAAgAAAAAAAPC/AiigibDhaQ9AAtJvXwfOGfQ/AAAAABgAAAD8/AD8AAIAAAAAAADwvwK5jQbwFsgHQAKrz9VW7C/LPwAAAAAYAAAA/PwA/AACAAAAAAAA8L8Ck8t/SL999z8CufyH9NvX0T8AAAAAIAAAAPz8APwAAgAAAAAAAPC/ApM6AU2EDQBAAl7cRgN4C+K/AAAAAAEUAAQBZQQAAAAAAAAAAAgEAWUEAAAAAAAAAAAIDAFlBAAAAAAAAAAADBABZQQAAAAAAAAAABQYAWUEAAAAAAAAAAAYHAFlBAAAAAAAAAAAHCABZQQAAAAAAAAAACAQAWUEAAAAAAAAAAAUCAFlBAAAAAAAAAAACCQBZQQAAAAAAAAAAAAoAWUEAAAAAAAAAAAoJAFlBAAAAAAAAAAAAAERAWUEAAAAAAAAAAAQLAFlCAAAAAAAAAAAMDQBZQQAAAAAAAAAADQ4AWUEAAAAAAAAAAA0PAFlBAAAAAAAAAAANAEQAWUEAAAAAAAAAAABEQESAWUIAAAAAAAAAAAwAREBZQQAAAAAAAAAAAAAAAA=</t>
        </r>
      </text>
    </comment>
    <comment ref="A1563" authorId="0" shapeId="0" xr:uid="{379552A7-8375-4E56-89F1-2AACA01524E9}">
      <text>
        <r>
          <rPr>
            <sz val="9"/>
            <color indexed="81"/>
            <rFont val="MS P ゴシック"/>
            <family val="3"/>
            <charset val="128"/>
          </rPr>
          <t>Insight iXlW00001C0001563R0585476093S00003124P01020LAocjBAQBF1NjaVRlZ2ljLmRhdGEuTW9sZWN1bGUBbwF/ARJTY2lUZWdpYy5Nb2xlY3VsZQAAAQFkAv5qAQAAAAIAAjQYAAAA/PwA/AACAAAAAAAA8L8CWRe30QDe/D8CAAAAAAAAwL8AAAAAGAAAAPz8APwAAgAAAAAAAPC/AlkXt9EA3vw/AgAAAAAAAOw/AAAAABgAAAD8/AD8AAIAAAAAAADwvwIvbqMBvAXuPwIAAAAAAAD2PwAAAAAYAAAA/PwA/AACAAAAAAAA8L8CL26jAbwF7j8CAAAAAAAA5L8AAAAAGAAAAPz8APwAAgAAAAAAAPC/AkymCkYldbI/AgAAAAAAAMC/AAAAABgAAAD8/AD8AAIAAAAAAADwvwJMpgpGJXWyPwIAAAAAAADsPwAAAAAgAAAA/PwA/AACAAAAAAAA8L8CumsJ+aBn6b8CAAAAAAAA9j8AAAAAGAAAAPz8APwAAgAAAAAAAPC/Ah8Wak3zjvq/AgAAAAAAAOw/AAAAABgAAAD8/AD8AAIAAAAAAADwvwIfFmpN8476vwIAAAAAAADAvwAAAAAYAAAA/PwA/AACAAAAAAAA8L8CumsJ+aBn6b8CAAAAAAAA5L8AAAAAGAAAAPz8APwAAgAAAAAAAPC/ArprCfmgZ+m/AgAAAAAAAPq/AAAAABwAAAD8/AD8AAIAAAAAAADwvwJdbcX+snuyPwIAAAAAAAABwAAAAAABEQAAAPz8APwAAgAAAAAAAPC/AhPyQc9m1QRAAgAAAAAAANi/AAAAADQABAFlCAgAAAAAAAAABAgBZQQAAAAAAAAAAAgUAWUICAAAAAAAAAAQDAFlCAgAAAAAAAAADAABZQQAAAAAAAAAABAUAWUEAAAAAAAAAAAQJAFlBAAAAAAAAAAAFBgBZQQAAAAAAAAAABgcAWUEAAAAAAAAAAAcIAFlBAAAAAAAAAAAICQBZQQAAAAAAAAAACQoAWUEAAAAAAAAAAAoLAFlBAAAAAAAAAAAAAAAAA==</t>
        </r>
      </text>
    </comment>
    <comment ref="A1564" authorId="0" shapeId="0" xr:uid="{483EB2E8-7480-443B-8896-F5E349932756}">
      <text>
        <r>
          <rPr>
            <sz val="9"/>
            <color indexed="81"/>
            <rFont val="MS P ゴシック"/>
            <family val="3"/>
            <charset val="128"/>
          </rPr>
          <t>Insight iXlW00001C0001564R0585476093S00003126P01088LAocjBAQBF1NjaVRlZ2ljLmRhdGEuTW9sZWN1bGUBbwF/ARJTY2lUZWdpYy5Nb2xlY3VsZQAAAQFkAv5qAQAAAAIAAjgYAAAA/PwA/AACAAAAAAAA8L8CTYQNT6+U+T8CtFn1udqKzb8AAAAAGAAAAPz8APwAAgAAAAAAAPC/Ak2EDU+vlPk/ApOpglFJneg/AAAAABgAAAD8/AD8AAIAAAAAAADwvwIXSFD8GHPnPwLKVMGopE70PwAAAAAYAAAA/PwA/AACAAAAAAAA8L8CF0hQ/Bhz5z8CbVZ9rrZi578AAAAAGAAAAPz8APwAAgAAAAAAAPC/AjlFR3L5D8G/ArRZ9bnais2/AAAAABgAAAD8/AD8AAIAAAAAAADwvwI5RUdy+Q/BvwKTqYJRSZ3oPwAAAAAgAAAA/PwA/AACAAAAAAAA8L8C0pFc/kP6778CylTBqKRO9D8AAAAAGAAAAPz8APwAAgAAAAAAAPC/AiupE9BE2P2/ApOpglFJneg/AAAAABgAAAD8/AD8AAIAAAAAAADwvwIrqRPQRNj9vwK0WfW52orNvwAAAAAYAAAA/PwA/AACAAAAAAAA8L8C0pFc/kP6778CbVZ9rrZi578AAAAAGAAAAPz8APwAAgAAAAAAAPC/AtKRXP5D+u+/AjerPldbsfu/AAAAABwAAAD8/AD8AAIAAAAAAADwvwKx4emVsgzBvwKbVZ+rrdgBwAAAAAAkAAAA/PwA/AACAAAAAAAA8L8CgEi/fR24A0ACylTBqKRO9D8AAAAAAREAAAD8/AD8AAIAAAAAAADwvwLnriXkgx4KQALarPpcbcXevwAAAAA4AAQBZQgIAAAAAAAAAAQIAWUEAAAAAAAAAAAIFAFlCAgAAAAAAAAAEAwBZQgIAAAAAAAAAAwAAWUEAAAAAAAAAAAQFAFlBAAAAAAAAAAAECQBZQQAAAAAAAAAABQYAWUEAAAAAAAAAAAYHAFlBAAAAAAAAAAAHCABZQQAAAAAAAAAACAkAWUEAAAAAAAAAAAkKAFlBAAAAAAAAAAAKCwBZQQAAAAAAAAAAAQwAWUEAAAAAAAAAAAAAAAA</t>
        </r>
      </text>
    </comment>
    <comment ref="A1565" authorId="0" shapeId="0" xr:uid="{AD0C7C91-7BB4-4D60-9D01-EC396321D92C}">
      <text>
        <r>
          <rPr>
            <sz val="9"/>
            <color indexed="81"/>
            <rFont val="MS P ゴシック"/>
            <family val="3"/>
            <charset val="128"/>
          </rPr>
          <t>Insight iXlW00001C0001565R0585476093S00003128P01004LAocjBAQBF1NjaVRlZ2ljLmRhdGEuTW9sZWN1bGUBbwF/ARJTY2lUZWdpYy5Nb2xlY3VsZQAAAQFkAv5qAQAAAAIAAjQYAAAA/PwA/AACAAAAAAAA8L8CZapgVFIn9L8CZRniWBe31T8AAAAAGAAAAPz8APwAAgAAAAAAAPC/AmWqYFRSJ/S/AlqGONbFbfU/AAAAABwAAAD8/AD8AAIAAAAAAADwvwKNKO0NvjDZvwJahjjWxW39PwAAAAAYAAAA/PwA/AACAAAAAAAA8L8CelioNc073j8CWoY41sVt9T8AAAAAGAAAAPz8APwAAgAAAAAAAPC/AnpYqDXNO94/AmUZ4lgXt9U/AAAAABgAAAD8/AD8AAIAAAAAAADwvwKNKO0NvjDZvwI2zTtO0ZHEvwAAAAAYAAAA/PwA/AACAAAAAAAA8L8CYHZPHhZq9T8CNs07TtGRxL8AAAAAHAAAAPz8APwAAgAAAAAAAPC/AlFrmnecogFAAmUZ4lgXt9U/AAAAABgAAAD8/AD8AAIAAAAAAADwvwKNKO0NvjDZvwKneccpOpLyvwAAAAAYAAAA/PwA/AACAAAAAAAA8L8CR5T2Bl+Y7L8C9GxWfa42AMAAAAAAGAAAAPz8APwAAgAAAAAAAPC/AryWkA96Nrs/Ai1DHOviNgDAAAAAAAERAAAA/PwA/AACAAAAAAAA8L8Ct9EA3gIJCEACxbEubqMBvL8AAAAAAREAAAD8/AD8AAIAAAAAAADwvwJq3nGKjiQQQAI8TtGRXP6zvwAAAAAwAAQBZQgIAAAAAAAAAAQIAWUEAAAAAAAAAAAIDAFlCAgAAAAAAAAADBABZQQAAAAAAAAAABAUAWUICAAAAAAAAAAUAAFlBAAAAAAAAAAAEBgBZQQAAAAAAAAAABgcAWUEAAAAAAAAAAAUIAFlBAAAAAAAAAAAJCABZQQAAAAAAAAAACgkAWUEAAAAAAAAAAAgKAFlBAAAAAAAAAAAAAAAAA==</t>
        </r>
      </text>
    </comment>
    <comment ref="A1566" authorId="0" shapeId="0" xr:uid="{14CB5A0B-2790-4138-A22B-5C250451C178}">
      <text>
        <r>
          <rPr>
            <sz val="9"/>
            <color indexed="81"/>
            <rFont val="MS P ゴシック"/>
            <family val="3"/>
            <charset val="128"/>
          </rPr>
          <t>Insight iXlW00001C0001566R0585476093S00003130P01004LAocjBAQBF1NjaVRlZ2ljLmRhdGEuTW9sZWN1bGUBbwF/ARJTY2lUZWdpYy5Nb2xlY3VsZQAAAQFkAv5qAQAAAAIAAjQYAAAA/PwA/AACAAAAAAAA8L8CmSoYldQJ8D8CPSzUmuYd6b8AAAAAGAAAAPz8APwAAgAAAAAAAPC/AtuK/WX35P0/AnlYqDXNO9K/AAAAABgAAAD8/AD8AAIAAAAAAADwvwLbiv1l9+T9PwLE0ytlGeLmPwAAAAAcAAAA/PwA/AACAAAAAAAA8L8CmSoYldQJ8D8C4umVsgxx8z8AAAAAGAAAAPz8APwAAgAAAAAAAPC/Ar1SliGOdcE/AsTTK2UZ4uY/AAAAABgAAAD8/AD8AAIAAAAAAADwvwK9UpYhjnXBPwJ5WKg1zTvSvwAAAAAYAAAA/PwA/AACAAAAAAAA8L8CtoR80LNZ578C4umVsgxx8z8AAAAAHAAAAPz8APwAAgAAAAAAAPC/Ap2iI7n8h/m/AsTTK2UZ4uY/AAAAABgAAAD8/AD8AAIAAAAAAADwvwK2hHzQs1nnvwI9LNSa5h3pvwAAAAAYAAAA/PwA/AACAAAAAAAA8L8C6pWyDHGs+78CPSzUmuYd6b8AAAAAGAAAAPz8APwAAgAAAAAAAPC/AltCPujZrPO/AmB2Tx4Wavq/AAAAAAERAAAA/PwA/AACAAAAAAAA8L8C1CtlGeJYBUACF9nO91Pjzb8AAAAAAREAAAD8/AD8AAIAAAAAAADwvwLwFkhQ/JgNQALbiv1l9+TJvwAAAAAwAAQBZQgIAAAAAAAAAAQIAWUEAAAAAAAAAAAIDAFlCAgAAAAAAAAADBABZQQAAAAAAAAAABAUAWUICAAAAAAAAAAUAAFlBAAAAAAAAAAAEBgBZQQAAAAAAAAAABgcAWUEAAAAAAAAAAAUIAFlBAAAAAAAAAAAJCABZQQAAAAAAAAAACgkAWUEAAAAAAAAAAAgKAFlBAAAAAAAAAAAAAAAAA==</t>
        </r>
      </text>
    </comment>
    <comment ref="A1567" authorId="0" shapeId="0" xr:uid="{EA1615E7-CBA0-4517-BA76-D32DF97DFD98}">
      <text>
        <r>
          <rPr>
            <sz val="9"/>
            <color indexed="81"/>
            <rFont val="MS P ゴシック"/>
            <family val="3"/>
            <charset val="128"/>
          </rPr>
          <t>Insight iXlW00001C0001567R0585476093S00003132P01004LAocjBAQBF1NjaVRlZ2ljLmRhdGEuTW9sZWN1bGUBbwF/ARJTY2lUZWdpYy5Nb2xlY3VsZQAAAQFkAv5qAQAAAAIAAjQYAAAA/PwA/AACAAAAAAAA8L8Co7Q3+MJkyj8Cb4EExY8x6b8AAAAAGAAAAPz8APwAAgAAAAAAAPC/AintDb4wmeY/AqH4MeauJbQ/AAAAABgAAAD8/AD8AAIAAAAAAADwvwKjtDf4wmTKPwKY/5B++zruPwAAAAAcAAAA/PwA/AACAAAAAAAA8L8C2BLyQc9m6b8CelioNc077j8AAAAAGAAAAPz8APwAAgAAAAAAAPC/AmwJ+aBns/S/AqH4MeauJbQ/AAAAABgAAAD8/AD8AAIAAAAAAADwvwLYEvJBz2bpvwJvgQTFjzHpvwAAAAAYAAAA/PwA/AACAAAAAAAA8L8CtoR80LNZAsACofgx5q4ltD8AAAAAHAAAAPz8APwAAgAAAAAAAPC/AraEfNCzWQbAAm+BBMWPMem/AAAAABgAAAD8/AD8AAIAAAAAAADwvwKV9gZfmEz7PwKh+DHmriW0PwAAAAAYAAAA/PwA/AACAAAAAAAA8L8Cayv2l92TBEAC2IFzRpT22r8AAAAAGAAAAPz8APwAAgAAAAAAAPC/Amsr9pfdkwRAAhQ/xty1hOI/AAAAAAERAAAA/PwA/AACAAAAAAAA8L8C0pFc/kP6CkACdnEbDeAtsD8AAAAAAREAAAD8/AD8AAIAAAAAAADwvwJ3vp8aL50RQALtDb4wmSq4PwAAAAAwAAQBZQgIAAAAAAAAAAQIAWUEAAAAAAAAAAAIDAFlCAgAAAAAAAAADBABZQQAAAAAAAAAABAUAWUICAAAAAAAAAAUAAFlBAAAAAAAAAAAEBgBZQQAAAAAAAAAABgcAWUEAAAAAAAAAAAEIAFlBAAAAAAAAAAAJCABZQQAAAAAAAAAACgkAWUEAAAAAAAAAAAgKAFlBAAAAAAAAAAAAAAAAA==</t>
        </r>
      </text>
    </comment>
    <comment ref="A1568" authorId="0" shapeId="0" xr:uid="{4CDBB17B-D7F2-4294-89FC-ED3FD591BAFE}">
      <text>
        <r>
          <rPr>
            <sz val="9"/>
            <color indexed="81"/>
            <rFont val="MS P ゴシック"/>
            <family val="3"/>
            <charset val="128"/>
          </rPr>
          <t>Insight iXlW00001C0001568R0585476093S00003134P01004LAocjBAQBF1NjaVRlZ2ljLmRhdGEuTW9sZWN1bGUBbwF/ARJTY2lUZWdpYy5Nb2xlY3VsZQAAAQFkAv5qAQAAAAIAAjQYAAAA/PwA/AACAAAAAAAA8L8CQmDl0CLb+L8CXrpJDAIr9D8AAAAAHAAAAPz8APwAAgAAAAAAAPC/AgAAAAAAAOa/Al+6SQwCK/w/AAAAABgAAAD8/AD8AAIAAAAAAADwvwINAiuHFtnGPwJeukkMAiv0PwAAAAAYAAAA/PwA/AACAAAAAAAA8L8CDQIrhxbZxj8CeekmMQis0D8AAAAAGAAAAPz8APwAAgAAAAAAAPC/AgAAAAAAAOa/Ag8tsp3vp86/AAAAABgAAAD8/AD8AAIAAAAAAADwvwJCYOXQItv4vwJ56SYxCKzQPwAAAAAYAAAA/PwA/AACAAAAAAAA8L8CAAAAAAAA5r8CokW28/3U878AAAAAHAAAAPz8APwAAgAAAAAAAPC/ApVliGNd3MY/AqJFtvP91Pu/AAAAABgAAAD8/AD8AAIAAAAAAADwvwL0bFZ9rrbwPwIPLbKd76fOvwAAAAAYAAAA/PwA/AACAAAAAAAA8L8C9GxWfa62+D8C5KWbxCCw8b8AAAAAGAAAAPz8APwAAgAAAAAAAPC/Ano2qz5XWwBAAg8tsp3vp86/AAAAAAERAAAA/PwA/AACAAAAAAAA8L8C4ZwRpb3BBkACiIVa07zjdL8AAAAAAREAAAD8/AD8AAIAAAAAAADwvwL9h/Tb1wEPQAJ90LNZ9bmaPwAAAAAwAAQBZQgIAAAAAAAAAAQIAWUEAAAAAAAAAAAIDAFlCAgAAAAAAAAADBABZQQAAAAAAAAAABAUAWUICAAAAAAAAAAUAAFlBAAAAAAAAAAAEBgBZQQAAAAAAAAAABgcAWUEAAAAAAAAAAAMIAFlBAAAAAAAAAAAJCABZQQAAAAAAAAAACgkAWUEAAAAAAAAAAAgKAFlBAAAAAAAAAAAAAAAAA==</t>
        </r>
      </text>
    </comment>
    <comment ref="A1569" authorId="0" shapeId="0" xr:uid="{9213A81B-5FDF-41A7-BA09-A43DF37DBF27}">
      <text>
        <r>
          <rPr>
            <sz val="9"/>
            <color indexed="81"/>
            <rFont val="MS P ゴシック"/>
            <family val="3"/>
            <charset val="128"/>
          </rPr>
          <t>Insight iXlW00001C0001569R0585476093S00003136P00948LAocjBAQBF1NjaVRlZ2ljLmRhdGEuTW9sZWN1bGUBbwF/ARJTY2lUZWdpYy5Nb2xlY3VsZQAAAQFkAv5qAQAAAAIAAjAkAAAA/PwA/AACAAAAAAAA8L8CFGHD0yvlAkACLGUZ4lgX7T8AAAAAGAAAAPz8APwAAgAAAAAAAPC/AlFrmnecovG/AmpN845TdPG/AAAAABwAAAD8/AD8AAIAAAAAAADwvwKTy39Iv33/vwLUmuYdp+jivwAAAAAYAAAA/PwA/AACAAAAAAAA8L8Ck8t/SL99/78CWMoyxLEu2j8AAAAAGAAAAPz8APwAAgAAAAAAAPC/AlFrmnecovG/AixlGeJYF+0/AAAAABgAAAD8/AD8AAIAAAAAAADwvwJ6WKg1zTvOvwLUmuYdp+jivwAAAAAYAAAA/PwA/AACAAAAAAAA8L8CelioNc07zr8CWMoyxLEu2j8AAAAAGAAAAPz8APwAAgAAAAAAAPC/AkcDeAskKOQ/AixlGeJYF+0/AAAAABgAAAD8/AD8AAIAAAAAAADwvwLlYaHWNO/3PwJYyjLEsS7aPwAAAAAYAAAA/PwA/AACAAAAAAAA8L8C5WGh1jTv9z8C1JrmHafo4r8AAAAAGAAAAPz8APwAAgAAAAAAAPC/AkcDeAskKOQ/AmpN845TdPG/AAAAAAERAAAA/PwA/AACAAAAAAAA8L8CescpOpJLCUACotY07zhFt78AAAAAMAgEAWUEAAAAAAAAAAAMCAFlBAAAAAAAAAAAEAwBZQQAAAAAAAAAABQEAWUEAAAAAAAAAAAYEAFlBAAAAAAAAAAAFBgBZQgIAAAAAAAAABwYAWUEAAAAAAAAAAAgHAFlCAwAAAAAAAAAIAABZQQAAAAAAAAAACQgAWUEAAAAAAAAAAAoJAFlCAgAAAAAAAAAKBQBZQQAAAAAAAAAAAAAAAA=</t>
        </r>
      </text>
    </comment>
    <comment ref="A1570" authorId="0" shapeId="0" xr:uid="{80A986EA-8097-4099-B77B-5AB6F9720369}">
      <text>
        <r>
          <rPr>
            <sz val="9"/>
            <color indexed="81"/>
            <rFont val="MS P ゴシック"/>
            <family val="3"/>
            <charset val="128"/>
          </rPr>
          <t>Insight iXlW00001C0001570R0585476093S00003138P00964LAocjBAQBF1NjaVRlZ2ljLmRhdGEuTW9sZWN1bGUBbwF/ARJTY2lUZWdpYy5Nb2xlY3VsZQAAAQFkAv5qAQAAAAIAAjQYAAAA/PwA/AACAAAAAAAA8L8CAAAAAAAA0L8AAAAAABgAAAD8/AD8AAIAAAAAAADwvwIAAAAAAADQPwKDwMqhRbbrvwAAAAAcAAAA/PwA/AACAAAAAAAA8L8CAAAAAAAA9D8Cg8DKoUW2678AAAAAGAAAAPz8APwAAgAAAAAAAPC/AgAAAAAAAPw/AAAAAAAYAAAA/PwA/AACAAAAAAAA8L8CAAAAAAAA9D8Cg8DKoUW26z8AAAAAGAAAAPz8APwAAgAAAAAAAPC/AgAAAAAAANA/AoPAyqFFtus/AAAAABgAAAD8/AD8AAIAAAAAAADwvwIAAAAAAADovwKDwMqhRbbrPwAAAAAYAAAA/PwA/AACAAAAAAAA8L8CAAAAAAAA6L8Cg8DKoUW2678AAAAAGAAAAPz8APwAAgAAAAAAAPC/AgAAAAAAAPy/AoPAyqFFtuu/AAAAABwAAAD8/AD8AAIAAAAAAADwvwIAAAAAAAACwAAAAAAAGAAAAPz8APwAAgAAAAAAAPC/AgAAAAAAAPy/AoPAyqFFtus/AAAAACAAAAD8/AD8AAIAAAAAAADwvwIAAAAAAAAGQAAAAAAAAREAAAD8/AD8AAIAAAAAAADwvwJnZmZmZmYMQAAAAAAANAAEAWUEAAAAAAAAAAAAFAFlBAAAAAAAAAAABAgBZQQAAAAAAAAAAAgMAWUEAAAAAAAAAAAMEAFlBAAAAAAAAAAAEBQBZQQAAAAAAAAAABgAAWUEAAAAAAAAAAAYKAFlBAAAAAAAAAAAABwBZQQAAAAAAAAAABwgAWUEAAAAAAAAAAAgJAFlBAAAAAAAAAAAJCgBZQQAAAAAAAAAAAwsAWUIAAAAAAAAAAAAAAAA</t>
        </r>
      </text>
    </comment>
    <comment ref="A1571" authorId="0" shapeId="0" xr:uid="{03783135-E5E5-40FD-91F2-D891E0A7B89B}">
      <text>
        <r>
          <rPr>
            <sz val="9"/>
            <color indexed="81"/>
            <rFont val="MS P ゴシック"/>
            <family val="3"/>
            <charset val="128"/>
          </rPr>
          <t>Insight iXlW00001C0001571R0585476093S00003140P00896LAocjBAQBF1NjaVRlZ2ljLmRhdGEuTW9sZWN1bGUBbwF/ARJTY2lUZWdpYy5Nb2xlY3VsZQAAAQFkAv5qAQAAAAIAAjAYAAAA/PwA/AACAAAAAAAA8L8AAAAAAAAYAAAA/PwA/AACAAAAAAAA8L8CAAAAAAAA4D8Cg8DKoUW26z8AAAAAGAAAAPz8APwAAgAAAAAAAPC/AgAAAAAAAPg/AoPAyqFFtus/AAAAACAAAAD8/AD8AAIAAAAAAADwvwIAAAAAAAAAQAAAAAAAGAAAAPz8APwAAgAAAAAAAPC/AgAAAAAAAPg/AoPAyqFFtuu/AAAAABgAAAD8/AD8AAIAAAAAAADwvwIAAAAAAADgPwKDwMqhRbbrvwAAAAAYAAAA/PwA/AACAAAAAAAA8L8CAAAAAAAA4L8Cg8DKoUW26z8AAAAAGAAAAPz8APwAAgAAAAAAAPC/AgAAAAAAAOC/AoPAyqFFtuu/AAAAABwAAAD8/AD8AAIAAAAAAADwvwIAAAAAAAD4vwKDwMqhRbbrvwAAAAAYAAAA/PwA/AACAAAAAAAA8L8CAAAAAAAAAMAAAAAAABgAAAD8/AD8AAIAAAAAAADwvwIAAAAAAAD4vwKDwMqhRbbrPwAAAAABEQAAAPz8APwAAgAAAAAAAPC/AmdmZmZmZgZAAAAAAAAwAAQBZQQAAAAAAAAAAAAUAWUEAAAAAAAAAAAECAFlBAAAAAAAAAAACAwBZQQAAAAAAAAAAAwQAWUEAAAAAAAAAAAQFAFlBAAAAAAAAAAAHCABZQQAAAAAAAAAABwAAWUEAAAAAAAAAAAgJAFlBAAAAAAAAAAAJCgBZQQAAAAAAAAAACgYAWUEAAAAAAAAAAAYAAFlBAAAAAAAAAAAAAAAAA==</t>
        </r>
      </text>
    </comment>
    <comment ref="A1572" authorId="0" shapeId="0" xr:uid="{7E49CFB8-FB52-4D2D-86FF-31C1C9B8ED95}">
      <text>
        <r>
          <rPr>
            <sz val="9"/>
            <color indexed="81"/>
            <rFont val="MS P ゴシック"/>
            <family val="3"/>
            <charset val="128"/>
          </rPr>
          <t>Insight iXlW00001C0001572R0585476093S00003142P00896LAocjBAQBF1NjaVRlZ2ljLmRhdGEuTW9sZWN1bGUBbwF/ARJTY2lUZWdpYy5Nb2xlY3VsZQAAAQFkAv5qAQAAAAIAAjAYAAAA/PwA/AACAAAAAAAA8L8AAAAAAAAcAAAA/PwA/AACAAAAAAAA8L8CAAAAAAAA4D8Cg8DKoUW2678AAAAAGAAAAPz8APwAAgAAAAAAAPC/AgAAAAAAAPg/AoPAyqFFtuu/AAAAABgAAAD8/AD8AAIAAAAAAADwvwIAAAAAAAAAQAAAAAAAGAAAAPz8APwAAgAAAAAAAPC/AgAAAAAAAPg/AoPAyqFFtus/AAAAABgAAAD8/AD8AAIAAAAAAADwvwIAAAAAAADgPwKDwMqhRbbrPwAAAAAYAAAA/PwA/AACAAAAAAAA8L8CAAAAAAAA4L8Cg8DKoUW26z8AAAAAGAAAAPz8APwAAgAAAAAAAPC/AgAAAAAAAOC/AoPAyqFFtuu/AAAAABgAAAD8/AD8AAIAAAAAAADwvwIAAAAAAAD4vwKDwMqhRbbrvwAAAAAgAAAA/PwA/AACAAAAAAAA8L8CAAAAAAAAAMAAAAAAABgAAAD8/AD8AAIAAAAAAADwvwIAAAAAAAD4vwKDwMqhRbbrPwAAAAABEQAAAPz8APwAAgAAAAAAAPC/AmdmZmZmZgZAAAAAAAAwAAQBZQQAAAAAAAAAAAAUAWUEAAAAAAAAAAAECAFlBAAAAAAAAAAACAwBZQQAAAAAAAAAAAwQAWUEAAAAAAAAAAAQFAFlBAAAAAAAAAAAGAABZQQAAAAAAAAAABgoAWUEAAAAAAAAAAAAHAFlBAAAAAAAAAAAHCABZQQAAAAAAAAAACAkAWUEAAAAAAAAAAAkKAFlBAAAAAAAAAAAAAAAAA==</t>
        </r>
      </text>
    </comment>
    <comment ref="A1573" authorId="0" shapeId="0" xr:uid="{83DC972D-BE1C-485F-81EB-BF4D9648CDAE}">
      <text>
        <r>
          <rPr>
            <sz val="9"/>
            <color indexed="81"/>
            <rFont val="MS P ゴシック"/>
            <family val="3"/>
            <charset val="128"/>
          </rPr>
          <t>Insight iXlW00001C0001573R0585476093S00003144P00948LAocjBAQBF1NjaVRlZ2ljLmRhdGEuTW9sZWN1bGUBbwF/ARJTY2lUZWdpYy5Nb2xlY3VsZQAAAQFkAv5qAQAAAAIAAjAYAAAA/PwA/AACAAAAAAAA8L8CWmQ730+N8j8CaLPqc7UV4b8AAAAAGAAAAPz8APwAAgAAAAAAAPC/AobJVMGopNo/AuELk6mCUcE/AAAAABwAAAD8/AD8AAIAAAAAAADwvwJ5eqUsQxzhvwJ6WKg1zTvGvwAAAAAYAAAA/PwA/AACAAAAAAAA8L8C7zhFR3L54z8Cxty1hHzQ8T8AAAAAIAAAAPz8APwAAgAAAAAAAPC/Aoc41sVtNPk/AlJJnYAmwvY/AAAAACAAAAD8/AD8AAIAAAAAAADwvwIAkX77OnC+vwL3l92Th4X8PwAAAAAYAAAA/PwA/AACAAAAAAAA8L8CyCk6kst/9b8CqoJRSZ2A2j8AAAAAGAAAAPz8APwAAgAAAAAAAPC/AirLEMe6OAHAAnpYqDXNO8a/AAAAABgAAAD8/AD8AAIAAAAAAADwvwLIKTqSy3/9vwIep+hILv/xvwAAAAAYAAAA/PwA/AACAAAAAAAA8L8Cj1N0JJf/6r8CHqfoSC7/8b8AAAAAGAAAAPz8APwAAgAAAAAAAPC/Avyp8dJN4gBAArwFEhQ/xsy/AAAAABgAAAD8/AD8AAIAAAAAAADwvwKI9NvXgXPuPwL+1HjpJjH4vwAAAAAwBAABZQQAAAAAAAAAAAQIAWUEAAAAAAAAAAAEDAFlBAAAAAAAAAAADBABZQQAAAAAAAAAAAwUAWUIAAAAAAAAAAAIGAFlBAAAAAAAAAAAGBwBZQQAAAAAAAAAABwgAWUEAAAAAAAAAAAgJAFlBAAAAAAAAAAAJAgBZQQAAAAAAAAAAAAoAWUEAAAAAAAAAAAALAFlBAAAAAAAAAAAAAAAAA==</t>
        </r>
      </text>
    </comment>
    <comment ref="A1574" authorId="0" shapeId="0" xr:uid="{3B5B5FEA-BC19-4CEA-BA34-A0EF2779B383}">
      <text>
        <r>
          <rPr>
            <sz val="9"/>
            <color indexed="81"/>
            <rFont val="MS P ゴシック"/>
            <family val="3"/>
            <charset val="128"/>
          </rPr>
          <t>Insight iXlW00001C0001574R0585476093S00003146P00984LAocjBAQBF1NjaVRlZ2ljLmRhdGEuTW9sZWN1bGUBbwF/ARJTY2lUZWdpYy5Nb2xlY3VsZQAAAQFkAv5qAQAAAAIAAjQYAAAA/PwA/AACAAAAAAAA8L8Cm1Wfq63Y8b8Cg8DKoUW26z8AAAAAGAAAAPz8APwAAgAAAAAAAPC/AjerPldbseO/AAAAAAAcAAAA/PwA/AACAAAAAAAA8L8Ck6mCUUmd2D8AAAAAABgAAAD8/AD8AAIAAAAAAADwvwLKVMGopE7sPwKDwMqhRbbrvwAAAAAYAAAA/PwA/AACAAAAAAAA8L8CylTBqKRO7D8Cg8DKoUW26z8AAAAAGAAAAPz8APwAAgAAAAAAAPC/AptVn6ut2PG/AoPAyqFFtuu/AAAAACAAAAD8/AD8AAIAAAAAAADwvwLOqs/VVuwAwAKDwMqhRbbrvwAAAAAgAAAA/PwA/AACAAAAAAAA8L8CN6s+V1ux478C9GxWfa62+78AAAAAGAAAAPz8APwAAgAAAAAAAPC/AmWqYFRSJ/4/AoPAyqFFtus/AAAAABgAAAD8/AD8AAIAAAAAAADwvwIzVTAqqRMDQAAAAAAAGAAAAPz8APwAAgAAAAAAAPC/AmWqYFRSJ/4/AoPAyqFFtuu/AAAAABgAAAD8/AD8AAIAAAAAAADwvwLOqs/VVuwAwAKDwMqhRbbrPwAAAAAYAAAA/PwA/AACAAAAAAAA8L8CN6s+V1ux478C9GxWfa62+z8AAAAANAQAAWUEAAAAAAAAAAAECAFlBAAAAAAAAAAACAwBZQQAAAAAAAAAAAgQAWUEAAAAAAAAAAAEFAFlBAAAAAAAAAAAFBgBZQQAAAAAAAAAABQcAWUIAAAAAAAAAAAQIAFlBAAAAAAAAAAADCgBZQQAAAAAAAAAACAkAWUEAAAAAAAAAAAkKAFlBAAAAAAAAAAAACwBZQQAAAAAAAAAAAAwAWUEAAAAAAAAAAAAAAAA</t>
        </r>
      </text>
    </comment>
    <comment ref="A1575" authorId="0" shapeId="0" xr:uid="{D589AEA9-FBFE-430E-BC5F-F51B1AF6A876}">
      <text>
        <r>
          <rPr>
            <sz val="9"/>
            <color indexed="81"/>
            <rFont val="MS P ゴシック"/>
            <family val="3"/>
            <charset val="128"/>
          </rPr>
          <t>Insight iXlW00001C0001575R0585476093S00003148P00984LAocjBAQBF1NjaVRlZ2ljLmRhdGEuTW9sZWN1bGUBbwF/ARJTY2lUZWdpYy5Nb2xlY3VsZQAAAQFkAv5qAQAAAAIAAjQYAAAA/PwA/AACAAAAAAAA8L8Cm1Wfq63Y8T8Cg8DKoUW2678AAAAAGAAAAPz8APwAAgAAAAAAAPC/AjerPldbseM/AAAAAAAcAAAA/PwA/AACAAAAAAAA8L8Ck6mCUUmd2L8AAAAAABgAAAD8/AD8AAIAAAAAAADwvwLKVMGopE7svwKDwMqhRbbrPwAAAAAYAAAA/PwA/AACAAAAAAAA8L8CylTBqKRO7L8Cg8DKoUW2678AAAAAGAAAAPz8APwAAgAAAAAAAPC/AptVn6ut2PE/AoPAyqFFtus/AAAAACAAAAD8/AD8AAIAAAAAAADwvwLOqs/VVuwAQAKDwMqhRbbrPwAAAAAgAAAA/PwA/AACAAAAAAAA8L8CN6s+V1ux4z8C9GxWfa62+z8AAAAAGAAAAPz8APwAAgAAAAAAAPC/AmWqYFRSJ/6/AoPAyqFFtuu/AAAAACAAAAD8/AD8AAIAAAAAAADwvwIzVTAqqRMDwAAAAAAAGAAAAPz8APwAAgAAAAAAAPC/AmWqYFRSJ/6/AoPAyqFFtus/AAAAABgAAAD8/AD8AAIAAAAAAADwvwLOqs/VVuwAQAKDwMqhRbbrvwAAAAAYAAAA/PwA/AACAAAAAAAA8L8CN6s+V1ux4z8C9GxWfa62+78AAAAANAQAAWUEAAAAAAAAAAAECAFlBAAAAAAAAAAACAwBZQQAAAAAAAAAAAgQAWUEAAAAAAAAAAAEFAFlBAAAAAAAAAAAFBgBZQQAAAAAAAAAABQcAWUIAAAAAAAAAAAQIAFlBAAAAAAAAAAADCgBZQQAAAAAAAAAACAkAWUEAAAAAAAAAAAkKAFlBAAAAAAAAAAAACwBZQQAAAAAAAAAAAAwAWUEAAAAAAAAAAAAAAAA</t>
        </r>
      </text>
    </comment>
    <comment ref="A1576" authorId="0" shapeId="0" xr:uid="{42F28F7E-3E8F-4653-A1BC-F701B5012F7B}">
      <text>
        <r>
          <rPr>
            <sz val="9"/>
            <color indexed="81"/>
            <rFont val="MS P ゴシック"/>
            <family val="3"/>
            <charset val="128"/>
          </rPr>
          <t>Insight iXlW00001C0001576R0585476093S00003150P01248LAocjBAQBF1NjaVRlZ2ljLmRhdGEuTW9sZWN1bGUBbwF/ARJTY2lUZWdpYy5Nb2xlY3VsZQAAAQFkAv5qAQAAAAIAAgEQGAAAAPz8APwAAgAAAAAAAPC/AkSLbOf7qdW/AjqSy39Iv+O/AAAAABgAAAD8/AD8AAIAAAAAAADwvwLE0ytlGeLgPwLSkVz+Q/q9vwAAAAAcAAAA/PwA/AACAAAAAAAA8L8CJEp7gy9M9j8COpLLf0i/478AAAAAGAAAAPz8APwAAgAAAAAAAPC/AsTTK2UZ4uA/AsZtNIC3QOw/AAAAACAAAAD8/AD8AAIAAAAAAADwvwIkSnuDL0z2PwLjNhrAWyD2PwAAAAAgAAAA/PwA/AACAAAAAAAA8L8CRIts5/up1b8C4zYawFsg9j8AAAAAGAAAAPz8APwAAgAAAAAAAPC/ApwzorQ3+Pc/AtS84xQdyfm/AAAAABgAAAD8/AD8AAIAAAAAAADwvwJz1xLyQc8DQALqJjEIrBz9vwAAAAAYAAAA/PwA/AACAAAAAAAA8L8Cc9cS8kHPB0ACUI2XbhKD7r8AAAAAGAAAAPz8APwAAgAAAAAAAPC/AhTQRNjwdAJAAnulLEMc68q/AAAAABgAAAD8/AD8AAIAAAAAAADwvwITg8DKoUXzvwLSkVz+Q/q9vwAAAAAYAAAA/PwA/AACAAAAAAAA8L8CqvHSTWKQAMACOpLLf0i/478AAAAAGAAAAPz8APwAAgAAAAAAAPC/AsuhRbbzfQfAAtKRXP5D+r2/AAAAABgAAAD8/AD8AAIAAAAAAADwvwLLoUW2830HwALGbTSAt0DsPwAAAAAYAAAA/PwA/AACAAAAAAAA8L8CqvHSTWKQAMAC4zYawFsg9j8AAAAAGAAAAPz8APwAAgAAAAAAAPC/AhODwMqhRfO/AsZtNIC3QOw/AAAAAAERBAABZQQAAAAAAAAAAAQIAWUEAAAAAAAAAAAEDAFlBAAAAAAAAAAADBABZQQAAAAAAAAAAAwUAWUIAAAAAAAAAAAIGAFlBAAAAAAAAAAAGBwBZQQAAAAAAAAAABwgAWUEAAAAAAAAAAAgJAFlBAAAAAAAAAAAJAgBZQQAAAAAAAAAAAAoAWUEAAAAAAAAAAAoLAFlCAwAAAAAAAAALDABZQQAAAAAAAAAADA0AWUICAAAAAAAAAA0OAFlBAAAAAAAAAAAODwBZQgIAAAAAAAAADwoAWUEAAAAAAAAAAAAAAAA</t>
        </r>
      </text>
    </comment>
    <comment ref="A1577" authorId="0" shapeId="0" xr:uid="{B141DDBE-FB8A-4B86-BFA9-399FA9FD6268}">
      <text>
        <r>
          <rPr>
            <sz val="9"/>
            <color indexed="81"/>
            <rFont val="MS P ゴシック"/>
            <family val="3"/>
            <charset val="128"/>
          </rPr>
          <t>Insight iXlW00001C0001577R0585476093S00003152P01396LAocjBAQBF1NjaVRlZ2ljLmRhdGEuTW9sZWN1bGUBbwF/ARJTY2lUZWdpYy5Nb2xlY3VsZQAAAQFkAv5qAQAAAAIAAgESGAAAAPz8APwAAgAAAAAAAPC/ApeQD3o2q9q/Ag6+MJkqGOe/AAAAABgAAAD8/AD8AAIAAAAAAADwvwKlvcEXJlO1PwLVCWgibHjCPwAAAAAcAAAA/PwA/AACAAAAAAAA8L8C2xt8YTJV8T8C1QloImx4wj8AAAAAGAAAAPz8APwAAgAAAAAAAPC/AtsbfGEyVfk/Ag6+MJkqGOe/AAAAABgAAAD8/AD8AAIAAAAAAADwvwLbG3xhMlX5PwJ8YTJVMCrwPwAAAAAYAAAA/PwA/AACAAAAAAAA8L8Cl5APejar2r8C7Q2+MJkq8D8AAAAAIAAAAPz8APwAAgAAAAAAAPC/AqW9wRcmU7U/Ai9uowG8Bf4/AAAAACAAAAD8/AD8AAIAAAAAAADwvwIm5IOezar2vwLtDb4wmSrwPwAAAAAYAAAA/PwA/AACAAAAAAAA8L8C7Q2+MJmqBEACfGEyVTAq8D8AAAAAHAAAAPz8APwAAgAAAAAAAPC/Au0NvjCZqghAAtUJaCJseMI/AAAAABgAAAD8/AD8AAIAAAAAAADwvwLtDb4wmaoEQAIOvjCZKhjnvwAAAAAYAAAA/PwA/AACAAAAAAAA8L8C9wZfmExVEEAC1QloImx4wj8AAAAAGAAAAPz8APwAAgAAAAAAAPC/Aibkg57Nqva/Ag6+MJkqGOe/AAAAABgAAAD8/AD8AAIAAAAAAADwvwIm5IOezar+vwJJv30dOGf5vwAAAAAYAAAA/PwA/AACAAAAAAAA8L8CE/JBz2ZVB8ACSb99HThn+b8AAAAAGAAAAPz8APwAAgAAAAAAAPC/AhPyQc9mVQvAAg6+MJkqGOe/AAAAABgAAAD8/AD8AAIAAAAAAADwvwIT8kHPZlUHwALVCWgibHjCPwAAAAAYAAAA/PwA/AACAAAAAAAA8L8CJuSDns2q/r8C1QloImx4wj8AAAAAARMEAAFlBAAAAAAAAAAABAgBZQQAAAAAAAAAAAgMAWUEAAAAAAAAAAAIEAFlBAAAAAAAAAAABBQBZQQAAAAAAAAAABQYAWUEAAAAAAAAAAAUHAFlCAAAAAAAAAAAECABZQQAAAAAAAAAAAwoAWUEAAAAAAAAAAAgJAFlBAAAAAAAAAAAJCgBZQQAAAAAAAAAACQsAWUEAAAAAAAAAAAAMAFlBAAAAAAAAAAAMDQBZQgMAAAAAAAAADQ4AWUEAAAAAAAAAAA4PAFlCAgAAAAAAAAAPAEQAWUEAAAAAAAAAAABEAERAWUICAAAAAAAAAABETABZQQAAAAAAAAAAAAAAAA=</t>
        </r>
      </text>
    </comment>
    <comment ref="A1578" authorId="0" shapeId="0" xr:uid="{D65024E5-4F37-4FB1-9D2F-7CCDE13565B9}">
      <text>
        <r>
          <rPr>
            <sz val="9"/>
            <color indexed="81"/>
            <rFont val="MS P ゴシック"/>
            <family val="3"/>
            <charset val="128"/>
          </rPr>
          <t>Insight iXlW00001C0001578R0585476093S00003154P01340LAocjBAQBF1NjaVRlZ2ljLmRhdGEuTW9sZWN1bGUBbwF/ARJTY2lUZWdpYy5Nb2xlY3VsZQAAAQFkAv5qAQAAAAIAAgERGAAAAPz8APwAAgAAAAAAAPC/Ahi30QDeAvM/AqK0N/jCZPK/AAAAABgAAAD8/AD8AAIAAAAAAADwvwKjI7n8h/T/PwIIzhlR2hvQPwAAAAAcAAAA/PwA/AACAAAAAAAA8L8Cn82qz9VW8T8CYAfOGVHaw78AAAAAGAAAAPz8APwAAgAAAAAAAPC/Ampv8IXJVAFAArkehetRuPW/AAAAABgAAAD8/AD8AAIAAAAAAADwvwJqb/CFyVQFQALc+X5qvHTfvwAAAAAYAAAA/PwA/AACAAAAAAAA8L8CYxBYObTIpj8Ct2J/2T153D8AAAAAGAAAAPz8APwAAgAAAAAAAPC/AmMQWDm0yKY/Aq7YX3ZPHvc/AAAAACAAAAD8/AD8AAIAAAAAAADwvwKKQWDl0CLtPwKu2F92Tx7/PwAAAAAgAAAA/PwA/AACAAAAAAAA8L8CfT81XrpJ6r8Crthfdk8e/z8AAAAAGAAAAPz8APwAAgAAAAAAAPC/An0/NV66Seq/AkvqBDQRNqy/AAAAABgAAAD8/AD8AAIAAAAAAADwvwJ9PzVeuknqvwJTJ6CJsOHwvwAAAAAYAAAA/PwA/AACAAAAAAAA8L8CcayL22gA+78CUyegibDh+L8AAAAAGAAAAPz8APwAAgAAAAAAAPC/AlqGONbFbQTAAlMnoImw4fC/AAAAABgAAAD8/AD8AAIAAAAAAADwvwJahjjWxW0EwAJL6gQ0ETasvwAAAAAYAAAA/PwA/AACAAAAAAAA8L8CAAAAAAAA+78Ct2J/2T153D8AAAAAGAAAAPz8APwAAgAAAAAAAPC/AmhEaW/wheU/ApchjnVxG+U/AAAAABgAAAD8/AD8AAIAAAAAAADwvwImdQKaCBvGPwI830+Nl27KvwAAAAABEwAMAWUEAAAAAAAAAAAMEAFlBAAAAAAAAAAABBABZQQAAAAAAAAAABQkAWUEAAAAAAAAAAAUCAFlBAAAAAAAAAAAFBgBZQQAAAAAAAAAABgcAWUEAAAAAAAAAAAYIAFlCAAAAAAAAAAAJCgBZQgMAAAAAAAAACgsAWUEAAAAAAAAAAAsMAFlCAgAAAAAAAAAMDQBZQQAAAAAAAAAADQ4AWUICAAAAAAAAAA4JAFlBAAAAAAAAAAACAQBZQQAAAAAAAAAAAgAAWUEAAAAAAAAAAAEPAFlBAAAAAAAAAAAAAEQAWUEAAAAAAAAAAA8ARABZQQAAAAAAAAAAAAAAAA=</t>
        </r>
      </text>
    </comment>
    <comment ref="A1579" authorId="0" shapeId="0" xr:uid="{1EAFA1F5-9A9B-498B-9F41-5CF38A00B63A}">
      <text>
        <r>
          <rPr>
            <sz val="9"/>
            <color indexed="81"/>
            <rFont val="MS P ゴシック"/>
            <family val="3"/>
            <charset val="128"/>
          </rPr>
          <t>Insight iXlW00001C0001579R0585476093S00003156P01004LAocjBAQBF1NjaVRlZ2ljLmRhdGEuTW9sZWN1bGUBbwF/ARJTY2lUZWdpYy5Nb2xlY3VsZQAAAQFkAv5qAQAAAAIAAjQYAAAA/PwA/AACAAAAAAAA8L8C/tR46SYx6D8CBFYOLbKd9b8AAAAAGAAAAPz8APwAAgAAAAAAAPC/AgmsHFpkO8+/AgRWDi2ynfW/AAAAABwAAAD8/AD8AAIAAAAAAADwvwLD9Shcj8LrvwItQxzr4jbivwAAAAAYAAAA/PwA/AACAAAAAAAA8L8CpHA9Ctej5L8CDeAtkKD42T8AAAAAGAAAAPz8APwAAgAAAAAAAPC/AvH0SlmGOOi/AjEIrBxaZPY/AAAAABwAAAD8/AD8AAIAAAAAAADwvwIYt9EA3gL8vwILRiV1Apr0PwAAAAAYAAAA/PwA/AACAAAAAAAA8L8CgEi/fR04+r8Cc9cS8kHP0j8AAAAAGAAAAPz8APwAAgAAAAAAAPC/Avyp8dJNYtA/AlkXt9EA3uo/AAAAABwAAAD8/AD8AAIAAAAAAADwvwJQjZduEoPyPwIN4C2QoPjZPwAAAAAYAAAA/PwA/AACAAAAAAAA8L8C4E+Nl24S9j8CLUMc6+I24r8AAAAAIAAAAPz8APwAAgAAAAAAAPC/AoSezarP1QJAAi4hH/RsVum/AAAAAAERAAAA/PwA/AACAAAAAAAA8L8C6wQ0ETY8CUACqTXNO07RgT8AAAAAAREAAAD8/AD8AAIAAAAAAADwvwIEeAskKL4QQAJahjjWxW2kPwAAAAAwACQBZQQAAAAAAAAAAAAEAWUEAAAAAAAAAAAECAFlBAAAAAAAAAAACAwBZQQAAAAAAAAAAAwYAWUEAAAAAAAAAAAMEAFlBAAAAAAAAAAAEBQBZQQAAAAAAAAAABQYAWUEAAAAAAAAAAAMHAFlBAAAAAAAAAAAHCABZQQAAAAAAAAAACAkAWUEAAAAAAAAAAAkKAFlCAAAAAAAAAAAAAAAAA==</t>
        </r>
      </text>
    </comment>
    <comment ref="A1580" authorId="0" shapeId="0" xr:uid="{444EA728-DA3C-4A97-9FB0-50586225E3AE}">
      <text>
        <r>
          <rPr>
            <sz val="9"/>
            <color indexed="81"/>
            <rFont val="MS P ゴシック"/>
            <family val="3"/>
            <charset val="128"/>
          </rPr>
          <t>Insight iXlW00001C0001580R0585476093S00003158P00804LAocjBAQBF1NjaVRlZ2ljLmRhdGEuTW9sZWN1bGUBbwF/ARJTY2lUZWdpYy5Nb2xlY3VsZQAAAQFkAv5qAQAAAAIAAigYAAAA/PwA/AACAAAAAAAA8L8Cg8DKoUW22z8CZ2ZmZmZm7r8AAAAAGAAAAPz8APwAAgAAAAAAAPC/AoPAyqFFtts/ApqZmZmZmak/AAAAABwAAAD8/AD8AAIAAAAAAADwvwKDwMqhRbbbvwKamZmZmZnhPwAAAAAYAAAA/PwA/AACAAAAAAAA8L8CYxBYObTI9L8CmpmZmZmZqT8AAAAAGAAAAPz8APwAAgAAAAAAAPC/AmMQWDm0yPS/AmdmZmZmZu6/AAAAABgAAAD8/AD8AAIAAAAAAADwvwKDwMqhRbbbvwI0MzMzMzP3vwAAAAAgAAAA/PwA/AACAAAAAAAA8L8CUrgehetRAcACmpmZmZmZ4T8AAAAAGAAAAPz8APwAAgAAAAAAAPC/AmMQWDm0yPQ/ApqZmZmZmeE/AAAAACAAAAD8/AD8AAIAAAAAAADwvwJSuB6F61EBQAKamZmZmZmpPwAAAAAgAAAA/PwA/AACAAAAAAAA8L8CYxBYObTI9D8CzczMzMzM+D8AAAAAKAAEAWUICAAAAAAAAAAECAFlBAAAAAAAAAAACAwBZQQAAAAAAAAAAAwQAWUEAAAAAAAAAAAQFAFlCAgAAAAAAAAAFAABZQQAAAAAAAAAAAwYAWUIAAAAAAAAAAAEHAFlBAAAAAAAAAAAHCABZQQAAAAAAAAAABwkAWUIAAAAAAAAAAAAAAAA</t>
        </r>
      </text>
    </comment>
    <comment ref="A1581" authorId="0" shapeId="0" xr:uid="{E774CA70-03AD-4CAA-84C7-1EBB0F5050E2}">
      <text>
        <r>
          <rPr>
            <sz val="9"/>
            <color indexed="81"/>
            <rFont val="MS P ゴシック"/>
            <family val="3"/>
            <charset val="128"/>
          </rPr>
          <t>Insight iXlW00001C0001581R0585476093S00003160P00804LAocjBAQBF1NjaVRlZ2ljLmRhdGEuTW9sZWN1bGUBbwF/ARJTY2lUZWdpYy5Nb2xlY3VsZQAAAQFkAv5qAQAAAAIAAiggAAAA/PwA/AACAAAAAAAA8L8CXW3F/rJ77r8CAAAAAAAA/L8AAAAAGAAAAPz8APwAAgAAAAAAAPC/AtBm1edqK7a/AgAAAAAAANC/AAAAABwAAAD8/AD8AAIAAAAAAADwvwKqE9BE2PDoPwIAAAAAAAD0PwAAAAAYAAAA/PwA/AACAAAAAAAA8L8CqhPQRNjw6D8CAAAAAAAA6L8AAAAAGAAAAPz8APwAAgAAAAAAAPC/Al1txf6ye+6/AgAAAAAAAOi/AAAAABgAAAD8/AD8AAIAAAAAAADwvwLQZtXnaiu2vwIAAAAAAADoPwAAAAAYAAAA/PwA/AACAAAAAAAA8L8CFmpN845T+j8CAAAAAAAA0L8AAAAAIAAAAPz8APwAAgAAAAAAAPC/Al1txf6ye+6/AgAAAAAAAPQ/AAAAABgAAAD8/AD8AAIAAAAAAADwvwIWak3zjlP6PwIAAAAAAADoPwAAAAAgAAAA/PwA/AACAAAAAAAA8L8C8BZIUPwY/b8CAAAAAAAA0L8AAAAAKAQMAWUIDAAAAAAAAAAEEAFlBAAAAAAAAAAAFAQBZQQAAAAAAAAAABQcAWUIAAAAAAAAAAAYIAFlCAgAAAAAAAAAIAgBZQQAAAAAAAAAABAAAWUIAAAAAAAAAAAMGAFlBAAAAAAAAAAACBQBZQQAAAAAAAAAABAkAWUEAAAAAAAAAAAAAAAA</t>
        </r>
      </text>
    </comment>
    <comment ref="A1582" authorId="0" shapeId="0" xr:uid="{0F71630A-E8CB-4C09-A04A-88507F595E49}">
      <text>
        <r>
          <rPr>
            <sz val="9"/>
            <color indexed="81"/>
            <rFont val="MS P ゴシック"/>
            <family val="3"/>
            <charset val="128"/>
          </rPr>
          <t>Insight iXlW00001C0001582R0585476093S00003162P01036LAocjBAQBF1NjaVRlZ2ljLmRhdGEuTW9sZWN1bGUBbwF/ARJTY2lUZWdpYy5Nb2xlY3VsZQAAAQFkAv5qAQAAAAIAAjQYAAAA/PwA/AACAAAAAAAA8L8C3gIJih9j+78CvAUSFD/GrD8AAAAAGAAAAPz8APwAAgAAAAAAAPC/At4CCYofY/u/Ai6QoPgx5vA/AAAAABgAAAD8/AD8AAIAAAAAAADwvwI5RUdy+Q/rvwIukKD4Meb4PwAAAAAYAAAA/PwA/AACAAAAAAAA8L8COUVHcvkP678CSb99HThn3L8AAAAAGAAAAPz8APwAAgAAAAAAAPC/AkVpb/CFyZQ/ArwFEhQ/xqw/AAAAABgAAAD8/AD8AAIAAAAAAADwvwJFaW/whcmUPwIukKD4MebwPwAAAAAgAAAA/PwA/AACAAAAAAAA8L8CaLPqc7UV7z8CufyH9NvX9T8AAAAAGAAAAPz8APwAAgAAAAAAAPC/Am7F/rJ78vg/AlwgQfFjzOE/AAAAABgAAAD8/AD8AAIAAAAAAADwvwJos+pztRXvPwJ2cRsN4C3QvwAAAAAYAAAA/PwA/AACAAAAAAAA8L8CP8bctYR89D8C+8vuycNC878AAAAAIAAAAPz8APwAAgAAAAAAAPC/AgFvgQTFj+M/AvT91HjpJv+/AAAAACAAAAD8/AD8AAIAAAAAAADwvwLFILByaBECQAISNjy9Upb2vwAAAAAkAAAA/PwA/AACAAAAAAAA8L8CyQc9m1WfBMAChQ1Pr5Rl3L8AAAAAOAAEAWUEAAAAAAAAAAAECAFlCAgAAAAAAAAACBQBZQQAAAAAAAAAABAMAWUEAAAAAAAAAAAMAAFlCAgAAAAAAAAAEBQBZQgIAAAAAAAAABQYAWUEAAAAAAAAAAAYHAFlBAAAAAAAAAAAHCABZQgIAAAAAAAAACAQAWUEAAAAAAAAAAAgJAFlBAAAAAAAAAAAJCgBZQQAAAAAAAAAACQsAWUIAAAAAAAAAAAAMAFlBAAAAAAAAAAAAAAAAA==</t>
        </r>
      </text>
    </comment>
    <comment ref="A1583" authorId="0" shapeId="0" xr:uid="{3B74777C-2E0F-44CE-B581-F73F451B011E}">
      <text>
        <r>
          <rPr>
            <sz val="9"/>
            <color indexed="81"/>
            <rFont val="MS P ゴシック"/>
            <family val="3"/>
            <charset val="128"/>
          </rPr>
          <t>Insight iXlW00001C0001583R0585476093S00003164P01036LAocjBAQBF1NjaVRlZ2ljLmRhdGEuTW9sZWN1bGUBbwF/ARJTY2lUZWdpYy5Nb2xlY3VsZQAAAQFkAv5qAQAAAAIAAjQYAAAA/PwA/AACAAAAAAAA8L8CH/RsVn2u6D8C9ihcj8L1+r8AAAAAGAAAAPz8APwAAgAAAAAAAPC/AsOGp1fKMvo/AvYoXI/C9fK/AAAAABgAAAD8/AD8AAIAAAAAAADwvwLDhqdXyjL6PwI3qz5XW7HHvwAAAAAYAAAA/PwA/AACAAAAAAAA8L8CIGPuWkI+uL8CZ9Xnaiv28r8AAAAAGAAAAPz8APwAAgAAAAAAAPC/AiBj7lpCPri/AjerPldbsce/AAAAABgAAAD8/AD8AAIAAAAAAADwvwICTYQNT6/oPwJlqmBUUifUPwAAAAAgAAAA/PwA/AACAAAAAAAA8L8C8x/Sb18H4j8CVVInoImw9D8AAAAAGAAAAPz8APwAAgAAAAAAAPC/AvSOU3Qkl9u/As47TtGRXPY/AAAAABgAAAD8/AD8AAIAAAAAAADwvwJz1xLyQc/qvwIll/+QfvvePwAAAAAYAAAA/PwA/AACAAAAAAAA8L8CdZMYBFYO/b8CzO7Jw0Kt0T8AAAAAIAAAAPz8APwAAgAAAAAAAPC/AhpR2ht84QPAAjsBTYQNT/A/AAAAACAAAAD8/AD8AAIAAAAAAADwvwIAAAAAAAABwAK4QILix5jlvwAAAAAkAAAA/PwA/AACAAAAAAAA8L8CgnNGlPYGBEACZapgVFIn1D8AAAAAOAAEAWUICAAAAAAAAAAECAFlBAAAAAAAAAAACBQBZQgIAAAAAAAAABAMAWUICAAAAAAAAAAMAAFlBAAAAAAAAAAAEBQBZQQAAAAAAAAAABQYAWUEAAAAAAAAAAAYHAFlBAAAAAAAAAAAHCABZQgIAAAAAAAAACAQAWUEAAAAAAAAAAAgJAFlBAAAAAAAAAAAJCgBZQQAAAAAAAAAACQsAWUIAAAAAAAAAAAIMAFlBAAAAAAAAAAAAAAAAA==</t>
        </r>
      </text>
    </comment>
    <comment ref="A1584" authorId="0" shapeId="0" xr:uid="{697E5A1D-A50C-47DE-B2F0-2A3D876BFA6D}">
      <text>
        <r>
          <rPr>
            <sz val="9"/>
            <color indexed="81"/>
            <rFont val="MS P ゴシック"/>
            <family val="3"/>
            <charset val="128"/>
          </rPr>
          <t>Insight iXlW00001C0001584R0585476093S00003166P00992LAocjBAQBF1NjaVRlZ2ljLmRhdGEuTW9sZWN1bGUBbwF/ARJTY2lUZWdpYy5Nb2xlY3VsZQAAAQFkAv5qAQAAAAIAAjgYAAAA/PwA/AACAAAAAAAA8L8C9GxWfa62+z8AAAAAABgAAAD8/AD8AAIAAAAAAADwvwL0bFZ9rrb7PwEAAAAAGAAAAPz8APwAAgAAAAAAAPC/AmYZ4lgXt+s/AgAAAAAAAPg/AAAAABgAAAD8/AD8AAIAAAAAAADwvwJmGeJYF7frPwIAAAAAAADgvwAAAAAYAAAA/PwA/AACAAAAAAAA8L8AAAAAAAAYAAAA/PwA/AACAAAAAAAA8L8AAQAAAAAgAAAA/PwA/AACAAAAAAAA8L8Cg8DKoUW2678CAAAAAAAA+D8AAAAAGAAAAPz8APwAAgAAAAAAAPC/AoPAyqFFtvu/AQAAAAAYAAAA/PwA/AACAAAAAAAA8L8Cg8DKoUW2+78AAAAAABgAAAD8/AD8AAIAAAAAAADwvwKDwMqhRbbrvwIAAAAAAADgvwAAAAAYAAAA/PwA/AACAAAAAAAA8L8Cg8DKoUW2678CAAAAAAAA+L8AAAAAHAAAAPz8APwAAgAAAAAAAPC/AAIAAAAAAAAAwAAAAAAkAAAA/PwA/AACAAAAAAAA8L8CZhniWBe36z8CAAAAAAAA+L8AAAAAAREAAAD8/AD8AAIAAAAAAADwvwLhnBGlvUEEQAIAAAAAAADQvwAAAAA4AAQBZQgIAAAAAAAAAAQIAWUEAAAAAAAAAAAIFAFlCAgAAAAAAAAAEAwBZQgIAAAAAAAAAAwAAWUEAAAAAAAAAAAQFAFlBAAAAAAAAAAAECQBZQQAAAAAAAAAABQYAWUEAAAAAAAAAAAYHAFlBAAAAAAAAAAAHCABZQQAAAAAAAAAACAkAWUEAAAAAAAAAAAkKAFlBAAAAAAAAAAAKCwBZQQAAAAAAAAAAAwwAWUEAAAAAAAAAAAAAAAA</t>
        </r>
      </text>
    </comment>
    <comment ref="A1585" authorId="0" shapeId="0" xr:uid="{75CAD297-FB4D-4358-B50E-680CEEE63E4F}">
      <text>
        <r>
          <rPr>
            <sz val="9"/>
            <color indexed="81"/>
            <rFont val="MS P ゴシック"/>
            <family val="3"/>
            <charset val="128"/>
          </rPr>
          <t>Insight iXlW00001C0001585R0585476093S00003168P00964LAocjBAQBF1NjaVRlZ2ljLmRhdGEuTW9sZWN1bGUBbwF/ARJTY2lUZWdpYy5Nb2xlY3VsZQAAAQFkAv5qAQAAAAIAAjAYAAAA/PwA/AACAAAAAAAA8L8CAAAAAAAA9L8CYxBYObTI9D8AAAAAGAAAAPz8APwAAgAAAAAAAPC/AgAAAAAAAPy/AoPAyqFFtts/AAAAABgAAAD8/AD8AAIAAAAAAADwvwIAAAAAAAD0vwKDwMqhRbbbvwAAAAAYAAAA/PwA/AACAAAAAAAA8L8CAAAAAAAA0L8C1LzjFB3J9D8AAAAAGAAAAPz8APwAAgAAAAAAAPC/AgAAAAAAANA/AoPAyqFFtts/AAAAABgAAAD8/AD8AAIAAAAAAADwvwIAAAAAAADQvwKDwMqhRbbbvwAAAAAgAAAA/PwA/AACAAAAAAAA8L8CAAAAAAAA0D8CYxBYObTI9L8AAAAAGAAAAPz8APwAAgAAAAAAAPC/AgAAAAAAAPQ/AmMQWDm0yPS/AAAAABgAAAD8/AD8AAIAAAAAAADwvwIAAAAAAAD8PwKDwMqhRbbbvwAAAAAYAAAA/PwA/AACAAAAAAAA8L8CAAAAAAAA9D8Cg8DKoUW22z8AAAAAIAAAAPz8APwAAgAAAAAAAPC/AgAAAAAAAPw/AmMQWDm0yPQ/AAAAACQAAAD8/AD8AAIAAAAAAADwvwIAAAAAAAD8vwJjEFg5tMj0vwAAAAA0AAQBZQQAAAAAAAAAAAQIAWUICAAAAAAAAAAIFAFlBAAAAAAAAAAAEAwBZQQAAAAAAAAAAAwAAWUICAAAAAAAAAAQFAFlCAgAAAAAAAAAECQBZQQAAAAAAAAAABQYAWUEAAAAAAAAAAAYHAFlBAAAAAAAAAAAHCABZQQAAAAAAAAAACAkAWUEAAAAAAAAAAAkKAFlCAAAAAAAAAAACCwBZQQAAAAAAAAAAAAAAAA=</t>
        </r>
      </text>
    </comment>
    <comment ref="A1586" authorId="0" shapeId="0" xr:uid="{E721ECD9-3D17-4599-82FD-6406100927E8}">
      <text>
        <r>
          <rPr>
            <sz val="9"/>
            <color indexed="81"/>
            <rFont val="MS P ゴシック"/>
            <family val="3"/>
            <charset val="128"/>
          </rPr>
          <t>Insight iXlW00001C0001586R0585476093S00003170P00736LAocjBAQBF1NjaVRlZ2ljLmRhdGEuTW9sZWN1bGUBbwF/ARJTY2lUZWdpYy5Nb2xlY3VsZQAAAQFkAv5qAQAAAAIAAigYAAAA/PwA/AACAAAAAAAA8L8AAgAAAAAAAPC/AAAAABgAAAD8/AD8AAIAAAAAAADwvwAAAAAAABwAAAD8/AD8AAIAAAAAAADwvwKDwMqhRbbrPwIAAAAAAADgPwAAAAAYAAAA/PwA/AACAAAAAAAA8L8Cg8DKoUW26z8CAAAAAAAA+D8AAAAAGAAAAPz8APwAAgAAAAAAAPC/AvRsVn2utvs/AAAAAAAYAAAA/PwA/AACAAAAAAAA8L8Cg8DKoUW2678CAAAAAAAA4D8AAAAAIAAAAPz8APwAAgAAAAAAAPC/AoPAyqFFtuu/AgAAAAAAAPg/AAAAACAAAAD8/AD8AAIAAAAAAADwvwL0bFZ9rrb7vwAAAAAAGAAAAPz8APwAAgAAAAAAAPC/AoPAyqFFtuu/AgAAAAAAAPi/AAAAABgAAAD8/AD8AAIAAAAAAADwvwKDwMqhRbbrPwIAAAAAAAD4vwAAAAAkBAABZQQAAAAAAAAAAAQIAWUEAAAAAAAAAAAIDAFlBAAAAAAAAAAACBABZQQAAAAAAAAAAAQUAWUEAAAAAAAAAAAUGAFlBAAAAAAAAAAAFBwBZQgAAAAAAAAAAAAgAWUEAAAAAAAAAAAAJAFlBAAAAAAAAAAAAAAAAA==</t>
        </r>
      </text>
    </comment>
    <comment ref="A1587" authorId="0" shapeId="0" xr:uid="{FC69406E-0814-44EF-9C32-B9EF8FDAC809}">
      <text>
        <r>
          <rPr>
            <sz val="9"/>
            <color indexed="81"/>
            <rFont val="MS P ゴシック"/>
            <family val="3"/>
            <charset val="128"/>
          </rPr>
          <t>Insight iXlW00001C0001587R0585476093S00003172P00984LAocjBAQBF1NjaVRlZ2ljLmRhdGEuTW9sZWN1bGUBbwF/ARJTY2lUZWdpYy5Nb2xlY3VsZQAAAQFkAv5qAQAAAAIAAjQYAAAA/PwA/AACAAAAAAAA8L8CKA8LtaZ58j8Cl5APejar2r8AAAAAGAAAAPz8APwAAgAAAAAAAPC/Apm7lpAPetI/AqW9wRcmU7U/AAAAABwAAAD8/AD8AAIAAAAAAADwvwKZu5aQD3rivwKXkA96NqvavwAAAAAYAAAA/PwA/AACAAAAAAAA8L8CDr4wmSoY978Cpb3BFyZTtT8AAAAAGAAAAPz8APwAAgAAAAAAAPC/Apm7lpAPeuK/Aibkg57Nqva/AAAAABgAAAD8/AD8AAIAAAAAAADwvwKZu5aQD3rSPwLbG3xhMlXxPwAAAAAgAAAA/PwA/AACAAAAAAAA8L8CKA8LtaZ58j8C2xt8YTJV+T8AAAAAIAAAAPz8APwAAgAAAAAAAPC/Apm7lpAPeuK/AtsbfGEyVfk/AAAAABgAAAD8/AD8AAIAAAAAAADwvwIOvjCZKhj3vwIm5IOezar+vwAAAAAYAAAA/PwA/AACAAAAAAAA8L8CDr4wmSoY978C2xt8YTJV8T8AAAAAGAAAAPz8APwAAgAAAAAAAPC/ArU3+MJkKgBAAqW9wRcmU7U/AAAAABgAAAD8/AD8AAIAAAAAAADwvwIoDwu1pnnyPwIm5IOezar2vwAAAAABEQAAAPz8APwAAgAAAAAAAPC/AhueXinLkAZAAi4hH/RsVsW/AAAAACwEAAFlBAAAAAAAAAAABAgBZQQAAAAAAAAAAAgMAWUEAAAAAAAAAAAIEAFlBAAAAAAAAAAABBQBZQQAAAAAAAAAABQYAWUEAAAAAAAAAAAUHAFlCAAAAAAAAAAAECABZQQAAAAAAAAAAAwkAWUEAAAAAAAAAAAAKAFlBAAAAAAAAAAAACwBZQQAAAAAAAAAAAAAAAA=</t>
        </r>
      </text>
    </comment>
    <comment ref="A1588" authorId="0" shapeId="0" xr:uid="{40329E55-17CD-40E3-AE24-7622BF52C81D}">
      <text>
        <r>
          <rPr>
            <sz val="9"/>
            <color indexed="81"/>
            <rFont val="MS P ゴシック"/>
            <family val="3"/>
            <charset val="128"/>
          </rPr>
          <t>Insight iXlW00001C0001588R0585476093S00003174P01144LAocjBAQBF1NjaVRlZ2ljLmRhdGEuTW9sZWN1bGUBbwF/ARJTY2lUZWdpYy5Nb2xlY3VsZQAAAQFkAv5qAQAAAAIAAjwYAAAA/PwA/AACAAAAAAAA8L8CqTXNO07R8D8CwFsgQfFj4j8AAAAAGAAAAPz8APwAAgAAAAAAAPC/AmmR7Xw/NQBAAn/7OnDOiNY/AAAAABwAAAD8/AD8AAIAAAAAAADwvwIbnl4py5ACQAI7AU2EDU/jvwAAAAAYAAAA/PwA/AACAAAAAAAA8L8Cc2iR7Xw/+j8Ci/1l9+Rh9b8AAAAAGAAAAPz8APwAAgAAAAAAAPC/ApX2Bl+YTOU/Avw6cM6I0vG/AAAAABgAAAD8/AD8AAIAAAAAAADwvwKUh4Va07zXPwJseHqlLEPEvwAAAAAYAAAA/PwA/AACAAAAAAAA8L8C7Q2+MJkq0L8C9wZfmEwV7r8AAAAAGAAAAPz8APwAAgAAAAAAAPC/AnyDL0ymCvS/AvcGX5hMFe6/AAAAABwAAAD8/AD8AAIAAAAAAADwvwLcaABvgQT+vwJseHqlLEPEvwAAAAAYAAAA/PwA/AACAAAAAAAA8L8CTaYKRiV1+r8CGZXUCWgi6j8AAAAAIAAAAPz8APwAAgAAAAAAAPC/Al1txf6yewPAAu0vuycPC/c/AAAAABgAAAD8/AD8AAIAAAAAAADwvwL3Bl+YTBXovwI2XrpJDAL0PwAAAAAcAAAA/PwA/AACAAAAAAAA8L8CrfpcbcX+wj8CGZXUCWgi6j8AAAAAAREAAAD8/AD8AAIAAAAAAADwvwKCBMWPMfcIQAKgibDh6ZWiPwAAAAABEQAAAPz8APwAAgAAAAAAAPC/As/3U+OlmxBAAkjhehSuR7E/AAAAADgAFAFlBAAAAAAAAAAAAAQBZQQAAAAAAAAAAAQIAWUEAAAAAAAAAAAIDAFlBAAAAAAAAAAADBABZQQAAAAAAAAAABAUAWUEAAAAAAAAAAAUMAFlBAAAAAAAAAAAFBgBZQQAAAAAAAAAABgcAWUEAAAAAAAAAAAcIAFlBAAAAAAAAAAAICQBZQQAAAAAAAAAACQoAWUIAAAAAAAAAAAkLAFlBAAAAAAAAAAALDABZQQAAAAAAAAAAAAAAAA=</t>
        </r>
      </text>
    </comment>
    <comment ref="A1589" authorId="0" shapeId="0" xr:uid="{915018EC-B367-4F38-8A7A-2A632C38D2CE}">
      <text>
        <r>
          <rPr>
            <sz val="9"/>
            <color indexed="81"/>
            <rFont val="MS P ゴシック"/>
            <family val="3"/>
            <charset val="128"/>
          </rPr>
          <t>Insight iXlW00001C0001589R0585476093S00003176P00876LAocjBAQBF1NjaVRlZ2ljLmRhdGEuTW9sZWN1bGUBbwF/ARJTY2lUZWdpYy5Nb2xlY3VsZQAAAQFkAv5qAQAAAAIAAiwYAAAA/PwA/AACAAAAAAAA8L8CelioNc07zr8CqTXNO07R5b8AAAAAGAAAAPz8APwAAgAAAAAAAPC/AmWqYFRSJ+Q/AljKMsSxLuo/AAAAABgAAAD8/AD8AAIAAAAAAADwvwJlqmBUUifkPwKi1jTvOEXHvwAAAAAYAAAA/PwA/AACAAAAAAAA8L8CdLUV+8vu9z8CqTXNO07R5b8AAAAAGAAAAPz8APwAAgAAAAAAAPC/AlFrmnecovG/AqLWNO84Rce/AAAAACQAAAD8/AD8AAIAAAAAAADwvwKTy39Iv33/vwKpNc07TtHlvwAAAAAYAAAA/PwA/AACAAAAAAAA8L8CUWuad5yi8b8CWMoyxLEu6j8AAAAAIAAAAPz8APwAAgAAAAAAAPC/ApPLf0i/ff+/AixlGeJYF/U/AAAAABwAAAD8/AD8AAIAAAAAAADwvwJ6WKg1zTvOvwIsZRniWBf1PwAAAAAgAAAA/PwA/AACAAAAAAAA8L8CdLUV+8vu9z8C1ZrmHafo+r8AAAAAIAAAAPz8APwAAgAAAAAAAPC/AhRhw9Mr5QJAAqLWNO84Rce/AAAAACwACAFlBAAAAAAAAAAAABABZQgIAAAAAAAAAAgEAWUICAAAAAAAAAAEIAFlBAAAAAAAAAAAIBgBZQQAAAAAAAAAABgQAWUEAAAAAAAAAAAIDAFlBAAAAAAAAAAAEBQBZQQAAAAAAAAAABgcAWUIAAAAAAAAAAAkDAFlBAAAAAAAAAAADCgBZQgAAAAAAAAAAAAAAAA=</t>
        </r>
      </text>
    </comment>
    <comment ref="A1590" authorId="0" shapeId="0" xr:uid="{3A8F340A-6447-4E7C-A711-ACC4066B6350}">
      <text>
        <r>
          <rPr>
            <sz val="9"/>
            <color indexed="81"/>
            <rFont val="MS P ゴシック"/>
            <family val="3"/>
            <charset val="128"/>
          </rPr>
          <t>Insight iXlW00001C0001590R0585476093S00003178P00876LAocjBAQBF1NjaVRlZ2ljLmRhdGEuTW9sZWN1bGUBbwF/ARJTY2lUZWdpYy5Nb2xlY3VsZQAAAQFkAv5qAQAAAAIAAiwYAAAA/PwA/AACAAAAAAAA8L8CZapgVFIn1D8CotY07zhF178AAAAAGAAAAPz8APwAAgAAAAAAAPC/AmWqYFRSJ9Q/ArCUZYhjXeQ/AAAAABwAAAD8/AD8AAIAAAAAAADwvwJRa5p3nKLhvwJYyjLEsS7yPwAAAAAYAAAA/PwA/AACAAAAAAAA8L8C6pWyDHGs9r8CsJRliGNd5D8AAAAAGAAAAPz8APwAAgAAAAAAAPC/AuqVsgxxrPa/AqLWNO84Rde/AAAAABgAAAD8/AD8AAIAAAAAAADwvwJRa5p3nKLhvwJRa5p3nKLrvwAAAAAgAAAA/PwA/AACAAAAAAAA8L8CFvvL7slDAsACWMoyxLEu8j8AAAAAGAAAAPz8APwAAgAAAAAAAPC/AtuK/WX35PI/AlFrmnecouu/AAAAACAAAAD8/AD8AAIAAAAAAADwvwKOdXEbDWAAQAKi1jTvOEXXvwAAAAAgAAAA/PwA/AACAAAAAAAA8L8C24r9Zffk8j8CqTXNO07R/b8AAAAAJAAAAPz8APwAAgAAAAAAAPC/AtuK/WX35PI/AljKMsSxLvI/AAAAACwABAFlCAgAAAAAAAAABAgBZQQAAAAAAAAAAAgMAWUEAAAAAAAAAAAMEAFlBAAAAAAAAAAAEBQBZQgIAAAAAAAAABQAAWUEAAAAAAAAAAAMGAFlCAAAAAAAAAAAABwBZQQAAAAAAAAAABwgAWUIAAAAAAAAAAAcJAFlBAAAAAAAAAAABCgBZQQAAAAAAAAAAAAAAAA=</t>
        </r>
      </text>
    </comment>
    <comment ref="A1591" authorId="0" shapeId="0" xr:uid="{1D2AF884-4C29-4F48-BC5C-7B40DA9021E2}">
      <text>
        <r>
          <rPr>
            <sz val="9"/>
            <color indexed="81"/>
            <rFont val="MS P ゴシック"/>
            <family val="3"/>
            <charset val="128"/>
          </rPr>
          <t>Insight iXlW00001C0001591R0585476093S00003180P01160LAocjBAQBF1NjaVRlZ2ljLmRhdGEuTW9sZWN1bGUBbwF/ARJTY2lUZWdpYy5Nb2xlY3VsZQAAAQFkAv5qAQAAAAIAAjwYAAAA/PwA/AACAAAAAAAA8L8CqMZLN4lB6L8Cz/dT46WbtL8AAAAAGAAAAPz8APwAAgAAAAAAAPC/AuqVsgxxrLs/Avp+arx0k+K/AAAAABgAAAD8/AD8AAIAAAAAAADwvwLqlbIMcay7PwJ9PzVeukn5vwAAAAAcAAAA/PwA/AACAAAAAAAA8L8CQRNhw9Mr7z8Cv58aL92kAMAAAAAAGAAAAPz8APwAAgAAAAAAAPC/ApZDi2zn+/m/AhgmUwWjkuK/AAAAABgAAAD8/AD8AAIAAAAAAADwvwLsUbgehesDwAK+MJkqGJW0vwAAAAAYAAAA/PwA/AACAAAAAAAA8L8C7FG4HoXrA8ACB4GVQ4ts7T8AAAAAGAAAAPz8APwAAgAAAAAAAPC/ApZDi2zn+/m/AoPAyqFFtvY/AAAAABgAAAD8/AD8AAIAAAAAAADwvwKoxks3iUHovwIHgZVDi2ztPwAAAAAcAAAA/PwA/AACAAAAAAAA8L8CQRNhw9Mr7z8Cz/dT46WbtL8AAAAAHAAAAPz8APwAAgAAAAAAAPC/Ahlz1xLyQfE/AnNoke18P+0/AAAAABgAAAD8/AD8AAIAAAAAAADwvwIydy0hH3QAQAJQHhZqTfPxPwAAAAAYAAAA/PwA/AACAAAAAAAA8L8CMnctIR90BEACOPjCZKpg0D8AAAAAGAAAAPz8APwAAgAAAAAAAPC/AqXfvg6cM/4/Aucdp+hILt+/AAAAAAERAAAA/PwA/AACAAAAAAAA8L8CmN2Th4XaCkAC9P3UeOkm1b8AAAAAPAAEAWUEAAAAAAAAAAAECAFlBAAAAAAAAAAACAwBZQQAAAAAAAAAAAAQAWUIDAAAAAAAAAAQFAFlBAAAAAAAAAAAFBgBZQgIAAAAAAAAABgcAWUEAAAAAAAAAAAcIAFlCAgAAAAAAAAAIAABZQQAAAAAAAAAAAQkAWUEAAAAAAAAAAAkKAFlBAAAAAAAAAAAKCwBZQgIAAAAAAAAACwwAWUEAAAAAAAAAAAwNAFlCAgAAAAAAAAANCQBZQQAAAAAAAAAAAAAAAA=</t>
        </r>
      </text>
    </comment>
    <comment ref="A1592" authorId="0" shapeId="0" xr:uid="{BCFE3927-B66F-4B74-B660-14E6B5072461}">
      <text>
        <r>
          <rPr>
            <sz val="9"/>
            <color indexed="81"/>
            <rFont val="MS P ゴシック"/>
            <family val="3"/>
            <charset val="128"/>
          </rPr>
          <t>Insight iXlW00001C0001592R0585476093S00003182P01072LAocjBAQBF1NjaVRlZ2ljLmRhdGEuTW9sZWN1bGUBbwF/ARJTY2lUZWdpYy5Nb2xlY3VsZQAAAQFkAv5qAQAAAAIAAjgYAAAA/PwA/AACAAAAAAAA8L8C9GxWfa62+z8C1zTvOEVHsj8AAAAAGAAAAPz8APwAAgAAAAAAAPC/AvRsVn2utvs/Ak7zjlN0JPE/AAAAABgAAAD8/AD8AAIAAAAAAADwvwJmGeJYF7frPwJO845TdCT5PwAAAAAYAAAA/PwA/AACAAAAAAAA8L8CZhniWBe36z8CyzLEsS5u278AAAAAGAAAAPz8APwAAgAAAAAAAPC/AALXNO84RUeyPwAAAAAYAAAA/PwA/AACAAAAAAAA8L8AAk7zjlN0JPE/AAAAACAAAAD8/AD8AAIAAAAAAADwvwKDwMqhRbbrvwJO845TdCT5PwAAAAAYAAAA/PwA/AACAAAAAAAA8L8Cg8DKoUW2+78CTvOOU3Qk8T8AAAAAGAAAAPz8APwAAgAAAAAAAPC/AoPAyqFFtvu/Atc07zhFR7I/AAAAABgAAAD8/AD8AAIAAAAAAADwvwKDwMqhRbbrvwLLMsSxLm7bvwAAAAAYAAAA/PwA/AACAAAAAAAA8L8Cg8DKoUW2678CswxxrIvb9r8AAAAAIAAAAPz8APwAAgAAAAAAAPC/AvRsVn2utvu/ArMMcayL2/6/AAAAACAAAAD8/AD8AAIAAAAAAADwvwACswxxrIvb/r8AAAAAJAAAAPz8APwAAgAAAAAAAPC/ApvmHafoyARAAssyxLEubtu/AAAAADwABAFlCAgAAAAAAAAABAgBZQQAAAAAAAAAAAgUAWUICAAAAAAAAAAQDAFlCAgAAAAAAAAADAABZQQAAAAAAAAAABAUAWUEAAAAAAAAAAAQJAFlBAAAAAAAAAAAFBgBZQQAAAAAAAAAABgcAWUEAAAAAAAAAAAcIAFlBAAAAAAAAAAAICQBZQQAAAAAAAAAACQoAWUEAAAAAAAAAAAoLAFlBAAAAAAAAAAAKDABZQgAAAAAAAAAAAA0AWUEAAAAAAAAAAAAAAAA</t>
        </r>
      </text>
    </comment>
    <comment ref="A1593" authorId="0" shapeId="0" xr:uid="{8E38A695-DD9A-4D30-BC2C-1500EAC71901}">
      <text>
        <r>
          <rPr>
            <sz val="9"/>
            <color indexed="81"/>
            <rFont val="MS P ゴシック"/>
            <family val="3"/>
            <charset val="128"/>
          </rPr>
          <t>Insight iXlW00001C0001593R0585476093S00003184P01176LAocjBAQBF1NjaVRlZ2ljLmRhdGEuTW9sZWN1bGUBbwF/ARJTY2lUZWdpYy5Nb2xlY3VsZQAAAQFkAv5qAQAAAAIAAjwcAAAA/PwA/AACAAAAAAAA8L8CorQ3+MJk8D8CXCBB8WPMrT8AAAAAGAAAAPz8APwAAgAAAAAAAPC/AgajkjoBTcQ/AvXb14FzRty/AAAAABgAAAD8/AD8AAIAAAAAAADwvwLCFyZTBaPmvwJcIEHxY8ytPwAAAAAYAAAA/PwA/AACAAAAAAAA8L8CBqOSOgFNxD8C/fZ14JwR978AAAAAHAAAAPz8APwAAgAAAAAAAPC/AhueXinLEPI/Arn8h/Tb1/A/AAAAABgAAAD8/AD8AAIAAAAAAADwvwLr4jYawNsAQALQZtXnaiv0PwAAAAAYAAAA/PwA/AACAAAAAAAA8L8C6+I2GsDbBEACNxrAWyBB2T8AAAAAGAAAAPz8APwAAgAAAAAAAPC/AqcKRiV1Av8/Auj7qfHSTda/AAAAACAAAAD8/AD8AAIAAAAAAADwvwKitDf4wmTwPwL+9nXgnBH/vwAAAAAgAAAA/PwA/AACAAAAAAAA8L8CwhcmUwWj5r8C/vZ14JwR/78AAAAAGAAAAPz8APwAAgAAAAAAAPC/AiNseHqlLPm/AjEqqRPQRNy/AAAAABgAAAD8/AD8AAIAAAAAAADwvwJrvHSTGIQDwAJ+rrZif9mtPwAAAAAYAAAA/PwA/AACAAAAAAAA8L8Ca7x0kxiEA8ACAwmKH2Pu8D8AAAAAGAAAAPz8APwAAgAAAAAAAPC/ApQYBFYOLfm/AgMJih9j7vg/AAAAABgAAAD8/AD8AAIAAAAAAADwvwLCFyZTBaPmvwIDCYofY+7wPwAAAAABEAQAAWUEAAAAAAAAAAAECAFlBAAAAAAAAAAABAwBZQQAAAAAAAAAAAAQAWUEAAAAAAAAAAAQFAFlCAgAAAAAAAAAFBgBZQQAAAAAAAAAABgcAWUICAAAAAAAAAAcAAFlBAAAAAAAAAAADCABZQgAAAAAAAAAAAwkAWUEAAAAAAAAAAAIKAFlCAwAAAAAAAAAKCwBZQQAAAAAAAAAACwwAWUICAAAAAAAAAAwNAFlBAAAAAAAAAAANDgBZQgIAAAAAAAAADgIAWUEAAAAAAAAAAAAAAAA</t>
        </r>
      </text>
    </comment>
    <comment ref="A1594" authorId="0" shapeId="0" xr:uid="{647C3EA0-DD5C-49D9-AE3F-7D24E367EEAD}">
      <text>
        <r>
          <rPr>
            <sz val="9"/>
            <color indexed="81"/>
            <rFont val="MS P ゴシック"/>
            <family val="3"/>
            <charset val="128"/>
          </rPr>
          <t>Insight iXlW00001C0001594R0585476093S00003186P01468LAocjBAQBF1NjaVRlZ2ljLmRhdGEuTW9sZWN1bGUBbwF/ARJTY2lUZWdpYy5Nb2xlY3VsZQAAAQFkAv5qAQAAAAIAAgETIAAAAPz8APwAAgAAAAAAAPC/AgJNhA1PLwrAAqOSOgFNhPk/AAAAABgAAAD8/AD8AAIAAAAAAADwvwICTYQNTy8GwALDZKpgVFLnPwAAAAAcAAAA/PwA/AACAAAAAAAA8L8CYHZPHhZq/L8CZhniWBe36T8AAAAAGAAAAPz8APwAAgAAAAAAAPC/Ap2iI7n8h/G/Ai9uowG8BbI/AAAAABgAAAD8/AD8AAIAAAAAAADwvwLXxW00gLfovwIxKqkT0ETwPwAAAAAYAAAA/PwA/AACAAAAAAAA8L8ClyGOdXEbzT8C8x/Sb18H8D8AAAAAHAAAAPz8APwAAgAAAAAAAPC/AhIUP8bcteA/Ar8OnDOitKc/AAAAABgAAAD8/AD8AAIAAAAAAADwvwLm0CLb+X73PwIqyxDHurjRvwAAAAAgAAAA/PwA/AACAAAAAAAA8L8CS1mGONbFAUAC/Knx0k1i2D8AAAAAGAAAAPz8APwAAgAAAAAAAPC/Arn8h/TbVwlAAtbnaiv2l60/AAAAABgAAAD8/AD8AAIAAAAAAADwvwJahjjWxe0LQAKMSuoENBHwPwAAAAAYAAAA/PwA/AACAAAAAAAA8L8CFNBE2PB0EEACQz7o2az60L8AAAAAGAAAAPz8APwAAgAAAAAAAPC/Ahlz1xLywQZAAjzfT42Xbuy/AAAAACAAAAD8/AD8AAIAAAAAAADwvwKD4seYu5b6PwLFjzF3LSH0vwAAAAAYAAAA/PwA/AACAAAAAAAA8L8Ce6UsQxzr0r8CqRPQRNjw4L8AAAAAGAAAAPz8APwAAgAAAAAAAPC/Agr5oGez6vO/Ak+vlGWIY+2/AAAAABgAAAD8/AD8AAIAAAAAAADwvwKmLEMc6+IAwAKoV8oyxLH2vwAAAAAcAAAA/PwA/AACAAAAAAAA8L8CE/JBz2ZVCMACfq62Yn/Z8L8AAAAAGAAAAPz8APwAAgAAAAAAAPC/Av7UeOkmsQrAAuVhodY077i/AAAAAAEUAAQBZQgAAAAAAAAAAAQIAWUEAAAAAAAAAAAMCAFlBAAAAAAAAAAADBABZQQAAAAAAAAAABAUAWUEAAAAAAAAAAAUGAFlBAAAAAAAAAAAGBwBZQQAAAAAAAAAABwgAWUEAAAAAAAAAAAgJAFlBAAAAAAAAAAAJCgBZQQAAAAAAAAAACQsAWUEAAAAAAAAAAAkMAFlBAAAAAAAAAAAHDQBZQgAAAAAAAAAABg4AWUEAAAAAAAAAAAMOAFlBAAAAAAAAAAADDwBZQQAAAAAAAAAADwBEAFlBAAAAAAAAAAAARABEQFlBAAAAAAAAAAAAREBEgFlBAAAAAAAAAAABAESAWUEAAAAAAAAAAAAAAAA</t>
        </r>
      </text>
    </comment>
    <comment ref="A1595" authorId="0" shapeId="0" xr:uid="{CB363EA2-9BB5-4FC8-B4E4-89CC7AA203D3}">
      <text>
        <r>
          <rPr>
            <sz val="9"/>
            <color indexed="81"/>
            <rFont val="MS P ゴシック"/>
            <family val="3"/>
            <charset val="128"/>
          </rPr>
          <t>Insight iXlW00001C0001595R0585476093S00003188P00740LAocjBAQBF1NjaVRlZ2ljLmRhdGEuTW9sZWN1bGUBbwF/ARJTY2lUZWdpYy5Nb2xlY3VsZQAAAQFkAv5qAQAAAAIAAigYAAAA/PwA/AACAAAAAAAA8L8CAAAAAAAA4D8AAAAAABgAAAD8/AD8AAIAAAAAAADwvwACg8DKoUW26z8AAAAAHAAAAPz8APwAAgAAAAAAAPC/AgAAAAAAAPC/AoPAyqFFtus/AAAAABgAAAD8/AD8AAIAAAAAAADwvwIAAAAAAAD4vwAAAAAAHAAAAPz8APwAAgAAAAAAAPC/AgAAAAAAAPC/AoPAyqFFtuu/AAAAABgAAAD8/AD8AAIAAAAAAADwvwACg8DKoUW2678AAAAAGAAAAPz8APwAAgAAAAAAAPC/AgAAAAAAAPg/AAAAAAAgAAAA/PwA/AACAAAAAAAA8L8CAAAAAAAAAEACg8DKoUW26z8AAAAAIAAAAPz8APwAAgAAAAAAAPC/AgAAAAAAAABAAoPAyqFFtuu/AAAAACAAAAD8/AD8AAIAAAAAAADwvwIAAAAAAAAEwAAAAAAAKAAEAWUEAAAAAAAAAAAECAFlCAgAAAAAAAAACAwBZQQAAAAAAAAAAAwQAWUEAAAAAAAAAAAQFAFlBAAAAAAAAAAAFAABZQgIAAAAAAAAAAAYAWUEAAAAAAAAAAAYHAFlCAAAAAAAAAAAGCABZQQAAAAAAAAAAAwkAWUIAAAAAAAAAAAAAAAA</t>
        </r>
      </text>
    </comment>
    <comment ref="A1596" authorId="0" shapeId="0" xr:uid="{AE88EE6C-C06D-4BF3-9221-93D2CC17CFA5}">
      <text>
        <r>
          <rPr>
            <sz val="9"/>
            <color indexed="81"/>
            <rFont val="MS P ゴシック"/>
            <family val="3"/>
            <charset val="128"/>
          </rPr>
          <t>Insight iXlW00001C0001596R0585476093S00003190P01232LAocjBAQBF1NjaVRlZ2ljLmRhdGEuTW9sZWN1bGUBbwF/ARJTY2lUZWdpYy5Nb2xlY3VsZQAAAQFkAv5qAQAAAAIAAgEQGAAAAPz8APwAAgAAAAAAAPC/Ag6+MJkqGOG/AtgS8kHPZqW/AAAAABgAAAD8/AD8AAIAAAAAAADwvwLrBDQRNjzVPwIuIR/0bFbhvwAAAAAYAAAA/PwA/AACAAAAAAAA8L8C6wQ0ETY81T8Cl5APejar+L8AAAAAHAAAAPz8APwAAgAAAAAAAPC/AnxhMlUwKvM/AkzIBz2bVQDAAAAAABgAAAD8/AD8AAIAAAAAAADwvwJJv30dOGf2vwIuIR/0bFbhvwAAAAAYAAAA/PwA/AACAAAAAAAA8L8CxY8xdy0hAsAC2BLyQc9mpb8AAAAAGAAAAPz8APwAAgAAAAAAAPC/AsWPMXctIQLAAtPe4AuTqe4/AAAAABgAAAD8/AD8AAIAAAAAAADwvwJJv30dOGf2vwJqb/CFyVT3PwAAAAAYAAAA/PwA/AACAAAAAAAA8L8CDr4wmSoY4b8C097gC5Op7j8AAAAAHAAAAPz8APwAAgAAAAAAAPC/AnxhMlUwKvM/AtgS8kHPZqW/AAAAABwAAAD8/AD8AAIAAAAAAADwvwL1SlmGONb0PwI/xty1hHzuPwAAAAAYAAAA/PwA/AACAAAAAAAA8L8CIGPuWkI+AkACp3nHKTqS8j8AAAAAGAAAAPz8APwAAgAAAAAAAPC/Alg5tMh2PgZAAtGzWfW52tI/AAAAABgAAAD8/AD8AAIAAAAAAADwvwLAWyBB8eMAQAJOYhBYObTcvwAAAAAkAAAA/PwA/AACAAAAAAAA8L8CHxZqTfMOCcACLiEf9GxW4b8AAAAAAREAAAD8/AD8AAIAAAAAAADwvwK/nxov3aQMQAJbQj7o2azSvwAAAAABEAAEAWUEAAAAAAAAAAAECAFlBAAAAAAAAAAACAwBZQQAAAAAAAAAAAAQAWUEAAAAAAAAAAAQFAFlCAgAAAAAAAAAFBgBZQQAAAAAAAAAABgcAWUICAAAAAAAAAAcIAFlBAAAAAAAAAAAIAABZQgMAAAAAAAAAAQkAWUEAAAAAAAAAAAkKAFlBAAAAAAAAAAAKCwBZQgIAAAAAAAAACwwAWUEAAAAAAAAAAAwNAFlCAgAAAAAAAAANCQBZQQAAAAAAAAAABQ4AWUEAAAAAAAAAAAAAAAA</t>
        </r>
      </text>
    </comment>
    <comment ref="A1597" authorId="0" shapeId="0" xr:uid="{A80588C9-C5B2-4A3C-8C65-B1A1FDD74A58}">
      <text>
        <r>
          <rPr>
            <sz val="9"/>
            <color indexed="81"/>
            <rFont val="MS P ゴシック"/>
            <family val="3"/>
            <charset val="128"/>
          </rPr>
          <t>Insight iXlW00001C0001597R0585476093S00003192P01232LAocjBAQBF1NjaVRlZ2ljLmRhdGEuTW9sZWN1bGUBbwF/ARJTY2lUZWdpYy5Nb2xlY3VsZQAAAQFkAv5qAQAAAAIAAgEQGAAAAPz8APwAAgAAAAAAAPC/AsWxLm6jAdi/AutztRX7y9q/AAAAABgAAAD8/AD8AAIAAAAAAADwvwIep+hILv/jPwLrc7UV+8vavwAAAAAYAAAA/PwA/AACAAAAAAAA8L8Cj1N0JJf/8T8CrmnecYqO9L8AAAAAHAAAAPz8APwAAgAAAAAAAPC/AsgpOpLL/wBAAq5p3nGKjvS/AAAAABgAAAD8/AD8AAIAAAAAAADwvwLiWBe30QDsvwKuad5xio70vwAAAAAYAAAA/PwA/AACAAAAAAAA8L8CcayL22gA/r8CrmnecYqO9L8AAAAAGAAAAPz8APwAAgAAAAAAAPC/AjnWxW00AAPAAq8l5IOezdq/AAAAABgAAAD8/AD8AAIAAAAAAADwvwJxrIvbaAD+vwIcDeAtkKDcPwAAAAAYAAAA/PwA/AACAAAAAAAA8L8C4lgXt9EA7L8CHA3gLZCg3D8AAAAAHAAAAPz8APwAAgAAAAAAAPC/Ao9TdCSX//E/AhwN4C2QoNw/AAAAABwAAAD8/AD8AAIAAAAAAADwvwJDPujZrPrmPwLarPpcbcX1PwAAAAAYAAAA/PwA/AACAAAAAAAA8L8CGlHaG3xh9z8CBTQRNjw9AEAAAAAAGAAAAPz8APwAAgAAAAAAAPC/Aq7YX3ZPngJAAgpoImx4evg/AAAAABgAAAD8/AD8AAIAAAAAAADwvwKjI7n8h/QAQAKegCbChqfhPwAAAAAkAAAA/PwA/AACAAAAAAAA8L8COdbFbTQAC8ACryXkg57N2r8AAAAAAREAAAD8/AD8AAIAAAAAAADwvwIUP8bctQQJQAKcVZ+rrdjXPwAAAAABEAAEAWUEAAAAAAAAAAAECAFlBAAAAAAAAAAACAwBZQQAAAAAAAAAAAAQAWUIDAAAAAAAAAAQFAFlBAAAAAAAAAAAFBgBZQgIAAAAAAAAABgcAWUEAAAAAAAAAAAcIAFlCAgAAAAAAAAAIAABZQQAAAAAAAAAAAQkAWUEAAAAAAAAAAAkKAFlBAAAAAAAAAAAKCwBZQgIAAAAAAAAACwwAWUEAAAAAAAAAAAwNAFlCAgAAAAAAAAANCQBZQQAAAAAAAAAABg4AWUEAAAAAAAAAAAAAAAA</t>
        </r>
      </text>
    </comment>
    <comment ref="A1598" authorId="0" shapeId="0" xr:uid="{34DF3FF8-2571-44F3-9636-34F0C8990DA5}">
      <text>
        <r>
          <rPr>
            <sz val="9"/>
            <color indexed="81"/>
            <rFont val="MS P ゴシック"/>
            <family val="3"/>
            <charset val="128"/>
          </rPr>
          <t>Insight iXlW00001C0001598R0585476093S00003194P01176LAocjBAQBF1NjaVRlZ2ljLmRhdGEuTW9sZWN1bGUBbwF/ARJTY2lUZWdpYy5Nb2xlY3VsZQAAAQFkAv5qAQAAAAIAAjwYAAAA/PwA/AACAAAAAAAA8L8CKe0NvjCZ9T8Cnzws1Jrm2b8AAAAAHAAAAPz8APwAAgAAAAAAAPC/Aucdp+hILtc/AoV80LNZ9eG/AAAAABgAAAD8/AD8AAIAAAAAAADwvwIp7Q2+MJngPwLyY8xdS8j4vwAAAAAYAAAA/PwA/AACAAAAAAAA8L8C0m9fB84Z+D8C1zTvOEVH9r8AAAAAGAAAAPz8APwAAgAAAAAAAPC/ArhAguLHmP0/AjBMpgpGJfI/AAAAABgAAAD8/AD8AAIAAAAAAADwvwIs1JrmHafwPwLswDkjSnvhPwAAAAAYAAAA/PwA/AACAAAAAAAA8L8CXCBB8WPMAkACnzws1Jrm2b8AAAAAHAAAAPz8APwAAgAAAAAAAPC/Atqs+lxtRQVAAuzAOSNKe+E/AAAAABgAAAD8/AD8AAIAAAAAAADwvwILRiV1AprcvwKKQWDl0CKbPwAAAAAgAAAA/PwA/AACAAAAAAAA8L8CKKCJsOHp1b8CLiEf9GxW8D8AAAAAIAAAAPz8APwAAgAAAAAAAPC/AoenV8oyxPW/AtsbfGEyVdi/AAAAABgAAAD8/AD8AAIAAAAAAADwvwIJih9j7loBwAKQwvUoXI/KPwAAAAAYAAAA/PwA/AACAAAAAAAA8L8C5j+k374OBsACc2iR7Xw/478AAAAAGAAAAPz8APwAAgAAAAAAAPC/AocW2c730wfAAhdIUPwYc+k/AAAAABgAAAD8/AD8AAIAAAAAAADwvwLKVMGopE75vwJO0ZFc/kPwPwAAAAABEAAEAWUEAAAAAAAAAAAECAFlBAAAAAAAAAAACAwBZQQAAAAAAAAAAAAMAWUEAAAAAAAAAAAQFAFlBAAAAAAAAAAAFAABZQQAAAAAAAAAAAAYAWUEAAAAAAAAAAAYHAFlBAAAAAAAAAAAHBABZQQAAAAAAAAAAAQgAWUEAAAAAAAAAAAgJAFlCAAAAAAAAAAAICgBZQQAAAAAAAAAACgsAWUEAAAAAAAAAAAsMAFlBAAAAAAAAAAALDQBZQQAAAAAAAAAACw4AWUEAAAAAAAAAAAAAAAA</t>
        </r>
      </text>
    </comment>
    <comment ref="A1599" authorId="0" shapeId="0" xr:uid="{D5B2510B-6361-47D8-AFD6-8BEB2F73CF54}">
      <text>
        <r>
          <rPr>
            <sz val="9"/>
            <color indexed="81"/>
            <rFont val="MS P ゴシック"/>
            <family val="3"/>
            <charset val="128"/>
          </rPr>
          <t>Insight iXlW00001C0001599R0585476093S00003196P01232LAocjBAQBF1NjaVRlZ2ljLmRhdGEuTW9sZWN1bGUBbwF/ARJTY2lUZWdpYy5Nb2xlY3VsZQAAAQFkAv5qAQAAAAIAAgEQGAAAAPz8APwAAgAAAAAAAPC/At6Th4Va0wbAAp88LNSa5uU/AAAAABgAAAD8/AD8AAIAAAAAAADwvwLek4eFWtMKwAKRD3o2qz7HvwAAAAAcAAAA/PwA/AACAAAAAAAA8L8CFmpN847TBsACNKK0N/jC8L8AAAAAGAAAAPz8APwAAgAAAAAAAPC/Ai3UmuYdp/2/AjSitDf4wvC/AAAAABgAAAD8/AD8AAIAAAAAAADwvwIt1JrmHaf1vwIJrBxaZDvHvwAAAAAYAAAA/PwA/AACAAAAAAAA8L8CLdSa5h2n/b8CgZVDi2zn5T8AAAAAGAAAAPz8APwAAgAAAAAAAPC/ArFQa5p3nNa/ApEPejarPse/AAAAABwAAAD8/AD8AAIAAAAAAADwvwJrvHSTGATOPwIVrkfhehTkPwAAAAAYAAAA/PwA/AACAAAAAAAA8L8CnDOitDf48j8COPjCZKpg1D8AAAAAIAAAAPz8APwAAgAAAAAAAPC/AiuHFtnO9/I/AuSDns2qz+W/AAAAABwAAAD8/AD8AAIAAAAAAADwvwJrvHSTGATOPwL7XG3F/rLvvwAAAAAYAAAA/PwA/AACAAAAAAAA8L8CKKCJsOHp/z8CrfpcbcX+7D8AAAAAGAAAAPz8APwAAgAAAAAAAPC/Ak/RkVz+QwdAAqMjufyH9N8/AAAAABgAAAD8/AD8AAIAAAAAAADwvwKUh4Va07wNQAIxCKwcWmTxPwAAAAAYAAAA/PwA/AACAAAAAAAA8L8C0m9fB84ZCEACN6s+V1ux378AAAAAAREAAAD8/AD8AAIAAAAAAADwvwL99nXgnBESQAKyv+yePCyUPwAAAAABEAAEAWUEAAAAAAAAAAAAFAFlBAAAAAAAAAAABAgBZQQAAAAAAAAAAAgMAWUEAAAAAAAAAAAMEAFlBAAAAAAAAAAAEBQBZQQAAAAAAAAAABAYAWUEAAAAAAAAAAAYHAFlBAAAAAAAAAAAHCABZQgIAAAAAAAAACAkAWUEAAAAAAAAAAAkKAFlBAAAAAAAAAAAKBgBZQgMAAAAAAAAACAsAWUEAAAAAAAAAAAsMAFlBAAAAAAAAAAAMDQBZQQAAAAAAAAAADA4AWUEAAAAAAAAAAAAAAAA</t>
        </r>
      </text>
    </comment>
    <comment ref="A1600" authorId="0" shapeId="0" xr:uid="{414BFD5D-7FE5-4F04-9003-0C6B71FDCFC3}">
      <text>
        <r>
          <rPr>
            <sz val="9"/>
            <color indexed="81"/>
            <rFont val="MS P ゴシック"/>
            <family val="3"/>
            <charset val="128"/>
          </rPr>
          <t>Insight iXlW00001C0001600R0585476093S00003198P01248LAocjBAQBF1NjaVRlZ2ljLmRhdGEuTW9sZWN1bGUBbwF/ARJTY2lUZWdpYy5Nb2xlY3VsZQAAAQFkAv5qAQAAAAIAAgEQHAAAAPz8APwAAgAAAAAAAPC/AmMQWDm0yOS/AjqSy39Iv/C/AAAAABgAAAD8/AD8AAIAAAAAAADwvwJjEFg5tMjkvwJGR3L5D+mnvwAAAAAYAAAA/PwA/AACAAAAAAAA8L8Cg8DKoUW2yz8CGLfRAN4C3T8AAAAAGAAAAPz8APwAAgAAAAAAAPC/AnNoke18P/i/Ahi30QDeAt0/AAAAABwAAAD8/AD8AAIAAAAAAADwvwLRItv5fmrEPwKDUUmdgCb6vwAAAAAYAAAA/PwA/AACAAAAAAAA8L8CiUFg5dAiw78CyXa+nxqvBMAAAAAAGAAAAPz8APwAAgAAAAAAAPC/AjEIrBxaZPK/Asl2vp8arwTAAAAAABgAAAD8/AD8AAIAAAAAAADwvwK9dJMYBFb3vwKDUUmdgCb6vwAAAAAgAAAA/PwA/AACAAAAAAAA8L8CkzoBTYQNA8ACRkdy+Q/pp78AAAAAIAAAAPz8APwAAgAAAAAAAPC/AnNoke18P/i/AsZtNIC3QPc/AAAAABgAAAD8/AD8AAIAAAAAAADwvwKDwMqhRbbLPwLGbTSAt0D3PwAAAAAYAAAA/PwA/AACAAAAAAAA8L8CUrgehetR8T8Cxm00gLdA/z8AAAAAGAAAAPz8APwAAgAAAAAAAPC/ApQYBFYOLf8/AsZtNIC3QPc/AAAAABgAAAD8/AD8AAIAAAAAAADwvwKUGARWDi3/PwIYt9EA3gLdPwAAAAAYAAAA/PwA/AACAAAAAAAA8L8CUrgehetR8T8CRkdy+Q/pp78AAAAAJAAAAPz8APwAAgAAAAAAAPC/AqOSOgFNhAZAAsZtNIC3QP8/AAAAAAERBAABZQQAAAAAAAAAAAQIAWUEAAAAAAAAAAAEDAFlBAAAAAAAAAAAABABZQQAAAAAAAAAABAUAWUICAAAAAAAAAAUGAFlBAAAAAAAAAAAGBwBZQgIAAAAAAAAABwAAWUEAAAAAAAAAAAMIAFlCAAAAAAAAAAADCQBZQQAAAAAAAAAAAgoAWUIDAAAAAAAAAAoLAFlBAAAAAAAAAAALDABZQgIAAAAAAAAADA0AWUEAAAAAAAAAAA0OAFlCAgAAAAAAAAAOAgBZQQAAAAAAAAAADA8AWUEAAAAAAAAAAAAAAAA</t>
        </r>
      </text>
    </comment>
    <comment ref="A1601" authorId="0" shapeId="0" xr:uid="{51D90B1D-3141-4009-B2CF-C9150C42441E}">
      <text>
        <r>
          <rPr>
            <sz val="9"/>
            <color indexed="81"/>
            <rFont val="MS P ゴシック"/>
            <family val="3"/>
            <charset val="128"/>
          </rPr>
          <t>Insight iXlW00001C0001601R0585476093S00003200P01072LAocjBAQBF1NjaVRlZ2ljLmRhdGEuTW9sZWN1bGUBbwF/ARJTY2lUZWdpYy5Nb2xlY3VsZQAAAQFkAv5qAQAAAAIAAjgYAAAA/PwA/AACAAAAAAAA8L8Csr/snjwszL8CYAfOGVHa8L8AAAAAGAAAAPz8APwAAgAAAAAAAPC/AvaX3ZOHhfO/AmAHzhlR2vC/AAAAABwAAAD8/AD8AAIAAAAAAADwvwJXfa62Yn/9vwLHSzeJQWDRvwAAAAAYAAAA/PwA/AACAAAAAAAA8L8Cx7q4jQbw+b8CUI2XbhKD5j8AAAAAGAAAAPz8APwAAgAAAAAAAPC/Au0vuycPC+e/AlHaG3xhMvI/AAAAACAAAAD8/AD8AAIAAAAAAADwvwLtL7snDwvnvwIp7Q2+MBkBQAAAAAAcAAAA/PwA/AACAAAAAAAA8L8C1lbsL7snxz8CUI2XbhKD5j8AAAAAGAAAAPz8APwAAgAAAAAAAPC/Aqk1zTtO0dk/AsdLN4lBYNG/AAAAABgAAAD8/AD8AAIAAAAAAADwvwKM22gAb4HyPwIj2/l+arzYPwAAAAAYAAAA/PwA/AACAAAAAAAA8L8C5q4l5IMeAEAC/tR46SYxwL8AAAAAHAAAAPz8APwAAgAAAAAAAPC/Aq5H4XoUrvw/Aldbsb/snvG/AAAAABgAAAD8/AD8AAIAAAAAAADwvwKwcmiR7XzpPwJ1kxgEVg7zvwAAAAABEQAAAPz8APwAAgAAAAAAAPC/Ak0VjErqhAZAAgyTqYJRSd0/AAAAAAERAAAA/PwA/AACAAAAAAAA8L8CaQBvgQTFDkACKjqSy39I3z8AAAAANBwAAWUEAAAAAAAAAAAABAFlBAAAAAAAAAAABAgBZQQAAAAAAAAAAAgMAWUEAAAAAAAAAAAMEAFlBAAAAAAAAAAAEBQBZQgAAAAAAAAAABAYAWUEAAAAAAAAAAAYHAFlBAAAAAAAAAAAHCwBZQQAAAAAAAAAABwgAWUEAAAAAAAAAAAgJAFlBAAAAAAAAAAAJCgBZQQAAAAAAAAAACgsAWUEAAAAAAAAAAAAAAAA</t>
        </r>
      </text>
    </comment>
    <comment ref="A1602" authorId="0" shapeId="0" xr:uid="{05D3C102-0090-45A5-B872-4FF47064D298}">
      <text>
        <r>
          <rPr>
            <sz val="9"/>
            <color indexed="81"/>
            <rFont val="MS P ゴシック"/>
            <family val="3"/>
            <charset val="128"/>
          </rPr>
          <t>Insight iXlW00001C0001602R0585476093S00003202P01232LAocjBAQBF1NjaVRlZ2ljLmRhdGEuTW9sZWN1bGUBbwF/ARJTY2lUZWdpYy5Nb2xlY3VsZQAAAQFkAv5qAQAAAAIAAgEQGAAAAPz8APwAAgAAAAAAAPC/Aj/G3LWEfOi/Au/Jw0Ktaca/AAAAABgAAAD8/AD8AAIAAAAAAADwvwIxmSoYldS5PwJ88rBQa5rlvwAAAAAYAAAA/PwA/AACAAAAAAAA8L8CMZkqGJXUuT8CPnlYqDXN+r8AAAAAHAAAAPz8APwAAgAAAAAAAPC/AqoT0ETY8O4/Ap88LNSaZgHAAAAAABgAAAD8/AD8AAIAAAAAAADwvwI/xty1hHzovwKFDU+vlGXqPwAAAAAYAAAA/PwA/AACAAAAAAAA8L8CYcPTK2UZ+r8CwoanV8oy9T8AAAAAGAAAAPz8APwAAgAAAAAAAPC/AtKRXP5D+gPAAoUNT6+UZeo/AAAAABgAAAD8/AD8AAIAAAAAAADwvwLSkVz+Q/oDwALvycNCrWnGvwAAAAAYAAAA/PwA/AACAAAAAAAA8L8CYcPTK2UZ+r8CfPKwUGua5b8AAAAAHAAAAPz8APwAAgAAAAAAAPC/AqoT0ETY8O4/Au/Jw0Ktaca/AAAAABwAAAD8/AD8AAIAAAAAAADwvwJO845TdCTxPwLx9EpZhjjqPwAAAAAYAAAA/PwA/AACAAAAAAAA8L8CTDeJQWBlAEACj+TyH9Jv8D8AAAAAGAAAAPz8APwAAgAAAAAAAPC/Akw3iUFgZQRAAmgibHh6pcQ/AAAAABgAAAD8/AD8AAIAAAAAAADwvwLZX3ZPHhb+PwJXW7G/7J7ivwAAAAAkAAAA/PwA/AACAAAAAAAA8L8CINJvXwfOuT8CwoanV8oy9T8AAAAAAREAAAD8/AD8AAIAAAAAAADwvwKzne+nxssKQAL45GGh1jTbvwAAAAABEAAEAWUEAAAAAAAAAAAECAFlBAAAAAAAAAAACAwBZQQAAAAAAAAAAAAQAWUIDAAAAAAAAAAQFAFlBAAAAAAAAAAAFBgBZQgIAAAAAAAAABgcAWUEAAAAAAAAAAAcIAFlCAgAAAAAAAAAIAABZQQAAAAAAAAAAAQkAWUEAAAAAAAAAAAkKAFlBAAAAAAAAAAAKCwBZQgIAAAAAAAAACwwAWUEAAAAAAAAAAAwNAFlCAgAAAAAAAAANCQBZQQAAAAAAAAAABA4AWUEAAAAAAAAAAAAAAAA</t>
        </r>
      </text>
    </comment>
    <comment ref="A1603" authorId="0" shapeId="0" xr:uid="{AEE98142-C5F3-4CC5-A995-29A0E88C3B80}">
      <text>
        <r>
          <rPr>
            <sz val="9"/>
            <color indexed="81"/>
            <rFont val="MS P ゴシック"/>
            <family val="3"/>
            <charset val="128"/>
          </rPr>
          <t>Insight iXlW00001C0001603R0585476093S00003204P01248LAocjBAQBF1NjaVRlZ2ljLmRhdGEuTW9sZWN1bGUBbwF/ARJTY2lUZWdpYy5Nb2xlY3VsZQAAAQFkAv5qAQAAAAIAAgEQHAAAAPz8APwAAgAAAAAAAPC/AusENBE2PPA/Am6jAbwFEqS/AAAAABgAAAD8/AD8AAIAAAAAAADwvwJGJXUCmgjDPwI3GsBbIEHhvwAAAAAYAAAA/PwA/AACAAAAAAAA8L8CMnctIR/05r8CbqMBvAUSpL8AAAAAGAAAAPz8APwAAgAAAAAAAPC/AkYldQKaCMM/AhwN4C2QoPi/AAAAABwAAAD8/AD8AAIAAAAAAADwvwJj7lpCPujxPwI2zTtO0ZHuPwAAAAAYAAAA/PwA/AACAAAAAAAA8L8CDwu1pnnHAEACIv32deCc8j8AAAAAGAAAAPz8APwAAgAAAAAAAPC/Ag8LtaZ5xwRAAr7BFyZTBdM/AAAAABgAAAD8/AD8AAIAAAAAAADwvwLvWkI+6Nn+PwJhVFInoIncvwAAAAAgAAAA/PwA/AACAAAAAAAA8L8C6wQ0ETY88D8CjgbwFkhQAMAAAAAAIAAAAPz8APwAAgAAAAAAAPC/AjJ3LSEf9Oa/Ao4G8BZIUADAAAAAABgAAAD8/AD8AAIAAAAAAADwvwIU0ETY8PTmvwLK5T+k377uPwAAAAAYAAAA/PwA/AACAAAAAAAA8L8CTMgHPZtV+b8C5fIf0m9f9z8AAAAAGAAAAPz8APwAAgAAAAAAAPC/AkeU9gZfmAPAAsrlP6Tfvu4/AAAAABgAAAD8/AD8AAIAAAAAAADwvwJHlPYGX5gDwAJNFYxK6gSkvwAAAAAYAAAA/PwA/AACAAAAAAAA8L8CTMgHPZtV+b8CVcGopE5A4b8AAAAAJAAAAPz8APwAAgAAAAAAAPC/AkYldQKaCMM/AuXyH9JvX/c/AAAAAAERBAABZQQAAAAAAAAAAAQIAWUEAAAAAAAAAAAEDAFlBAAAAAAAAAAAABABZQQAAAAAAAAAABAUAWUICAAAAAAAAAAUGAFlBAAAAAAAAAAAGBwBZQgIAAAAAAAAABwAAWUEAAAAAAAAAAAMIAFlCAAAAAAAAAAADCQBZQQAAAAAAAAAAAgoAWUIDAAAAAAAAAAoLAFlBAAAAAAAAAAALDABZQgIAAAAAAAAADA0AWUEAAAAAAAAAAA0OAFlCAgAAAAAAAAAOAgBZQQAAAAAAAAAACg8AWUEAAAAAAAAAAAAAAAA</t>
        </r>
      </text>
    </comment>
    <comment ref="A1604" authorId="0" shapeId="0" xr:uid="{4CA1F7EE-8F6A-4F42-AC4D-1EBFF440C5DD}">
      <text>
        <r>
          <rPr>
            <sz val="9"/>
            <color indexed="81"/>
            <rFont val="MS P ゴシック"/>
            <family val="3"/>
            <charset val="128"/>
          </rPr>
          <t>Insight iXlW00001C0001604R0585476093S00003206P01144LAocjBAQBF1NjaVRlZ2ljLmRhdGEuTW9sZWN1bGUBbwF/ARJTY2lUZWdpYy5Nb2xlY3VsZQAAAQFkAv5qAQAAAAIAAjwYAAAA/PwA/AACAAAAAAAA8L8CBcWPMXct+D8CGlHaG3xh9r8AAAAAGAAAAPz8APwAAgAAAAAAAPC/ArivA+eMKOE/AhriWBe30fK/AAAAABgAAAD8/AD8AAIAAAAAAADwvwIukKD4MebOPwLkFB3J5T/MvwAAAAAYAAAA/PwA/AACAAAAAAAA8L8Cak3zjlN02L8CCtejcD0K8L8AAAAAGAAAAPz8APwAAgAAAAAAAPC/AlvTvOMUHfa/AgrXo3A9CvC/AAAAABwAAAD8/AD8AAIAAAAAAADwvwJe3EYDeAsAwALkFB3J5T/MvwAAAAAYAAAA/PwA/AACAAAAAAAA8L8CLPaX3ZOH/L8C++3rwDkj6D8AAAAAGAAAAPz8APwAAgAAAAAAAPC/ArWmeccpOuy/AqcKRiV1AvM/AAAAACAAAAD8/AD8AAIAAAAAAADwvwK1pnnHKTrsvwJTBaOSOoEBQAAAAAAcAAAA/PwA/AACAAAAAAAA8L8CmN2Th4Vakz8C++3rwDkj6D8AAAAAGAAAAPz8APwAAgAAAAAAAPC/ApPLf0i/fe0/AqK0N/jCZOA/AAAAABwAAAD8/AD8AAIAAAAAAADwvwLy0k1iEFj+PwIHX5hMFYzSPwAAAAAYAAAA/PwA/AACAAAAAAAA8L8CZMxdS8iHAUACWag1zTtO5b8AAAAAAREAAAD8/AD8AAIAAAAAAADwvwLLMsSxLu4HQAKoxks3iUHYPwAAAAABEQAAAPz8APwAAgAAAAAAAPC/AvSOU3QkFxBAAsZtNIC3QNo/AAAAADgAMAFlBAAAAAAAAAAAAAQBZQQAAAAAAAAAAAgEAWUEAAAAAAAAAAAIJAFlBAAAAAAAAAAACAwBZQQAAAAAAAAAAAwQAWUEAAAAAAAAAAAQFAFlBAAAAAAAAAAAFBgBZQQAAAAAAAAAABgcAWUEAAAAAAAAAAAcIAFlCAAAAAAAAAAAHCQBZQQAAAAAAAAAAAgoAWUEAAAAAAAAAAAoLAFlBAAAAAAAAAAALDABZQQAAAAAAAAAAAAAAAA=</t>
        </r>
      </text>
    </comment>
    <comment ref="A1605" authorId="0" shapeId="0" xr:uid="{1CB3DC36-D916-419B-827A-8F513A411A15}">
      <text>
        <r>
          <rPr>
            <sz val="9"/>
            <color indexed="81"/>
            <rFont val="MS P ゴシック"/>
            <family val="3"/>
            <charset val="128"/>
          </rPr>
          <t>Insight iXlW00001C0001605R0585476093S00003208P01468LAocjBAQBF1NjaVRlZ2ljLmRhdGEuTW9sZWN1bGUBbwF/ARJTY2lUZWdpYy5Nb2xlY3VsZQAAAQFkAv5qAQAAAAIAAgETIAAAAPz8APwAAgAAAAAAAPC/AvjCZKpgFBHAAhi30QDeAsE/AAAAABgAAAD8/AD8AAIAAAAAAADwvwKsPldbsT8KwAKC4seYu5aQvwAAAAAcAAAA/PwA/AACAAAAAAAA8L8CwFsgQfHjB8AC8BZIUPwY778AAAAAGAAAAPz8APwAAgAAAAAAAPC/AlOWIY51cQDAAqK0N/jCZPW/AAAAABgAAAD8/AD8AAIAAAAAAADwvwJkzF1LyAfzvwJFaW/whcnqvwAAAAAYAAAA/PwA/AACAAAAAAAA8L8Cr7Zif9m9BcAC7FG4HoXr6T8AAAAAHAAAAPz8APwAAgAAAAAAAPC/ArtJDAIrh/u/Ao4G8BZIUOw/AAAAABgAAAD8/AD8AAIAAAAAAADwvwL3deCcEaXwvwJCz2bV52rDPwAAAAAYAAAA/PwA/AACAAAAAAAA8L8CyuU/pN++zr8CAk2EDU+v3L8AAAAAHAAAAPz8APwAAgAAAAAAAPC/Al1txf6ye+I/AlK4HoXrUcA/AAAAABgAAAD8/AD8AAIAAAAAAADwvwKL/WX35GH4PwKx4emVsgzJvwAAAAAgAAAA/PwA/AACAAAAAAAA8L8CZRniWBc3AkACEjY8vVKW3T8AAAAAGAAAAPz8APwAAgAAAAAAAPC/AgyTqYJRyQlAAiDSb18HzsE/AAAAABgAAAD8/AD8AAIAAAAAAADwvwKsHFpkO18MQAIhQfFjzF3xPwAAAAAYAAAA/PwA/AACAAAAAAAA8L8CPZtVn6utEEAC48eYu5aQx78AAAAAGAAAAPz8APwAAgAAAAAAAPC/AmwJ+aBnMwdAAhPyQc9m1em/AAAAACAAAAD8/AD8AAIAAAAAAADwvwIoDwu1pnn7PwIxmSoYldTyvwAAAAAYAAAA/PwA/AACAAAAAAAA8L8CYcPTK2UZ0j8ChxbZzvdT8T8AAAAAGAAAAPz8APwAAgAAAAAAAPC/Aoxs5/up8ea/AsUgsHJokfE/AAAAAAEUAAQBZQgAAAAAAAAAAAQIAWUEAAAAAAAAAAAIDAFlBAAAAAAAAAAADBABZQQAAAAAAAAAAAQUAWUEAAAAAAAAAAAUGAFlBAAAAAAAAAAAHBgBZQQAAAAAAAAAABAcAWUEAAAAAAAAAAAcIAFlBAAAAAAAAAAAICQBZQQAAAAAAAAAACQoAWUEAAAAAAAAAAAoLAFlBAAAAAAAAAAALDABZQQAAAAAAAAAADA0AWUEAAAAAAAAAAAwOAFlBAAAAAAAAAAAMDwBZQQAAAAAAAAAACgBEAFlCAAAAAAAAAAAJAERAWUEAAAAAAAAAAABEQESAWUEAAAAAAAAAAAcARIBZQQAAAAAAAAAAAAAAAA=</t>
        </r>
      </text>
    </comment>
    <comment ref="A1606" authorId="0" shapeId="0" xr:uid="{D79F0928-F9B0-4D27-B4B2-2CC59C4504B7}">
      <text>
        <r>
          <rPr>
            <sz val="9"/>
            <color indexed="81"/>
            <rFont val="MS P ゴシック"/>
            <family val="3"/>
            <charset val="128"/>
          </rPr>
          <t>Insight iXlW00001C0001606R0585476093S00003210P01252LAocjBAQBF1NjaVRlZ2ljLmRhdGEuTW9sZWN1bGUBbwF/ARJTY2lUZWdpYy5Nb2xlY3VsZQAAAQFkAv5qAQAAAAIAAgEQGAAAAPz8APwAAgAAAAAAAPC/AqabxCCw8gPAAjMzMzMzM8O/AAAAABgAAAD8/AD8AAIAAAAAAADwvwKmm8QgsPIDwAJnZmZmZmbyvwAAAAAYAAAA/PwA/AACAAAAAAAA8L8CC9ejcD0K+r8CZ2ZmZmZm+r8AAAAAGAAAAPz8APwAAgAAAAAAAPC/ApLtfD81Xui/AmdmZmZmZvK/AAAAABgAAAD8/AD8AAIAAAAAAADwvwIL16NwPQr6vwJnZmZmZmbWPwAAAAAYAAAA/PwA/AACAAAAAAAA8L8Cku18PzVe6L8CMzMzMzMzw78AAAAAHAAAAPz8APwAAgAAAAAAAPC/AgU0ETY8vZK/ApOpglFJneA/AAAAABgAAAD8/AD8AAIAAAAAAADwvwI0MzMzMzPbvwLOqs/VVuz2PwAAAAAcAAAA/PwA/AACAAAAAAAA8L8C9GxWfa629r8CVcGopE5A9T8AAAAAGAAAAPz8APwAAgAAAAAAAPC/AvVsVn2utu4/Agr5oGez6tM/AAAAABgAAAD8/AD8AAIAAAAAAADwvwI5RUdy+Q/6PwI7cM6I0t7wPwAAAAAYAAAA/PwA/AACAAAAAAAA8L8CejarPlfbBEACSgwCK4cW6z8AAAAAHAAAAPz8APwAAgAAAAAAAPC/AsDsnjwsVAdAAp5eKcsQx7q/AAAAABgAAAD8/AD8AAIAAAAAAADwvwJg5dAi2/kBQALjNhrAWyDrvwAAAAAYAAAA/PwA/AACAAAAAAAA8L8Cd08eFmpN9D8Ct2J/2T155L8AAAAAAREAAAD8/AD8AAIAAAAAAADwvwImUwWjkroNQAI+eVioNc27vwAAAAABEQAEAWUICAAAAAAAAAAECAFlBAAAAAAAAAAACAwBZQgIAAAAAAAAAAwUAWUEAAAAAAAAAAAQAAFlBAAAAAAAAAAAEBQBZQgIAAAAAAAAABQYAWUEAAAAAAAAAAAYHAFlBAAAAAAAAAAAHCABZQgIAAAAAAAAACAQAWUEAAAAAAAAAAAYJAFlBAAAAAAAAAAAJCgBZQQAAAAAAAAAACQ4AWUEAAAAAAAAAAAoLAFlBAAAAAAAAAAALDABZQQAAAAAAAAAADA0AWUEAAAAAAAAAAA0OAFlBAAAAAAAAAAAAAAAAA==</t>
        </r>
      </text>
    </comment>
    <comment ref="A1607" authorId="0" shapeId="0" xr:uid="{22A24579-E86D-4113-A493-693824BBCD33}">
      <text>
        <r>
          <rPr>
            <sz val="9"/>
            <color indexed="81"/>
            <rFont val="MS P ゴシック"/>
            <family val="3"/>
            <charset val="128"/>
          </rPr>
          <t>Insight iXlW00001C0001607R0585476093S00003212P01320LAocjBAQBF1NjaVRlZ2ljLmRhdGEuTW9sZWN1bGUBbwF/ARJTY2lUZWdpYy5Nb2xlY3VsZQAAAQFkAv5qAQAAAAIAAgERGAAAAPz8APwAAgAAAAAAAPC/AgAAAAAAAATAAoljXdxGA6i/AAAAABgAAAD8/AD8AAIAAAAAAADwvwIAAAAAAAAEwAIc6+I2GsDwvwAAAAAYAAAA/PwA/AACAAAAAAAA8L8Cv58aL90k+r8CHeviNhrA+L8AAAAAGAAAAPz8APwAAgAAAAAAAPC/Avp+arx0k+i/Ahzr4jYawPC/AAAAABgAAAD8/AD8AAIAAAAAAADwvwK/nxov3ST6vwKPU3Qkl//cPwAAAAAYAAAA/PwA/AACAAAAAAAA8L8C+n5qvHST6L8CiWNd3EYDqL8AAAAAHAAAAPz8APwAAgAAAAAAAPC/Ald9rrZif5m/AiigibDh6eM/AAAAABgAAAD8/AD8AAIAAAAAAADwvwLJBz2bVZ/bvwIYJlMFo5L4PwAAAAAcAAAA/PwA/AACAAAAAAAA8L8CqTXNO07R9r8Cnzws1Jrm9j8AAAAAGAAAAPz8APwAAgAAAAAAAPC/AozbaABvge4/AveX3ZOHhdo/AAAAABgAAAD8/AD8AAIAAAAAAADwvwKFfNCzWfX5PwKF61G4HoXyPwAAAAAYAAAA/PwA/AACAAAAAAAA8L8CINJvXwfOBEAC3gIJih9j7j8AAAAAHAAAAPz8APwAAgAAAAAAAPC/AmaIY13cRgdAAse6uI0G8Fa/AAAAABgAAAD8/AD8AAIAAAAAAADwvwIGgZVDi+wBQAJPQBNhw9PnvwAAAAAYAAAA/PwA/AACAAAAAAAA8L8CUdobfGEy9D8CI2x4eqUs4b8AAAAAJAAAAPz8APwAAgAAAAAAAPC/AkoMAiuHFrk/Ah3r4jYawPi/AAAAAAERAAAA/PwA/AACAAAAAAAA8L8CzO7Jw0KtDUACu0kMAiuHdr8AAAAAARIABAFlBAAAAAAAAAAABAgBZQgIAAAAAAAAAAgMAWUEAAAAAAAAAAAMFAFlCAgAAAAAAAAAEAABZQgIAAAAAAAAABAUAWUEAAAAAAAAAAAUGAFlBAAAAAAAAAAAGBwBZQQAAAAAAAAAABwgAWUICAAAAAAAAAAgEAFlBAAAAAAAAAAAGCQBZQQAAAAAAAAAACQoAWUEAAAAAAAAAAAkOAFlBAAAAAAAAAAAKCwBZQQAAAAAAAAAACwwAWUEAAAAAAAAAAAwNAFlBAAAAAAAAAAANDgBZQQAAAAAAAAAAAw8AWUEAAAAAAAAAAAAAAAA</t>
        </r>
      </text>
    </comment>
    <comment ref="A1608" authorId="0" shapeId="0" xr:uid="{4F5D1E05-B4C9-4D74-9606-ACEDBCE0778F}">
      <text>
        <r>
          <rPr>
            <sz val="9"/>
            <color indexed="81"/>
            <rFont val="MS P ゴシック"/>
            <family val="3"/>
            <charset val="128"/>
          </rPr>
          <t>Insight iXlW00001C0001608R0585476093S00003214P01320LAocjBAQBF1NjaVRlZ2ljLmRhdGEuTW9sZWN1bGUBbwF/ARJTY2lUZWdpYy5Nb2xlY3VsZQAAAQFkAv5qAQAAAAIAAgERGAAAAPz8APwAAgAAAAAAAPC/AvhT46WbRAJAAoljXdxGA6i/AAAAABgAAAD8/AD8AAIAAAAAAADwvwL4U+Olm0QCQAIc6+I2GsDwvwAAAAAYAAAA/PwA/AACAAAAAAAA8L8CrkfhehSu9j8CHeviNhrA+L8AAAAAGAAAAPz8APwAAgAAAAAAAPC/AtnO91PjpeE/Ahzr4jYawPC/AAAAABgAAAD8/AD8AAIAAAAAAADwvwKuR+F6FK72PwKPU3Qkl//cPwAAAAAYAAAA/PwA/AACAAAAAAAA8L8C2c73U+Ol4T8CiWNd3EYDqL8AAAAAHAAAAPz8APwAAgAAAAAAAPC/Atnw9EpZhsi/AiigibDh6eM/AAAAABgAAAD8/AD8AAIAAAAAAADwvwIOT6+UZYjLPwIYJlMFo5L4PwAAAAAcAAAA/PwA/AACAAAAAAAA8L8CmN2Th4Va8z8Cnzws1Jrm9j8AAAAAGAAAAPz8APwAAgAAAAAAAPC/AtbFbTSAt/K/AveX3ZOHhdo/AAAAABgAAAD8/AD8AAIAAAAAAADwvwJiMlUwKqn3vwIjbHh6pSzhvwAAAAAYAAAA/PwA/AACAAAAAAAA8L8CDy2yne+nA8ACT0ATYcPT578AAAAAHAAAAPz8APwAAgAAAAAAAPC/Am40gLdAAgnAAvp+arx0k1i/AAAAABgAAAD8/AD8AAIAAAAAAADwvwIofoy5a4kGwALeAgmKH2PuPwAAAAAYAAAA/PwA/AACAAAAAAAA8L8CldQJaCJs/b8ChetRuB6F8j8AAAAAJAAAAPz8APwAAgAAAAAAAPC/AlHaG3xhMglAAh3r4jYawPi/AAAAAAERAAAA/PwA/AACAAAAAAAA8L8CuECC4seYD0ACu0kMAiuHdr8AAAAAARIABAFlBAAAAAAAAAAABAgBZQgIAAAAAAAAAAgMAWUEAAAAAAAAAAAMFAFlCAgAAAAAAAAAEAABZQgIAAAAAAAAABAUAWUEAAAAAAAAAAAUGAFlBAAAAAAAAAAAGBwBZQQAAAAAAAAAABwgAWUICAAAAAAAAAAgEAFlBAAAAAAAAAAAGCQBZQQAAAAAAAAAACQoAWUEAAAAAAAAAAAkOAFlBAAAAAAAAAAAKCwBZQQAAAAAAAAAACwwAWUEAAAAAAAAAAAwNAFlBAAAAAAAAAAANDgBZQQAAAAAAAAAAAQ8AWUEAAAAAAAAAAAAAAAA</t>
        </r>
      </text>
    </comment>
    <comment ref="A1609" authorId="0" shapeId="0" xr:uid="{3DFD01E6-7EBE-4123-8795-0DEAAFC5FD64}">
      <text>
        <r>
          <rPr>
            <sz val="9"/>
            <color indexed="81"/>
            <rFont val="MS P ゴシック"/>
            <family val="3"/>
            <charset val="128"/>
          </rPr>
          <t>Insight iXlW00001C0001609R0585476093S00003216P01320LAocjBAQBF1NjaVRlZ2ljLmRhdGEuTW9sZWN1bGUBbwF/ARJTY2lUZWdpYy5Nb2xlY3VsZQAAAQFkAv5qAQAAAAIAAgERGAAAAPz8APwAAgAAAAAAAPC/AvhT46WbRAJAAuJYF7fRAMa/AAAAABgAAAD8/AD8AAIAAAAAAADwvwL4U+Olm0QCQAId6+I2GsDyvwAAAAAYAAAA/PwA/AACAAAAAAAA8L8CrkfhehSu9j8CHeviNhrA+r8AAAAAGAAAAPz8APwAAgAAAAAAAPC/AtnO91PjpeE/Ah3r4jYawPK/AAAAABgAAAD8/AD8AAIAAAAAAADwvwKuR+F6FK72PwKPU3Qkl//UPwAAAAAYAAAA/PwA/AACAAAAAAAA8L8C2c73U+Ol4T8C4lgXt9EAxr8AAAAAHAAAAPz8APwAAgAAAAAAAPC/Atnw9EpZhsi/Ak9AE2HD098/AAAAABgAAAD8/AD8AAIAAAAAAADwvwIOT6+UZYjLPwIYJlMFo5L2PwAAAAAcAAAA/PwA/AACAAAAAAAA8L8CmN2Th4Va8z8Cnzws1Jrm9D8AAAAAGAAAAPz8APwAAgAAAAAAAPC/AtbFbTSAt/K/AvaX3ZOHhdI/AAAAABgAAAD8/AD8AAIAAAAAAADwvwJiMlUwKqn3vwIjbHh6pSzlvwAAAAAYAAAA/PwA/AACAAAAAAAA8L8CDy2yne+nA8ACT0ATYcPT678AAAAAHAAAAPz8APwAAgAAAAAAAPC/Am40gLdAAgnAAnZxGw3gLcC/AAAAABgAAAD8/AD8AAIAAAAAAADwvwIofoy5a4kGwALeAgmKH2PqPwAAAAAYAAAA/PwA/AACAAAAAAAA8L8CldQJaCJs/b8ChetRuB6F8D8AAAAAJAAAAPz8APwAAgAAAAAAAPC/AlHaG3xhMglAAo9TdCSX/9Q/AAAAAAERAAAA/PwA/AACAAAAAAAA8L8CuECC4seYD0ACTmIQWDm0wL8AAAAAARIABAFlBAAAAAAAAAAABAgBZQgIAAAAAAAAAAgMAWUEAAAAAAAAAAAMFAFlCAgAAAAAAAAAEAABZQgIAAAAAAAAABAUAWUEAAAAAAAAAAAUGAFlBAAAAAAAAAAAGBwBZQQAAAAAAAAAABwgAWUICAAAAAAAAAAgEAFlBAAAAAAAAAAAGCQBZQQAAAAAAAAAACQoAWUEAAAAAAAAAAAkOAFlBAAAAAAAAAAAKCwBZQQAAAAAAAAAACwwAWUEAAAAAAAAAAAwNAFlBAAAAAAAAAAANDgBZQQAAAAAAAAAAAA8AWUEAAAAAAAAAAAAAAAA</t>
        </r>
      </text>
    </comment>
    <comment ref="A1610" authorId="0" shapeId="0" xr:uid="{71280A4A-7547-4AF4-B081-964CE6C97DFF}">
      <text>
        <r>
          <rPr>
            <sz val="9"/>
            <color indexed="81"/>
            <rFont val="MS P ゴシック"/>
            <family val="3"/>
            <charset val="128"/>
          </rPr>
          <t>Insight iXlW00001C0001610R0585476093S00003218P01000LAocjBAQBF1NjaVRlZ2ljLmRhdGEuTW9sZWN1bGUBbwF/ARJTY2lUZWdpYy5Nb2xlY3VsZQAAAQFkAv5qAQAAAAIAAjQYAAAA/PwA/AACAAAAAAAA8L8CAAAAAAAA/L8CKA8LtaZ58r8AAAAAGAAAAPz8APwAAgAAAAAAAPC/AgAAAAAAAALAApm7lpAPetK/AAAAABgAAAD8/AD8AAIAAAAAAADwvwIAAAAAAAD8vwK3Yn/ZPXniPwAAAAAYAAAA/PwA/AACAAAAAAAA8L8CAAAAAAAA6L8Ct2J/2T154j8AAAAAGAAAAPz8APwAAgAAAAAAAPC/AgAAAAAAANC/Apm7lpAPetK/AAAAABgAAAD8/AD8AAIAAAAAAADwvwIAAAAAAADovwIoDwu1pnnyvwAAAAAYAAAA/PwA/AACAAAAAAAA8L8CAAAAAAAA6D8CmbuWkA960r8AAAAAHAAAAPz8APwAAgAAAAAAAPC/AgAAAAAAAPQ/AigPC7WmefK/AAAAABgAAAD8/AD8AAIAAAAAAADwvwIAAAAAAAD0PwKZu5aQD3riPwAAAAAkAAAA/PwA/AACAAAAAAAA8L8C+n5qvHST2D8CzV1LyAc98T8AAAAAJAAAAPz8APwAAgAAAAAAAPC/AgAAAAAAAPw/Ag6+MJkqGPc/AAAAACQAAAD8/AD8AAIAAAAAAADwvwIhsHJoke0AQALH3LWEfNCzPwAAAAABEQAAAPz8APwAAgAAAAAAAPC/AocW2c73UwdAAl1txf6ye8I/AAAAADAABAFlBAAAAAAAAAAABAgBZQgIAAAAAAAAAAgMAWUEAAAAAAAAAAAMEAFlCAgAAAAAAAAAEBQBZQQAAAAAAAAAABQAAWUICAAAAAAAAAAQGAFlBAAAAAAAAAAAGBwBZQQAAAAAAAAAABggAWUEAAAAAAAAAAAgJAFlBAAAAAAAAAAAICgBZQQAAAAAAAAAACAsAWUEAAAAAAAAAAAAAAAA</t>
        </r>
      </text>
    </comment>
    <comment ref="A1611" authorId="0" shapeId="0" xr:uid="{8618B622-99F5-4C1F-A179-E186C2DC12BF}">
      <text>
        <r>
          <rPr>
            <sz val="9"/>
            <color indexed="81"/>
            <rFont val="MS P ゴシック"/>
            <family val="3"/>
            <charset val="128"/>
          </rPr>
          <t>Insight iXlW00001C0001611R0585476093S00003220P01088LAocjBAQBF1NjaVRlZ2ljLmRhdGEuTW9sZWN1bGUBbwF/ARJTY2lUZWdpYy5Nb2xlY3VsZQAAAQFkAv5qAQAAAAIAAjgYAAAA/PwA/AACAAAAAAAA8L8CVg4tsp3v+T8CwqikTkAT7b8AAAAAGAAAAPz8APwAAgAAAAAAAPC/AjhnRGlvcABAAsWPMXctIX+/AAAAABwAAAD8/AD8AAIAAAAAAADwvwJWDi2yne/5PwKD4seYu5bsPwAAAAAYAAAA/PwA/AACAAAAAAAA8L8CW0I+6Nms5D8C0bNZ9bna8T8AAAAAIAAAAPz8APwAAgAAAAAAAPC/Anl6pSxDHNs/ArWmeccpugBAAAAAABgAAAD8/AD8AAIAAAAAAADwvwKL/WX35GHBvwLBOSNKe4PfPwAAAAAYAAAA/PwA/AACAAAAAAAA8L8C8x/Sb18H8L8C4ZwRpb3B7z8AAAAAHAAAAPz8APwAAgAAAAAAAPC/AjWAt0CC4v2/AsE5I0p7g98/AAAAABgAAAD8/AD8AAIAAAAAAADwvwI1gLdAguL9vwIgY+5aQj7gvwAAAAAYAAAA/PwA/AACAAAAAAAA8L8C8x/Sb18H8L8CkDF3LSEf8L8AAAAAIAAAAPz8APwAAgAAAAAAAPC/AvMf0m9fB/C/AsiYu5aQDwDAAAAAABwAAAD8/AD8AAIAAAAAAADwvwKL/WX35GHBvwIgY+5aQj7gvwAAAAAYAAAA/PwA/AACAAAAAAAA8L8CW0I+6Nms5D8C8BZIUPwY8r8AAAAAAREAAAD8/AD8AAIAAAAAAADwvwKfzarP1dYGQAKV9gZfmEylPwAAAAA4ADABZQQAAAAAAAAAAAAEAWUEAAAAAAAAAAAECAFlBAAAAAAAAAAACAwBZQQAAAAAAAAAAAwQAWUIAAAAAAAAAAAMFAFlBAAAAAAAAAAAFCwBZQQAAAAAAAAAABQYAWUEAAAAAAAAAAAYHAFlBAAAAAAAAAAAHCABZQQAAAAAAAAAACAkAWUEAAAAAAAAAAAkKAFlCAAAAAAAAAAAJCwBZQQAAAAAAAAAACwwAWUEAAAAAAAAAAAAAAAA</t>
        </r>
      </text>
    </comment>
    <comment ref="A1612" authorId="0" shapeId="0" xr:uid="{EC6D1B16-C0B4-4DDA-9AA9-548293816585}">
      <text>
        <r>
          <rPr>
            <sz val="9"/>
            <color indexed="81"/>
            <rFont val="MS P ゴシック"/>
            <family val="3"/>
            <charset val="128"/>
          </rPr>
          <t>Insight iXlW00001C0001612R0585476093S00003222P01004LAocjBAQBF1NjaVRlZ2ljLmRhdGEuTW9sZWN1bGUBbwF/ARJTY2lUZWdpYy5Nb2xlY3VsZQAAAQFkAv5qAQAAAAIAAjQYAAAA/PwA/AACAAAAAAAA8L8CMLsnDwu1+z8CTDeJQWDl5L8AAAAAGAAAAPz8APwAAgAAAAAAAPC/AjC7Jw8Ltfs/AmmR7Xw/NdY/AAAAABwAAAD8/AD8AAIAAAAAAADwvwKFDU+vlGXuPwJ1kxgEVg7vPwAAAAAYAAAA/PwA/AACAAAAAAAA8L8C3bWEfNCzmb8CVg4tsp3v5z8AAAAAIAAAAPz8APwAAgAAAAAAAPC/AnDwhclUweS/Apm7lpAPevg/AAAAABgAAAD8/AD8AAIAAAAAAADwvwIDmggbnl7dvwIv3SQGgZXDvwAAAAAYAAAA/PwA/AACAAAAAAAA8L8CDy2yne+n8r8C0NVW7C+74T8AAAAAHAAAAPz8APwAAgAAAAAAAPC/ApwzorQ3+P2/Ai/dJAaBlcO/AAAAABgAAAD8/AD8AAIAAAAAAADwvwIPLbKd76fyvwJoRGlv8IXrvwAAAAAcAAAA/PwA/AACAAAAAAAA8L8C3bWEfNCzmb8Cd76fGi/d8L8AAAAAGAAAAPz8APwAAgAAAAAAAPC/AoUNT6+UZe4/AgaBlUOLbPS/AAAAAAERAAAA/PwA/AACAAAAAAAA8L8C/0P67etABEAC0SLb+X5qvD8AAAAAAREAAAD8/AD8AAIAAAAAAADwvwIbL90kBoEMQAKk374OnDPCPwAAAAAwACgBZQQAAAAAAAAAAAAEAWUEAAAAAAAAAAAECAFlBAAAAAAAAAAACAwBZQQAAAAAAAAAAAwQAWUIAAAAAAAAAAAMFAFlBAAAAAAAAAAAFCABZQQAAAAAAAAAABQYAWUEAAAAAAAAAAAYHAFlBAAAAAAAAAAAHCABZQQAAAAAAAAAABQkAWUEAAAAAAAAAAAkKAFlBAAAAAAAAAAAAAAAAA==</t>
        </r>
      </text>
    </comment>
    <comment ref="A1613" authorId="0" shapeId="0" xr:uid="{642520F9-8B5A-4EFB-A28C-0FF9B9BD8072}">
      <text>
        <r>
          <rPr>
            <sz val="9"/>
            <color indexed="81"/>
            <rFont val="MS P ゴシック"/>
            <family val="3"/>
            <charset val="128"/>
          </rPr>
          <t>Insight iXlW00001C0001613R0585476093S00003224P01072LAocjBAQBF1NjaVRlZ2ljLmRhdGEuTW9sZWN1bGUBbwF/ARJTY2lUZWdpYy5Nb2xlY3VsZQAAAQFkAv5qAQAAAAIAAjgYAAAA/PwA/AACAAAAAAAA8L8CxNMrZRni7D8CEHo2qz5X978AAAAAGAAAAPz8APwAAgAAAAAAAPC/AuVhodY077i/AhB6Nqs+V/e/AAAAABwAAAD8/AD8AAIAAAAAAADwvwL99nXgnBHnvwJEi2zn+6nlvwAAAAAYAAAA/PwA/AACAAAAAAAA8L8CveMUHcnl378C30+Nl24S0z8AAAAAGAAAAPz8APwAAgAAAAAAAPC/Ava52or9Zfe/AtsbfGEyVaA/AAAAABgAAAD8/AD8AAIAAAAAAADwvwIldQKaCBsAwALufD81XrrrPwAAAAAcAAAA/PwA/AACAAAAAAAA8L8CXLG/7J489r8C5fIf0m9f+j8AAAAAGAAAAPz8APwAAgAAAAAAAPC/AqAaL90kBt2/Ah3r4jYawPQ/AAAAABgAAAD8/AD8AAIAAAAAAADwvwKHp1fKMsTZPwJCz2bV52rnPwAAAAAcAAAA/PwA/AACAAAAAAAA8L8CswxxrIvb9D8C30+Nl24S0z8AAAAAGAAAAPz8APwAAgAAAAAAAPC/AkLPZtXnavg/AkSLbOf7qeW/AAAAACAAAAD8/AD8AAIAAAAAAADwvwI2XrpJDAIEQAJFaW/whcnsvwAAAAABEQAAAPz8APwAAgAAAAAAAPC/ApzEILByaApAAvXb14FzRrQ/AAAAAAERAAAA/PwA/AACAAAAAAAA8L8C3NeBc0ZUEUACbXh6pSxDvD8AAAAANAAoAWUEAAAAAAAAAAAABAFlBAAAAAAAAAAABAgBZQQAAAAAAAAAAAwIAWUEAAAAAAAAAAAMHAFlBAAAAAAAAAAADBABZQQAAAAAAAAAABAUAWUEAAAAAAAAAAAUGAFlBAAAAAAAAAAAGBwBZQQAAAAAAAAAAAwgAWUEAAAAAAAAAAAgJAFlBAAAAAAAAAAAJCgBZQQAAAAAAAAAACgsAWUIAAAAAAAAAAAAAAAA</t>
        </r>
      </text>
    </comment>
    <comment ref="A1614" authorId="0" shapeId="0" xr:uid="{774B36E1-4A63-4646-9D8C-4CEA91DA76FB}">
      <text>
        <r>
          <rPr>
            <sz val="9"/>
            <color indexed="81"/>
            <rFont val="MS P ゴシック"/>
            <family val="3"/>
            <charset val="128"/>
          </rPr>
          <t>Insight iXlW00001C0001614R0585476093S00003226P01144LAocjBAQBF1NjaVRlZ2ljLmRhdGEuTW9sZWN1bGUBbwF/ARJTY2lUZWdpYy5Nb2xlY3VsZQAAAQFkAv5qAQAAAAIAAjwYAAAA/PwA/AACAAAAAAAA8L8Cc2iR7Xw/+j8Ci/1l9+Rh9b8AAAAAGAAAAPz8APwAAgAAAAAAAPC/ApX2Bl+YTOU/Avw6cM6I0vG/AAAAABgAAAD8/AD8AAIAAAAAAADwvwKUh4Va07zXPwJseHqlLEPEvwAAAAAYAAAA/PwA/AACAAAAAAAA8L8C7Q2+MJkq0L8C9wZfmEwV7r8AAAAAGAAAAPz8APwAAgAAAAAAAPC/AnyDL0ymCvS/AvcGX5hMFe6/AAAAABwAAAD8/AD8AAIAAAAAAADwvwLcaABvgQT+vwJseHqlLEPEvwAAAAAYAAAA/PwA/AACAAAAAAAA8L8CTaYKRiV1+r8CGZXUCWgi6j8AAAAAIAAAAPz8APwAAgAAAAAAAPC/Al1txf6yewPAAu0vuycPC/c/AAAAABgAAAD8/AD8AAIAAAAAAADwvwL3Bl+YTBXovwI2XrpJDAL0PwAAAAAcAAAA/PwA/AACAAAAAAAA8L8CrfpcbcX+wj8CGZXUCWgi6j8AAAAAGAAAAPz8APwAAgAAAAAAAPC/Aqk1zTtO0fA/AsBbIEHxY+I/AAAAABwAAAD8/AD8AAIAAAAAAADwvwJpke18PzUAQAJ/+zpwzojWPwAAAAAYAAAA/PwA/AACAAAAAAAA8L8CG55eKcuQAkACOwFNhA1P478AAAAAAREAAAD8/AD8AAIAAAAAAADwvwKCBMWPMfcIQAKgibDh6ZWiPwAAAAABEQAAAPz8APwAAgAAAAAAAPC/As/3U+OlmxBAAkjhehSuR7E/AAAAADgAMAFlBAAAAAAAAAAAAAQBZQQAAAAAAAAAAAgEAWUEAAAAAAAAAAAIJAFlBAAAAAAAAAAACAwBZQQAAAAAAAAAAAwQAWUEAAAAAAAAAAAQFAFlBAAAAAAAAAAAFBgBZQQAAAAAAAAAABgcAWUIAAAAAAAAAAAYIAFlBAAAAAAAAAAAICQBZQQAAAAAAAAAAAgoAWUEAAAAAAAAAAAoLAFlBAAAAAAAAAAALDABZQQAAAAAAAAAAAAAAAA=</t>
        </r>
      </text>
    </comment>
    <comment ref="A1615" authorId="0" shapeId="0" xr:uid="{DAAB6B36-FF64-462D-9A9D-866179AC80E7}">
      <text>
        <r>
          <rPr>
            <sz val="9"/>
            <color indexed="81"/>
            <rFont val="MS P ゴシック"/>
            <family val="3"/>
            <charset val="128"/>
          </rPr>
          <t>Insight iXlW00001C0001615R0585476093S00003228P01144LAocjBAQBF1NjaVRlZ2ljLmRhdGEuTW9sZWN1bGUBbwF/ARJTY2lUZWdpYy5Nb2xlY3VsZQAAAQFkAv5qAQAAAAIAAjwYAAAA/PwA/AACAAAAAAAA8L8CrK3YX3ZP+r8Cp3nHKTqS5z8AAAAAGAAAAPz8APwAAgAAAAAAAPC/Alhbsb/snuS/Aqd5xyk6kuc/AAAAABgAAAD8/AD8AAIAAAAAAADwvwJdbcX+snvCvwJyGw3gLZDAvwAAAAAYAAAA/PwA/AACAAAAAAAA8L8CWFuxv+ye5L8CYAfOGVHa778AAAAAHAAAAPz8APwAAgAAAAAAAPC/Aqyt2F92T/q/AmAHzhlR2u+/AAAAABgAAAD8/AD8AAIAAAAAAADwvwLWVuwvuycBwAJyGw3gLZDAvwAAAAAYAAAA/PwA/AACAAAAAAAA8L8C9pfdk4eF0j8Cxv6ye/Kw6D8AAAAAIAAAAPz8APwAAgAAAAAAAPC/Aov9ZffkYdW/AtGzWfW52vg/AAAAABwAAAD8/AD8AAIAAAAAAADwvwKX/5B++zr0PwLlg57Nqs/vPwAAAAAYAAAA/PwA/AACAAAAAAAA8L8CA5oIG55eAEACSHL5D+m31z8AAAAAGAAAAPz8APwAAgAAAAAAAPC/AgOaCBueXgBAAt1GA3gLJOS/AAAAABgAAAD8/AD8AAIAAAAAAADwvwKX/5B++zr0PwLPiNLe4Av0vwAAAAAcAAAA/PwA/AACAAAAAAAA8L8C9pfdk4eF0j8CP8bctYR88L8AAAAAAREAAAD8/AD8AAIAAAAAAADwvwJpAG+BBMUGQAImUwWjkjrBPwAAAAABEQAAAPz8APwAAgAAAAAAAPC/AobrUbgeBQ9AAmKh1jTvOMU/AAAAADgAFAFlBAAAAAAAAAAAAAQBZQQAAAAAAAAAAAgEAWUEAAAAAAAAAAAIMAFlBAAAAAAAAAAACAwBZQQAAAAAAAAAAAwQAWUEAAAAAAAAAAAQFAFlBAAAAAAAAAAACBgBZQQAAAAAAAAAABgcAWUIAAAAAAAAAAAYIAFlBAAAAAAAAAAAICQBZQQAAAAAAAAAACQoAWUEAAAAAAAAAAAoLAFlBAAAAAAAAAAALDABZQQAAAAAAAAAAAAAAAA=</t>
        </r>
      </text>
    </comment>
    <comment ref="A1616" authorId="0" shapeId="0" xr:uid="{85FFCE7E-1F8C-4D93-80C9-623ABF0A6AC3}">
      <text>
        <r>
          <rPr>
            <sz val="9"/>
            <color indexed="81"/>
            <rFont val="MS P ゴシック"/>
            <family val="3"/>
            <charset val="128"/>
          </rPr>
          <t>Insight iXlW00001C0001616R0585476093S00003230P01468LAocjBAQBF1NjaVRlZ2ljLmRhdGEuTW9sZWN1bGUBbwF/ARJTY2lUZWdpYy5Nb2xlY3VsZQAAAQFkAv5qAQAAAAIAAgETIAAAAPz8APwAAgAAAAAAAPC/AvVKWYY41u0/Ald9rrZif/E/AAAAABgAAAD8/AD8AAIAAAAAAADwvwLbiv1l9+T4PwKjI7n8h/TTPwAAAAAcAAAA/PwA/AACAAAAAAAA8L8COpLLf0g/BEAC8BZIUPwY4T8AAAAAGAAAAPz8APwAAgAAAAAAAPC/AnGsi9togApAAoSezarP1ba/AAAAABgAAAD8/AD8AAIAAAAAAADwvwJxrIvbaIAKQALo2az6XG3xvwAAAAAYAAAA/PwA/AACAAAAAAAA8L8COpLLf0g/BEACSb99HThn+78AAAAAHAAAAPz8APwAAgAAAAAAAPC/AtuK/WX35Pg/Arn8h/Tb1/e/AAAAABgAAAD8/AD8AAIAAAAAAADwvwIydy0hH/TxPwLRs1n1udrivwAAAAAYAAAA/PwA/AACAAAAAAAA8L8C8BZIUPwY4T8CGZXUCWgizD8AAAAAHAAAAPz8APwAAgAAAAAAAPC/ApeQD3o2q9q/ApVliGNd3La/AAAAABgAAAD8/AD8AAIAAAAAAADwvwIi/fZ14JzzvwK94xQdyeXfPwAAAAAgAAAA/PwA/AACAAAAAAAA8L8Ck6mCUUkdAcACF0hQ/Bhztz8AAAAAGAAAAPz8APwAAgAAAAAAAPC/AhI2PL1SlgfAAnbgnBGlveU/AAAAABgAAAD8/AD8AAIAAAAAAADwvwK2FfvL7kkMwAILRiV1AprAvwAAAAAYAAAA/PwA/AACAAAAAAAA8L8CV+wvuycPDsAChC9MpgpG9D8AAAAAGAAAAPz8APwAAgAAAAAAAPC/AjWAt0CC4gLAAsfctYR80Pc/AAAAACAAAAD8/AD8AAIAAAAAAADwvwKpE9BE2PDxvwIX2c73U+P3PwAAAAAYAAAA/PwA/AACAAAAAAAA8L8Cl5APejar2r8C6Nms+lxt8b8AAAAAGAAAAPz8APwAAgAAAAAAAPC/AvAWSFD8GOE/AuXyH9JvX/a/AAAAAAEUAAQBZQgAAAAAAAAAAAQIAWUEAAAAAAAAAAAIDAFlBAAAAAAAAAAADBABZQQAAAAAAAAAABAUAWUEAAAAAAAAAAAUGAFlBAAAAAAAAAAAHBgBZQQAAAAAAAAAAAQcAWUEAAAAAAAAAAAcIAFlBAAAAAAAAAAAICQBZQQAAAAAAAAAACQoAWUEAAAAAAAAAAAoLAFlBAAAAAAAAAAALDABZQQAAAAAAAAAADA0AWUEAAAAAAAAAAAwOAFlBAAAAAAAAAAAMDwBZQQAAAAAAAAAACgBEAFlCAAAAAAAAAAAJAERAWUEAAAAAAAAAAABEQESAWUEAAAAAAAAAAAcARIBZQQAAAAAAAAAAAAAAAA=</t>
        </r>
      </text>
    </comment>
    <comment ref="A1617" authorId="0" shapeId="0" xr:uid="{EE3DEBFF-314B-43DD-BE83-5C81C6FB2D54}">
      <text>
        <r>
          <rPr>
            <sz val="9"/>
            <color indexed="81"/>
            <rFont val="MS P ゴシック"/>
            <family val="3"/>
            <charset val="128"/>
          </rPr>
          <t>Insight iXlW00001C0001617R0585476093S00003232P01072LAocjBAQBF1NjaVRlZ2ljLmRhdGEuTW9sZWN1bGUBbwF/ARJTY2lUZWdpYy5Nb2xlY3VsZQAAAQFkAv5qAQAAAAIAAjgYAAAA/PwA/AACAAAAAAAA8L8CWRe30QDe/T8C3GgAb4EEtT8AAAAAGAAAAPz8APwAAgAAAAAAAPC/AlkXt9EA3vU/Amiz6nO1Fem/AAAAABwAAAD8/AD8AAIAAAAAAADwvwJkXdxGA3jXPwJKDAIrhxbpvwAAAAAYAAAA/PwA/AACAAAAAAAA8L8COUVHcvkPwb8C3GgAb4EEtT8AAAAAGAAAAPz8APwAAgAAAAAAAPC/AmRd3EYDeNc/Ap/Nqs/VVu4/AAAAABgAAAD8/AD8AAIAAAAAAADwvwJZF7fRAN71PwKfzarP1VbuPwAAAAAkAAAA/PwA/AACAAAAAAAA8L8CrYvbaADvBkAC3GgAb4EEtT8AAAAAGAAAAPz8APwAAgAAAAAAAPC/AqfoSC7/IfK/AtxoAG+BBLU/AAAAABgAAAD8/AD8AAIAAAAAAADwvwJGR3L5D+n0vwL99nXgnBHxPwAAAAAYAAAA/PwA/AACAAAAAAAA8L8CL90kBoGVAMACTvOOU3Qk2z8AAAAAGAAAAPz8APwAAgAAAAAAAPC/AkZHcvkP6fS/AqYsQxzr4uy/AAAAABwAAAD8/AD8AAIAAAAAAADwvwJ+jLlrCfkBwAIK+aBns+rzvwAAAAABEQAAAPz8APwAAgAAAAAAAPC/AhPyQc9mVQ1AAp5eKcsQx7q/AAAAAAERAAAA/PwA/AACAAAAAAAA8L8CmG4Sg8DKEkACJ8KGp1fKsr8AAAAANAAEAWUICAAAAAAAAAAECAFlBAAAAAAAAAAACAwBZQgIAAAAAAAAAAwQAWUEAAAAAAAAAAAQFAFlCAgAAAAAAAAAFAABZQQAAAAAAAAAAAAYAWUEAAAAAAAAAAAMHAFlBAAAAAAAAAAAHCABZQQAAAAAAAAAACAkAWUEAAAAAAAAAAAkHAFlBAAAAAAAAAAAHCgBZQQAAAAAAAAAACgsAWUEAAAAAAAAAAAAAAAA</t>
        </r>
      </text>
    </comment>
    <comment ref="A1618" authorId="0" shapeId="0" xr:uid="{40FF7B4C-A3BB-4A21-B297-73229D126F36}">
      <text>
        <r>
          <rPr>
            <sz val="9"/>
            <color indexed="81"/>
            <rFont val="MS P ゴシック"/>
            <family val="3"/>
            <charset val="128"/>
          </rPr>
          <t>Insight iXlW00001C0001618R0585476093S00003234P01052LAocjBAQBF1NjaVRlZ2ljLmRhdGEuTW9sZWN1bGUBbwF/ARJTY2lUZWdpYy5Nb2xlY3VsZQAAAQFkAv5qAQAAAAIAAjgYAAAA/PwA/AACAAAAAAAA8L8CAAAAAAAA4L8CH4XrUbge8r8AAAAAGAAAAPz8APwAAgAAAAAAAPC/AgAAAAAAAPi/Ah+F61G4HvK/AAAAABgAAAD8/AD8AAIAAAAAAADwvwIAAAAAAAAAwAJ1kxgEVg7RvwAAAAAYAAAA/PwA/AACAAAAAAAA8L8CAAAAAAAA+L8CyXa+nxov4z8AAAAAGAAAAPz8APwAAgAAAAAAAPC/AgAAAAAAAOC/AqvP1VbsL+M/AAAAABgAAAD8/AD8AAIAAAAAAADwvwACdZMYBFYO0b8AAAAAGAAAAPz8APwAAgAAAAAAAPC/AQJ1kxgEVg7RvwAAAAAYAAAA/PwA/AACAAAAAAAA8L8CAAAAAAAA+D8Cq8/VVuwv4z8AAAAAJAAAAPz8APwAAgAAAAAAAPC/An0/NV66SeQ/Atbnaiv2l/E/AAAAACQAAAD8/AD8AAIAAAAAAADwvwIAAAAAAAAAQAIXSFD8GHP3PwAAAAAkAAAA/PwA/AACAAAAAAAA8L8CIbByaJHtAkACV32utmJ/uT8AAAAAJAAAAPz8APwAAgAAAAAAAPC/AgAAAAAAAAjAAnWTGARWDtG/AAAAABwAAAD8/AD8AAIAAAAAAADwvwIAAAAAAAD4PwIfhetRuB7yvwAAAAABEQAAAPz8APwAAgAAAAAAAPC/AogW2c73UwlAAh1aZDvfT8U/AAAAADQABAFlBAAAAAAAAAAAABQBZQgIAAAAAAAAAAQIAWUICAAAAAAAAAAIDAFlBAAAAAAAAAAADBABZQgIAAAAAAAAABAUAWUEAAAAAAAAAAAUGAFlBAAAAAAAAAAAGBwBZQQAAAAAAAAAABwgAWUEAAAAAAAAAAAcJAFlBAAAAAAAAAAAHCgBZQQAAAAAAAAAAAgsAWUEAAAAAAAAAAAYMAFlBAAAAAAAAAAAAAAAAA==</t>
        </r>
      </text>
    </comment>
    <comment ref="A1619" authorId="0" shapeId="0" xr:uid="{BBC9A23A-BEBC-40F5-8FA3-62FC3B7D4BB0}">
      <text>
        <r>
          <rPr>
            <sz val="9"/>
            <color indexed="81"/>
            <rFont val="MS P ゴシック"/>
            <family val="3"/>
            <charset val="128"/>
          </rPr>
          <t>Insight iXlW00001C0001619R0585476093S00003236P01032LAocjBAQBF1NjaVRlZ2ljLmRhdGEuTW9sZWN1bGUBbwF/ARJTY2lUZWdpYy5Nb2xlY3VsZQAAAQFkAv5qAQAAAAIAAjgcAAAA/PwA/AACAAAAAAAA8L8Cq8/VVuwv4z8CAAAAAAAA+D8AAAAAGAAAAPz8APwAAgAAAAAAAPC/AqvP1VbsL+M/AgAAAAAAAOA/AAAAABgAAAD8/AD8AAIAAAAAAADwvwJ1kxgEVg7RvwAAAAAAGAAAAPz8APwAAgAAAAAAAPC/Ah+F61G4HvK/AgAAAAAAAOA/AAAAABgAAAD8/AD8AAIAAAAAAADwvwJh5dAi2/n/vwAAAAAAGAAAAPz8APwAAgAAAAAAAPC/AmHl0CLb+f+/AgAAAAAAAPC/AAAAABgAAAD8/AD8AAIAAAAAAADwvwIfhetRuB7yvwIAAAAAAAD4vwAAAAAYAAAA/PwA/AACAAAAAAAA8L8CdZMYBFYO0b8CAAAAAAAA8L8AAAAAGAAAAPz8APwAAgAAAAAAAPC/AhdIUPwYc/c/AAAAAAAkAAAA/PwA/AACAAAAAAAA8L8CF0hQ/Bhz/z8Cg8DKoUW26z8AAAAAJAAAAPz8APwAAgAAAAAAAPC/AizUmuYdpwJAAgAAAAAAAOC/AAAAACQAAAD8/AD8AAIAAAAAAADwvwIukKD4MebuPwKDwMqhRbbrvwAAAAABEQAAAPz8APwAAgAAAAAAAPC/Ah+F61G4HvK/AgAAAAAAAPg/AAAAAAERAAAA/PwA/AACAAAAAAAA8L8CkzoBTYQNCUAAAAAAADQEAAFlBAAAAAAAAAAABAgBZQQAAAAAAAAAAAgMAWUIDAAAAAAAAAAMEAFlBAAAAAAAAAAAEBQBZQgIAAAAAAAAABQYAWUEAAAAAAAAAAAYHAFlCAgAAAAAAAAAHAgBZQQAAAAAAAAAAAQgAWUEAAAAAAAAAAAgJAFlBAAAAAAAAAAAICgBZQQAAAAAAAAAACAsAWUEAAAAAAAAAAAMMAFlBAAAAAAAAAAAAAAAAA==</t>
        </r>
      </text>
    </comment>
    <comment ref="A1620" authorId="0" shapeId="0" xr:uid="{50AE96FE-8172-4AB8-B87F-AAB967080B6F}">
      <text>
        <r>
          <rPr>
            <sz val="9"/>
            <color indexed="81"/>
            <rFont val="MS P ゴシック"/>
            <family val="3"/>
            <charset val="128"/>
          </rPr>
          <t>Insight iXlW00001C0001620R0585476093S00003238P01072LAocjBAQBF1NjaVRlZ2ljLmRhdGEuTW9sZWN1bGUBbwF/ARJTY2lUZWdpYy5Nb2xlY3VsZQAAAQFkAv5qAQAAAAIAAjgBEQAAAPz8APwAAgAAAAAAAPC/AraEfNCz2QXAAi//If32deK/AAAAABgAAAD8/AD8AAIAAAAAAADwvwJNhA1Pr5T5PwJz+Q/pt6+zvwAAAAAYAAAA/PwA/AACAAAAAAAA8L8CF0hQ/Bhz5z8CL/8h/fZ14r8AAAAAGAAAAPz8APwAAgAAAAAAAPC/AjlFR3L5D8G/AnP5D+m3r7O/AAAAABgAAAD8/AD8AAIAAAAAAADwvwLSkVz+Q/rvvwIv/yH99nXivwAAAAAYAAAA/PwA/AACAAAAAAAA8L8CK6kT0ETY/b8Cc/kP6bevs78AAAAAGAAAAPz8APwAAgAAAAAAAPC/AiupE9BE2P2/AtIA3gIJiu0/AAAAABgAAAD8/AD8AAIAAAAAAADwvwLSkVz+Q/rvvwJpAG+BBMX2PwAAAAAYAAAA/PwA/AACAAAAAAAA8L8COUVHcvkPwb8C0gDeAgmK7T8AAAAAHAAAAPz8APwAAgAAAAAAAPC/AhdIUPwYc+c/Apf/kH77Ovm/AAAAACQAAAD8/AD8AAIAAAAAAADwvwJNhA1Pr5TxPwJVwaikTkDpPwAAAAAkAAAA/PwA/AACAAAAAAAA8L8CSHL5D+m3A0ACpAG8BRIU2z8AAAAAJAAAAPz8APwAAgAAAAAAAPC/AifChqdXygBAArK/7J48LO6/AAAAAAERAAAA/PwA/AACAAAAAAAA8L8Crthfdk8eCkACc/kP6bevs78AAAAANBQAAWUEAAAAAAAAAAAIBAFlBAAAAAAAAAAADAgBZQQAAAAAAAAAABAMAWUIDAAAAAAAAAAgDAFlBAAAAAAAAAAAFBABZQQAAAAAAAAAABgUAWUIDAAAAAAAAAAcGAFlBAAAAAAAAAAAIBwBZQgIAAAAAAAAAAgkAWUEAAAAAAAAAAAoBAFlBAAAAAAAAAAABCwBZQQAAAAAAAAAAAQwAWUEAAAAAAAAAAAAAAAA</t>
        </r>
      </text>
    </comment>
    <comment ref="A1621" authorId="0" shapeId="0" xr:uid="{0AE341FE-8ED7-4718-9C2E-9CD6F2750044}">
      <text>
        <r>
          <rPr>
            <sz val="9"/>
            <color indexed="81"/>
            <rFont val="MS P ゴシック"/>
            <family val="3"/>
            <charset val="128"/>
          </rPr>
          <t>Insight iXlW00001C0001621R0585476093S00003240P01052LAocjBAQBF1NjaVRlZ2ljLmRhdGEuTW9sZWN1bGUBbwF/ARJTY2lUZWdpYy5Nb2xlY3VsZQAAAQFkAv5qAQAAAAIAAjgcAAAA/PwA/AACAAAAAAAA8L8CAAAAAAAA+D8CH4XrUbge8r8AAAAAGAAAAPz8APwAAgAAAAAAAPC/AQJ1kxgEVg7RvwAAAAAYAAAA/PwA/AACAAAAAAAA8L8AAnWTGARWDtG/AAAAABgAAAD8/AD8AAIAAAAAAADwvwIAAAAAAADgvwIfhetRuB7yvwAAAAAYAAAA/PwA/AACAAAAAAAA8L8CAAAAAAAA+L8CH4XrUbge8r8AAAAAGAAAAPz8APwAAgAAAAAAAPC/AgAAAAAAAADAAnWTGARWDtG/AAAAABgAAAD8/AD8AAIAAAAAAADwvwIAAAAAAAD4vwLJdr6fGi/jPwAAAAAYAAAA/PwA/AACAAAAAAAA8L8CAAAAAAAA4L8Cq8/VVuwv4z8AAAAAGAAAAPz8APwAAgAAAAAAAPC/AgAAAAAAAPg/AqvP1VbsL+M/AAAAACQAAAD8/AD8AAIAAAAAAADwvwJ9PzVeuknkPwLW52or9pfxPwAAAAAkAAAA/PwA/AACAAAAAAAA8L8CAAAAAAAAAEACF0hQ/Bhz9z8AAAAAJAAAAPz8APwAAgAAAAAAAPC/AiGwcmiR7QJAAld9rrZif7k/AAAAAAERAAAA/PwA/AACAAAAAAAA8L8CAAAAAAAACMACdZMYBFYO0b8AAAAAAREAAAD8/AD8AAIAAAAAAADwvwKIFtnO91MJQAIdWmQ730/FPwAAAAA0BAABZQQAAAAAAAAAAAQIAWUEAAAAAAAAAAAIDAFlCAwAAAAAAAAADBABZQQAAAAAAAAAABAUAWUICAAAAAAAAAAUGAFlBAAAAAAAAAAAGBwBZQgIAAAAAAAAABwIAWUEAAAAAAAAAAAEIAFlBAAAAAAAAAAAICQBZQQAAAAAAAAAACAoAWUEAAAAAAAAAAAgLAFlBAAAAAAAAAAAFDABZQQAAAAAAAAAAAAAAAA=</t>
        </r>
      </text>
    </comment>
    <comment ref="A1622" authorId="0" shapeId="0" xr:uid="{CF4F340E-C096-4F08-AEA5-C7EE6B1F4022}">
      <text>
        <r>
          <rPr>
            <sz val="9"/>
            <color indexed="81"/>
            <rFont val="MS P ゴシック"/>
            <family val="3"/>
            <charset val="128"/>
          </rPr>
          <t>Insight iXlW00001C0001622R0585476093S00003242P01252LAocjBAQBF1NjaVRlZ2ljLmRhdGEuTW9sZWN1bGUBbwF/ARJTY2lUZWdpYy5Nb2xlY3VsZQAAAQFkAv5qAQAAAAIAAgEQGAAAAPz8APwAAgAAAAAAAPC/An/7OnDOiOi/Apm7lpAPetI/AAAAABgAAAD8/AD8AAIAAAAAAADwvwL99nXgnBHRvwIoDwu1pnnyPwAAAAAgAAAA/PwA/AACAAAAAAAA8L8CggTFjzF35z8CKA8LtaZ58j8AAAAAGAAAAPz8APwAAgAAAAAAAPC/AjlFR3L5D9G/Ardif9k9eeK/AAAAABgAAAD8/AD8AAIAAAAAAADwvwJP0ZFc/kP0vwKZu5aQD3rivwAAAAAYAAAA/PwA/AACAAAAAAAA8L8Cp+hILv8hAsACmbuWkA964r8AAAAAHAAAAPz8APwAAgAAAAAAAPC/AuC+DpwzIgbAAtUJaCJseNI/AAAAABgAAAD8/AD8AAIAAAAAAADwvwLgvg6cMyICwAK3Yn/ZPXnyPwAAAAAYAAAA/PwA/AACAAAAAAAA8L8CwH0dOGdE9L8Ct2J/2T158j8AAAAAGAAAAPz8APwAAgAAAAAAAPC/AmRd3EYDeOc/Ardif9k9eeK/AAAAABgAAAD8/AD8AAIAAAAAAADwvwJBguLHmLvzPwKZu5aQD3rSPwAAAAAYAAAA/PwA/AACAAAAAAAA8L8CIUHxY8zdAUACmbuWkA960j8AAAAAGAAAAPz8APwAAgAAAAAAAPC/AiFB8WPM3QVAArdif9k9eeK/AAAAABgAAAD8/AD8AAIAAAAAAADwvwIhQfFjzN0BQAKdEaW9wRf3vwAAAAAYAAAA/PwA/AACAAAAAAAA8L8Csi5uowG88z8CnRGlvcEX978AAAAAAREAAAD8/AD8AAIAAAAAAADwvwKHp1fKMkQMQALVCWgibHjCvwAAAAABEQAEAWUEAAAAAAAAAAAADAFlBAAAAAAAAAAABAgBZQQAAAAAAAAAAAgoAWUEAAAAAAAAAAAkDAFlBAAAAAAAAAAAABABZQQAAAAAAAAAAAAgAWUEAAAAAAAAAAAQFAFlBAAAAAAAAAAAFBgBZQQAAAAAAAAAABgcAWUEAAAAAAAAAAAcIAFlBAAAAAAAAAAAJCgBZQgIAAAAAAAAACgsAWUEAAAAAAAAAAAsMAFlCAgAAAAAAAAAMDQBZQQAAAAAAAAAADQ4AWUICAAAAAAAAAA4JAFlBAAAAAAAAAAAAAAAAA==</t>
        </r>
      </text>
    </comment>
    <comment ref="A1623" authorId="0" shapeId="0" xr:uid="{8A0EA4EF-CB27-4C7F-8D06-F5939862BF1D}">
      <text>
        <r>
          <rPr>
            <sz val="9"/>
            <color indexed="81"/>
            <rFont val="MS P ゴシック"/>
            <family val="3"/>
            <charset val="128"/>
          </rPr>
          <t>Insight iXlW00001C0001623R0585476093S00003244P01320LAocjBAQBF1NjaVRlZ2ljLmRhdGEuTW9sZWN1bGUBbwF/ARJTY2lUZWdpYy5Nb2xlY3VsZQAAAQFkAv5qAQAAAAIAAgERGAAAAPz8APwAAgAAAAAAAPC/AgAAAAAAAO6/AoPAyqFFtss/AAAAABgAAAD8/AD8AAIAAAAAAADwvwIAAAAAAADcvwJSuB6F61HxPwAAAAAgAAAA/PwA/AACAAAAAAAA8L8CAAAAAAAA4j8CUrgehetR8T8AAAAAGAAAAPz8APwAAgAAAAAAAPC/AgAAAAAAANy/AmMQWDm0yOS/AAAAABgAAAD8/AD8AAIAAAAAAADwvwIAAAAAAAD3vwJjEFg5tMjkvwAAAAAYAAAA/PwA/AACAAAAAAAA8L8CAAAAAACAA8ACYxBYObTI5L8AAAAAHAAAAPz8APwAAgAAAAAAAPC/AgAAAAAAgAfAAvtcbcX+sss/AAAAABgAAAD8/AD8AAIAAAAAAADwvwIAAAAAAIADwAJSuB6F61HxPwAAAAAYAAAA/PwA/AACAAAAAAAA8L8CAAAAAAAA978CUrgehetR8T8AAAAAGAAAAPz8APwAAgAAAAAAAPC/AgAAAAAAAOI/AmMQWDm0yOS/AAAAABgAAAD8/AD8AAIAAAAAAADwvwIAAAAAAADxPwKDwMqhRbbLPwAAAAAYAAAA/PwA/AACAAAAAAAA8L8CAAAAAACAAEACg8DKoUW2yz8AAAAAGAAAAPz8APwAAgAAAAAAAPC/AgAAAAAAgARAAmMQWDm0yOS/AAAAABgAAAD8/AD8AAIAAAAAAADwvwIAAAAAAIAAQAJzaJHtfD/4vwAAAAAYAAAA/PwA/AACAAAAAAAA8L8CAAAAAAAA8T8Cc2iR7Xw/+L8AAAAAJAAAAPz8APwAAgAAAAAAAPC/AgAAAAAAgARAAsNkqmBUUvE/AAAAAAERAAAA/PwA/AACAAAAAAAA8L8CZ2ZmZmbmCkACg8DKoUW2y78AAAAAARIABAFlBAAAAAAAAAAAAAwBZQQAAAAAAAAAAAQIAWUEAAAAAAAAAAAIKAFlBAAAAAAAAAAAJAwBZQQAAAAAAAAAAAAQAWUEAAAAAAAAAAAAIAFlBAAAAAAAAAAAEBQBZQQAAAAAAAAAABQYAWUEAAAAAAAAAAAYHAFlBAAAAAAAAAAAHCABZQQAAAAAAAAAACQoAWUICAAAAAAAAAAoLAFlBAAAAAAAAAAALDABZQgIAAAAAAAAADA0AWUEAAAAAAAAAAA0OAFlCAgAAAAAAAAAOCQBZQQAAAAAAAAAACw8AWUEAAAAAAAAAAAAAAAA</t>
        </r>
      </text>
    </comment>
    <comment ref="A1624" authorId="0" shapeId="0" xr:uid="{C1FF9EC0-45F5-435D-B526-5EE9F5DE9071}">
      <text>
        <r>
          <rPr>
            <sz val="9"/>
            <color indexed="81"/>
            <rFont val="MS P ゴシック"/>
            <family val="3"/>
            <charset val="128"/>
          </rPr>
          <t>Insight iXlW00001C0001624R0585476093S00003246P01300LAocjBAQBF1NjaVRlZ2ljLmRhdGEuTW9sZWN1bGUBbwF/ARJTY2lUZWdpYy5Nb2xlY3VsZQAAAQFkAv5qAQAAAAIAAgERGAAAAPz8APwAAgAAAAAAAPC/AgAAAAAAAPC/AkVpb/CFydS/AAAAABgAAAD8/AD8AAIAAAAAAADwvwIAAAAAAADgvwKTOgFNhA3zvwAAAAAgAAAA/PwA/AACAAAAAAAA8L8CAAAAAAAA4D8CkzoBTYQN878AAAAAGAAAAPz8APwAAgAAAAAAAPC/AgAAAAAAAOC/AuELk6mCUeE/AAAAABgAAAD8/AD8AAIAAAAAAADwvwIAAAAAAAD4vwKTOgFNhA3zvwAAAAAYAAAA/PwA/AACAAAAAAAA8L8CAAAAAAAABMACkzoBTYQN878AAAAAHAAAAPz8APwAAgAAAAAAAPC/AgAAAAAAAAjAAkVpb/CFydS/AAAAABgAAAD8/AD8AAIAAAAAAADwvwIAAAAAAAAEwALhC5OpglHhPwAAAAAYAAAA/PwA/AACAAAAAAAA8L8CAAAAAAAA+L8C4QuTqYJR4T8AAAAAGAAAAPz8APwAAgAAAAAAAPC/AgAAAAAAAOA/AsNkqmBUUuE/AAAAABgAAAD8/AD8AAIAAAAAAADwvwECgLdAguLH1L8AAAAAGAAAAPz8APwAAgAAAAAAAPC/AgAAAAAAAABAAoC3QILix9S/AAAAABgAAAD8/AD8AAIAAAAAAADwvwIAAAAAAAAEQALDZKpgVFLhPwAAAAAYAAAA/PwA/AACAAAAAAAA8L8CAAAAAAAAAEACo5I6AU2E9j8AAAAAGAAAAPz8APwAAgAAAAAAAPC/AQKjkjoBTYT2PwAAAAAkAAAA/PwA/AACAAAAAAAA8L8CAAAAAAAADEACw2SqYFRS4T8AAAAAAREAAAD8/AD8AAIAAAAAAADwvwIzMzMzMzMRQAL7XG3F/rK7PwAAAAABEgAEAWUEAAAAAAAAAAAADAFlBAAAAAAAAAAABAgBZQQAAAAAAAAAAAgoAWUEAAAAAAAAAAAkDAFlBAAAAAAAAAAAABABZQQAAAAAAAAAAAAgAWUEAAAAAAAAAAAQFAFlBAAAAAAAAAAAFBgBZQQAAAAAAAAAABgcAWUEAAAAAAAAAAAcIAFlBAAAAAAAAAAAJCgBZQgIAAAAAAAAACgsAWUEAAAAAAAAAAAsMAFlCAgAAAAAAAAAMDQBZQQAAAAAAAAAADQ4AWUICAAAAAAAAAA4JAFlBAAAAAAAAAAAMDwBZQQAAAAAAAAAAAAAAAA=</t>
        </r>
      </text>
    </comment>
    <comment ref="A1625" authorId="0" shapeId="0" xr:uid="{67F4142E-0353-43F6-89A3-AF82AB3BFD3F}">
      <text>
        <r>
          <rPr>
            <sz val="9"/>
            <color indexed="81"/>
            <rFont val="MS P ゴシック"/>
            <family val="3"/>
            <charset val="128"/>
          </rPr>
          <t>Insight iXlW00001C0001625R0585476093S00003248P01320LAocjBAQBF1NjaVRlZ2ljLmRhdGEuTW9sZWN1bGUBbwF/ARJTY2lUZWdpYy5Nb2xlY3VsZQAAAQFkAv5qAQAAAAIAAgERGAAAAPz8APwAAgAAAAAAAPC/AmpN845TdPC/AoljXdxGA7i/AAAAABgAAAD8/AD8AAIAAAAAAADwvwJqTfOOU3TwvwKPU3Qkl//sPwAAAAAgAAAA/PwA/AACAAAAAAAA8L8CRWlv8IXJxL8CyCk6kst/9j8AAAAAGAAAAPz8APwAAgAAAAAAAPC/AkVpb/CFycS/Ao9TdCSX/+K/AAAAABgAAAD8/AD8AAIAAAAAAADwvwJqTfOOU3TwvwLIKTqSy3/xvwAAAAAYAAAA/PwA/AACAAAAAAAA8L8CrK3YX3ZP/r8CyCk6kst/+b8AAAAAHAAAAPz8APwAAgAAAAAAAPC/AvcGX5hMFQbAAjnWxW00gPG/AAAAABgAAAD8/AD8AAIAAAAAAADwvwL3Bl+YTBUGwAKJY13cRgO4vwAAAAAYAAAA/PwA/AACAAAAAAAA8L8CrK3YX3ZP/r8CHqfoSC7/2T8AAAAAGAAAAPz8APwAAgAAAAAAAPC/AjLmriXkg+Y/AnicoiO5/Le/AAAAABgAAAD8/AD8AAIAAAAAAADwvwIUP8bctYTmPwKPU3Qkl//sPwAAAAAYAAAA/PwA/AACAAAAAAAA8L8CzH9Iv30d+T8CyCk6kst/9j8AAAAAGAAAAPz8APwAAgAAAAAAAPC/AgfwFkhQfANAAnGsi9toAO0/AAAAABgAAAD8/AD8AAIAAAAAAADwvwIH8BZIUHwDQAJ4nKIjufy3vwAAAAAYAAAA/PwA/AACAAAAAAAA8L8CzH9Iv30d+T8Cj1N0JJf/4r8AAAAAJAAAAPz8APwAAgAAAAAAAPC/AiigibDhaQpAAo9TdCSX/+K/AAAAAAERAAAA/PwA/AACAAAAAAAA8L8CRwN4CyRoEEACiWNd3EYDuL8AAAAAARIABAFlBAAAAAAAAAAAAAwBZQQAAAAAAAAAAAQIAWUEAAAAAAAAAAAIKAFlBAAAAAAAAAAAJAwBZQQAAAAAAAAAAAAQAWUEAAAAAAAAAAAAIAFlBAAAAAAAAAAAEBQBZQQAAAAAAAAAABQYAWUEAAAAAAAAAAAYHAFlBAAAAAAAAAAAHCABZQQAAAAAAAAAACQoAWUICAAAAAAAAAAoLAFlBAAAAAAAAAAALDABZQgIAAAAAAAAADA0AWUEAAAAAAAAAAA0OAFlCAgAAAAAAAAAOCQBZQQAAAAAAAAAADQ8AWUEAAAAAAAAAAAAAAAA</t>
        </r>
      </text>
    </comment>
    <comment ref="A1626" authorId="0" shapeId="0" xr:uid="{C330D261-E588-4821-9E7F-FD6E2B7FDB7C}">
      <text>
        <r>
          <rPr>
            <sz val="9"/>
            <color indexed="81"/>
            <rFont val="MS P ゴシック"/>
            <family val="3"/>
            <charset val="128"/>
          </rPr>
          <t>Insight iXlW00001C0001626R0585476093S00003250P01144LAocjBAQBF1NjaVRlZ2ljLmRhdGEuTW9sZWN1bGUBbwF/ARJTY2lUZWdpYy5Nb2xlY3VsZQAAAQFkAv5qAQAAAAIAAjwYAAAA/PwA/AACAAAAAAAA8L8CysNCrWleAMAC3+ALk6mC1T8AAAAAGAAAAPz8APwAAgAAAAAAAPC/AgaBlUOLbPW/Asb+snvysPA/AAAAABgAAAD8/AD8AAIAAAAAAADwvwIZBFYOLbLVvwLG/rJ78rDwPwAAAAAgAAAA/PwA/AACAAAAAAAA8L8CVp+rrdhfpj8CRrbz/dR4/z8AAAAAHAAAAPz8APwAAgAAAAAAAPC/Ah8Wak3zjtc/At/gC5OpgtU/AAAAABgAAAD8/AD8AAIAAAAAAADwvwLJ5T+k377zPwJw8IXJVMHqPwAAAAAYAAAA/PwA/AACAAAAAAAA8L8CBqOSOgHNAEAC3+ALk6mC1T8AAAAAHAAAAPz8APwAAgAAAAAAAPC/AgajkjoBzQBAApEPejarPuW/AAAAABgAAAD8/AD8AAIAAAAAAADwvwLJ5T+k377zPwLJBz2bVZ/yvwAAAAAYAAAA/PwA/AACAAAAAAAA8L8CHxZqTfOO1z8CkQ96Nqs+5b8AAAAAGAAAAPz8APwAAgAAAAAAAPC/AhkEVg4tstW/AlYOLbKd7/W/AAAAABwAAAD8/AD8AAIAAAAAAADwvwIGgZVDi2z1vwJWDi2yne/1vwAAAAAYAAAA/PwA/AACAAAAAAAA8L8CysNCrWleAMACkQ96Nqs+5b8AAAAAAREAAAD8/AD8AAIAAAAAAADwvwJsCfmgZzMHQAJR/Bhz1xLSPwAAAAABEQAAAPz8APwAAgAAAAAAAPC/Aoj029eBcw9AAm6jAbwFEtQ/AAAAADgAMAFlBAAAAAAAAAAAAAQBZQQAAAAAAAAAAAQIAWUEAAAAAAAAAAAIDAFlCAAAAAAAAAAACBABZQQAAAAAAAAAABAkAWUEAAAAAAAAAAAQFAFlBAAAAAAAAAAAFBgBZQQAAAAAAAAAABgcAWUEAAAAAAAAAAAcIAFlBAAAAAAAAAAAICQBZQQAAAAAAAAAACQoAWUEAAAAAAAAAAAoLAFlBAAAAAAAAAAALDABZQQAAAAAAAAAAAAAAAA=</t>
        </r>
      </text>
    </comment>
    <comment ref="A1627" authorId="0" shapeId="0" xr:uid="{6D9CEF9A-1649-4ECF-8FF7-4D895EAD421C}">
      <text>
        <r>
          <rPr>
            <sz val="9"/>
            <color indexed="81"/>
            <rFont val="MS P ゴシック"/>
            <family val="3"/>
            <charset val="128"/>
          </rPr>
          <t>Insight iXlW00001C0001627R0585476093S00003252P00932LAocjBAQBF1NjaVRlZ2ljLmRhdGEuTW9sZWN1bGUBbwF/ARJTY2lUZWdpYy5Nb2xlY3VsZQAAAQFkAv5qAQAAAAIAAjAYAAAA/PwA/AACAAAAAAAA8L8C7nw/NV66+L8CZapgVFIn5D8AAAAAGAAAAPz8APwAAgAAAAAAAPC/Ane+nxovXQDAAnpYqDXNO86/AAAAABgAAAD8/AD8AAIAAAAAAADwvwLufD81Xrr4vwJRa5p3nKLxvwAAAAAYAAAA/PwA/AACAAAAAAAA8L8C2/l+arx04b8CUWuad5yi8b8AAAAAGAAAAPz8APwAAgAAAAAAAPC/ArKd76fGS6e/AnpYqDXNO86/AAAAABgAAAD8/AD8AAIAAAAAAADwvwLb+X5qvHThvwJlqmBUUifkPwAAAAAYAAAA/PwA/AACAAAAAAAA8L8CJQaBlUOL7j8CelioNc07zr8AAAAAGAAAAPz8APwAAgAAAAAAAPC/AhODwMqhRfc/AmWqYFRSJ+Q/AAAAABwAAAD8/AD8AAIAAAAAAADwvwKJQWDl0KIDQAJlqmBUUifkPwAAAAAkAAAA/PwA/AACAAAAAAAA8L8Csp3vp8ZLp78CdLUV+8vu9z8AAAAAGAAAAPz8APwAAgAAAAAAAPC/AhODwMqhRfc/AlFrmnecovG/AAAAAAERAAAA/PwA/AACAAAAAAAA8L8C8KfGSzcJCkACjSjtDb4wyT8AAAAALAAEAWUICAAAAAAAAAAECAFlBAAAAAAAAAAACAwBZQgIAAAAAAAAAAwQAWUEAAAAAAAAAAAQFAFlCAgAAAAAAAAAFAABZQQAAAAAAAAAABAYAWUEAAAAAAAAAAAYHAFlBAAAAAAAAAAAHCABZQQAAAAAAAAAABQkAWUEAAAAAAAAAAAYKAFlBAAAAAAAAAAAAAAAAA==</t>
        </r>
      </text>
    </comment>
    <comment ref="A1628" authorId="0" shapeId="0" xr:uid="{E0CEE717-D84A-4530-B8CE-0DD636664F6A}">
      <text>
        <r>
          <rPr>
            <sz val="9"/>
            <color indexed="81"/>
            <rFont val="MS P ゴシック"/>
            <family val="3"/>
            <charset val="128"/>
          </rPr>
          <t>Insight iXlW00001C0001628R0585476093S00003254P01000LAocjBAQBF1NjaVRlZ2ljLmRhdGEuTW9sZWN1bGUBbwF/ARJTY2lUZWdpYy5Nb2xlY3VsZQAAAQFkAv5qAQAAAAIAAjQYAAAA/PwA/AACAAAAAAAA8L8CAAAAAAAA/L8CDr4wmSoY5z8AAAAAGAAAAPz8APwAAgAAAAAAAPC/AgAAAAAAAALAAtUJaCJseMK/AAAAABgAAAD8/AD8AAIAAAAAAADwvwIAAAAAAAD8vwJ8YTJVMCrwvwAAAAAYAAAA/PwA/AACAAAAAAAA8L8CAAAAAAAA6L8CfGEyVTAq8L8AAAAAGAAAAPz8APwAAgAAAAAAAPC/AgAAAAAAANC/AtUJaCJseMK/AAAAABgAAAD8/AD8AAIAAAAAAADwvwIAAAAAAADovwIOvjCZKhjnPwAAAAAYAAAA/PwA/AACAAAAAAAA8L8CAAAAAAAA6D8C1QloImx4wr8AAAAAGAAAAPz8APwAAgAAAAAAAPC/AgAAAAAAAPQ/Au0NvjCZKvC/AAAAABwAAAD8/AD8AAIAAAAAAADwvwIAAAAAAAACQALtDb4wmSrwvwAAAAAkAAAA/PwA/AACAAAAAAAA8L8CAAAAAAAA0L8CSb99HThn+T8AAAAAGAAAAPz8APwAAgAAAAAAAPC/AgAAAAAAAPQ/Ag6+MJkqGOc/AAAAABgAAAD8/AD8AAIAAAAAAADwvwIAAAAAAAACQAIOvjCZKhjnPwAAAAABEQAAAPz8APwAAgAAAAAAAPC/AmdmZmZmZghAAtUJaCJseNI/AAAAADAABAFlCAgAAAAAAAAABAgBZQQAAAAAAAAAAAgMAWUICAAAAAAAAAAMEAFlBAAAAAAAAAAAEBQBZQgIAAAAAAAAABQAAWUEAAAAAAAAAAAQGAFlBAAAAAAAAAAAGBwBZQQAAAAAAAAAABwgAWUEAAAAAAAAAAAUJAFlBAAAAAAAAAAAGCgBZQQAAAAAAAAAACgsAWUEAAAAAAAAAAAAAAAA</t>
        </r>
      </text>
    </comment>
    <comment ref="A1629" authorId="0" shapeId="0" xr:uid="{0C508352-6968-45B5-A807-FAC617AC5355}">
      <text>
        <r>
          <rPr>
            <sz val="9"/>
            <color indexed="81"/>
            <rFont val="MS P ゴシック"/>
            <family val="3"/>
            <charset val="128"/>
          </rPr>
          <t>Insight iXlW00001C0001629R0585476093S00003256P00932LAocjBAQBF1NjaVRlZ2ljLmRhdGEuTW9sZWN1bGUBbwF/ARJTY2lUZWdpYy5Nb2xlY3VsZQAAAQFkAv5qAQAAAAIAAjAYAAAA/PwA/AACAAAAAAAA8L8CP+jZrPpc9L8CelioNc077r8AAAAAGAAAAPz8APwAAgAAAAAAAPC/Aj/o2az6XPy/AqH4MeauJbS/AAAAABgAAAD8/AD8AAIAAAAAAADwvwI/6Nms+lz0vwJvgQTFjzHpPwAAAAAYAAAA/PwA/AACAAAAAAAA8L8C+aBns+pz0b8Cb4EExY8x6T8AAAAAGAAAAPz8APwAAgAAAAAAAPC/Ag6+MJkqGM0/AqH4MeauJbS/AAAAABgAAAD8/AD8AAIAAAAAAADwvwL5oGez6nPRvwKY/5B++zruvwAAAAAYAAAA/PwA/AACAAAAAAAA8L8CwhcmUwWj8z8Cofgx5q4ltL8AAAAAGAAAAPz8APwAAgAAAAAAAPC/AsIXJlMFo/s/Am+BBMWPMek/AAAAABwAAAD8/AD8AAIAAAAAAADwvwLhC5OpgtEFQAJvgQTFjzHpPwAAAAAYAAAA/PwA/AACAAAAAAAA8L8CwhcmUwWj+z8CelioNc077r8AAAAAJAAAAPz8APwAAgAAAAAAAPC/Ah/0bFZ9LgbAAqH4MeauJbS/AAAAAAERAAAA/PwA/AACAAAAAAAA8L8CSHL5D+k3DEACsr/snjwstL8AAAAALAAEAWUICAAAAAAAAAAECAFlBAAAAAAAAAAACAwBZQgIAAAAAAAAAAwQAWUEAAAAAAAAAAAQFAFlCAgAAAAAAAAAFAABZQQAAAAAAAAAABAYAWUEAAAAAAAAAAAYHAFlBAAAAAAAAAAAHCABZQQAAAAAAAAAABgkAWUEAAAAAAAAAAAEKAFlBAAAAAAAAAAAAAAAAA==</t>
        </r>
      </text>
    </comment>
    <comment ref="A1630" authorId="0" shapeId="0" xr:uid="{BA0BC892-03B1-459D-9FF9-F1E28403D196}">
      <text>
        <r>
          <rPr>
            <sz val="9"/>
            <color indexed="81"/>
            <rFont val="MS P ゴシック"/>
            <family val="3"/>
            <charset val="128"/>
          </rPr>
          <t>Insight iXlW00001C0001630R0585476093S00003258P01132LAocjBAQBF1NjaVRlZ2ljLmRhdGEuTW9sZWN1bGUBbwF/ARJTY2lUZWdpYy5Nb2xlY3VsZQAAAQFkAv5qAQAAAAIAAjwYAAAA/PwA/AACAAAAAAAA8L8CN6s+V1ux7T8CAAAAAAAA0D8AAAAAGAAAAPz8APwAAgAAAAAAAPC/AjerPldbse0/AgAAAAAAAPQ/AAAAABgAAAD8/AD8AAIAAAAAAADwvwI3qz5XW7GvPwIAAAAAAAD8PwAAAAAYAAAA/PwA/AACAAAAAAAA8L8C0NVW7C+76b8CAAAAAAAA9D8AAAAAGAAAAPz8APwAAgAAAAAAAPC/AtDVVuwvu+m/AgAAAAAAANA/AAAAABgAAAD8/AD8AAIAAAAAAADwvwI3qz5XW7GvPwIAAAAAAADQvwAAAAAYAAAA/PwA/AACAAAAAAAA8L8Cm3ecoiO5+r8CAAAAAAAA0L8AAAAAGAAAAPz8APwAAgAAAAAAAPC/Apt3nKIjufq/AgAAAAAAAPS/AAAAABwAAAD8/AD8AAIAAAAAAADwvwLu68A5I0oEwAIAAAAAAAD8vwAAAAAYAAAA/PwA/AACAAAAAAAA8L8C3bWEfNCz/D8CAAAAAAAA0L8AAAAAGAAAAPz8APwAAgAAAAAAAPC/Au7rwDkjSgTAAgAAAAAAANA/AAAAACQAAAD8/AD8AAIAAAAAAADwvwLvWkI+6FkCQAKDwMqhRbbjPwAAAAAkAAAA/PwA/AACAAAAAAAA8L8CDwu1pnlHBUACAAAAAAAA6L8AAAAAJAAAAPz8APwAAgAAAAAAAPC/At21hHzQs/Q/AkJg5dAi2/G/AAAAAAERAAAA/PwA/AACAAAAAAAA8L8CdnEbDeCtC0AAAAAAADgABAFlCAgAAAAAAAAABAgBZQQAAAAAAAAAAAgMAWUICAAAAAAAAAAMEAFlBAAAAAAAAAAAEBQBZQgIAAAAAAAAABQAAWUEAAAAAAAAAAAQGAFlBAAAAAAAAAAAGBwBZQQAAAAAAAAAABwgAWUEAAAAAAAAAAAAJAFlBAAAAAAAAAAAGCgBZQQAAAAAAAAAACQsAWUEAAAAAAAAAAAkMAFlBAAAAAAAAAAAJDQBZQQAAAAAAAAAAAAAAAA=</t>
        </r>
      </text>
    </comment>
    <comment ref="A1631" authorId="0" shapeId="0" xr:uid="{6017EA2A-C05C-49B5-AB24-69C697699A06}">
      <text>
        <r>
          <rPr>
            <sz val="9"/>
            <color indexed="81"/>
            <rFont val="MS P ゴシック"/>
            <family val="3"/>
            <charset val="128"/>
          </rPr>
          <t>Insight iXlW00001C0001631R0585476093S00003260P01232LAocjBAQBF1NjaVRlZ2ljLmRhdGEuTW9sZWN1bGUBbwF/ARJTY2lUZWdpYy5Nb2xlY3VsZQAAAQFkAv5qAQAAAAIAAgEQGAAAAPz8APwAAgAAAAAAAPC/AjGZKhiV1O+/Am+BBMWPMbe/AAAAABgAAAD8/AD8AAIAAAAAAADwvwK3Yn/ZPXnAvwIukKD4MebivwAAAAAYAAAA/PwA/AACAAAAAAAA8L8Ct2J/2T15wL8CF0hQ/Bhz+b8AAAAAHAAAAPz8APwAAgAAAAAAAPC/Atbnaiv2l+c/AgwkKH6MuQDAAAAAABgAAAD8/AD8AAIAAAAAAADwvwLarPpcbcX9vwJMN4lBYOXivwAAAAAYAAAA/PwA/AACAAAAAAAA8L8CjgbwFkjQBcACX7pJDAIrt78AAAAAGAAAAPz8APwAAgAAAAAAAPC/AsfctYR80AXAAtNvXwfOGe0/AAAAABgAAAD8/AD8AAIAAAAAAADwvwLarPpcbcX9vwLpt68D54z2PwAAAAAYAAAA/PwA/AACAAAAAAAA8L8CMZkqGJXU778C029fB84Z7T8AAAAAHAAAAPz8APwAAgAAAAAAAPC/Atbnaiv2l+c/Am+BBMWPMbe/AAAAABwAAAD8/AD8AAIAAAAAAADwvwLHuriNBvDqPwI/V1uxv+zsPwAAAAAYAAAA/PwA/AACAAAAAAAA8L8CH4XrUbge/T8CJ8KGp1fK8T8AAAAAGAAAAPz8APwAAgAAAAAAAPC/ApDC9ShcjwJAAqCrrdhfds8/AAAAABgAAAD8/AD8AAIAAAAAAADwvwLvycNCrWn6PwJPQBNhw9PfvwAAAAAYAAAA/PwA/AACAAAAAAAA8L8Ca7x0kxiECkAC2V92Tx4Wwj8AAAAAAREAAAD8/AD8AAIAAAAAAADwvwJpke18P3UQQAJcIEHxY8zVvwAAAAABEAAEAWUEAAAAAAAAAAAECAFlBAAAAAAAAAAACAwBZQQAAAAAAAAAAAAQAWUIDAAAAAAAAAAQFAFlBAAAAAAAAAAAFBgBZQgIAAAAAAAAABgcAWUEAAAAAAAAAAAcIAFlCAgAAAAAAAAAIAABZQQAAAAAAAAAAAQkAWUEAAAAAAAAAAAkKAFlBAAAAAAAAAAAKCwBZQgIAAAAAAAAACwwAWUEAAAAAAAAAAAwNAFlCAgAAAAAAAAANCQBZQQAAAAAAAAAADA4AWUEAAAAAAAAAAAAAAAA</t>
        </r>
      </text>
    </comment>
    <comment ref="A1632" authorId="0" shapeId="0" xr:uid="{297C9FB3-BBAF-43DB-AB10-25D2493A9004}">
      <text>
        <r>
          <rPr>
            <sz val="9"/>
            <color indexed="81"/>
            <rFont val="MS P ゴシック"/>
            <family val="3"/>
            <charset val="128"/>
          </rPr>
          <t>Insight iXlW00001C0001632R0585476093S00003262P01304LAocjBAQBF1NjaVRlZ2ljLmRhdGEuTW9sZWN1bGUBbwF/ARJTY2lUZWdpYy5Nb2xlY3VsZQAAAQFkAv5qAQAAAAIAAgERGAAAAPz8APwAAgAAAAAAAPC/Aj/G3LWEfOK/AoQvTKYKRuG/AAAAABgAAAD8/AD8AAIAAAAAAADwvwKCc0aU9gbbPwKEL0ymCkbhvwAAAAAYAAAA/PwA/AACAAAAAAAA8L8CwTkjSnuD7T8CBHgLJCh+9r8AAAAAHAAAAPz8APwAAgAAAAAAAPC/AuGcEaW9wf4/AgR4CyQofva/AAAAABgAAAD8/AD8AAIAAAAAAADwvwIgY+5aQj7xvwIEeAskKH72vwAAAAAYAAAA/PwA/AACAAAAAAAA8L8CV1uxv+yeAMACBHgLJCh+9r8AAAAAGAAAAPz8APwAAgAAAAAAAPC/Alhbsb/sngTAAoQvTKYKRuG/AAAAABgAAAD8/AD8AAIAAAAAAADwvwJXW7G/7J4AwAL/If32deDUPwAAAAAYAAAA/PwA/AACAAAAAAAA8L8Cr7Zif9k98b8C/yH99nXg1D8AAAAAHAAAAPz8APwAAgAAAAAAAPC/AsE5I0p7g+0/Av8h/fZ14NQ/AAAAABwAAAD8/AD8AAIAAAAAAADwvwLIKTqSy3/gPwKEns2qz9XzPwAAAAAYAAAA/PwA/AACAAAAAAAA8L8CbJp3nKIj9D8CtFn1udqK/j8AAAAAGAAAAPz8APwAAgAAAAAAAPC/Ao9TdCSX/wBAArRZ9bnaivY/AAAAABgAAAD8/AD8AAIAAAAAAADwvwKXkA96Nqv+PwLjx5i7lpDbPwAAAAAkAAAA/PwA/AACAAAAAAAA8L8CWFuxv+yeDMAChC9MpgpG4b8AAAAAGAAAAPz8APwAAgAAAAAAAPC/ApF++zpwTghAArHh6ZWyDP0/AAAAAAERAAAA/PwA/AACAAAAAAAA8L8C+ORhoda0DkACf2q8dJMY0D8AAAAAAREABAFlBAAAAAAAAAAABAgBZQQAAAAAAAAAAAgMAWUEAAAAAAAAAAAAEAFlCAwAAAAAAAAAEBQBZQQAAAAAAAAAABQYAWUICAAAAAAAAAAYHAFlBAAAAAAAAAAAHCABZQgIAAAAAAAAACAAAWUEAAAAAAAAAAAEJAFlBAAAAAAAAAAAJCgBZQQAAAAAAAAAACgsAWUICAAAAAAAAAAsMAFlBAAAAAAAAAAAMDQBZQgIAAAAAAAAADQkAWUEAAAAAAAAAAAYOAFlBAAAAAAAAAAAMDwBZQQAAAAAAAAAAAAAAAA=</t>
        </r>
      </text>
    </comment>
    <comment ref="A1633" authorId="0" shapeId="0" xr:uid="{03FE96ED-B21E-4BBD-BA2F-F71D2CEC9A52}">
      <text>
        <r>
          <rPr>
            <sz val="9"/>
            <color indexed="81"/>
            <rFont val="MS P ゴシック"/>
            <family val="3"/>
            <charset val="128"/>
          </rPr>
          <t>Insight iXlW00001C0001633R0585476093S00003264P01028LAocjBAQBF1NjaVRlZ2ljLmRhdGEuTW9sZWN1bGUBbwF/ARJTY2lUZWdpYy5Nb2xlY3VsZQAAAQFkAv5qAQAAAAIAAjgcAAAA/PwA/AACAAAAAAAA8L8Cq8/VVuwv4z8CAAAAAAAA+D8AAAAAGAAAAPz8APwAAgAAAAAAAPC/AqvP1VbsL+M/AgAAAAAAAOA/AAAAABgAAAD8/AD8AAIAAAAAAADwvwJ1kxgEVg7RvwAAAAAAGAAAAPz8APwAAgAAAAAAAPC/Ah+F61G4HvK/AgAAAAAAAOA/AAAAABgAAAD8/AD8AAIAAAAAAADwvwJh5dAi2/n/vwAAAAAAGAAAAPz8APwAAgAAAAAAAPC/AmHl0CLb+f+/AgAAAAAAAPC/AAAAABgAAAD8/AD8AAIAAAAAAADwvwIfhetRuB7yvwIAAAAAAAD4vwAAAAAYAAAA/PwA/AACAAAAAAAA8L8CdZMYBFYO0b8CAAAAAAAA8L8AAAAAGAAAAPz8APwAAgAAAAAAAPC/AhdIUPwYc/c/AAAAAAAkAAAA/PwA/AACAAAAAAAA8L8CF0hQ/Bhz/z8Cg8DKoUW26z8AAAAAJAAAAPz8APwAAgAAAAAAAPC/AizUmuYdpwJAAgAAAAAAAOC/AAAAACQAAAD8/AD8AAIAAAAAAADwvwIukKD4MebuPwKDwMqhRbbrvwAAAAAkAAAA/PwA/AACAAAAAAAA8L8CH4XrUbge8r8CAAAAAAAA+D8AAAAAAREAAAD8/AD8AAIAAAAAAADwvwKTOgFNhA0JQAAAAAAANAAEAWUEAAAAAAAAAAAECAFlBAAAAAAAAAAACAwBZQgMAAAAAAAAAAwQAWUEAAAAAAAAAAAQFAFlCAgAAAAAAAAAFBgBZQQAAAAAAAAAABgcAWUICAAAAAAAAAAcCAFlBAAAAAAAAAAABCABZQQAAAAAAAAAACAkAWUEAAAAAAAAAAAgKAFlBAAAAAAAAAAAICwBZQQAAAAAAAAAAAwwAWUEAAAAAAAAAAAAAAAA</t>
        </r>
      </text>
    </comment>
    <comment ref="A1634" authorId="0" shapeId="0" xr:uid="{BA9DCD43-E284-46F6-9944-D3AF399425EE}">
      <text>
        <r>
          <rPr>
            <sz val="9"/>
            <color indexed="81"/>
            <rFont val="MS P ゴシック"/>
            <family val="3"/>
            <charset val="128"/>
          </rPr>
          <t>Insight iXlW00001C0001634R0585476093S00003266P01072LAocjBAQBF1NjaVRlZ2ljLmRhdGEuTW9sZWN1bGUBbwF/ARJTY2lUZWdpYy5Nb2xlY3VsZQAAAQFkAv5qAQAAAAIAAjgYAAAA/PwA/AACAAAAAAAA8L8C0pFc/kP6/j8CAJF++zpw5r8AAAAAGAAAAPz8APwAAgAAAAAAAPC/AtKRXP5D+v4/AgHeAgmKH9M/AAAAABwAAAD8/AD8AAIAAAAAAADwvwKQMXctIR/xPwIBb4EExY/pPwAAAAAYAAAA/PwA/AACAAAAAAAA8L8CcoqO5PIfyj8CAd4CCYof0z8AAAAAGAAAAPz8APwAAgAAAAAAAPC/AnKKjuTyH8o/AgCRfvs6cOa/AAAAABgAAAD8/AD8AAIAAAAAAADwvwKQMXctIR/xPwKASL99HTjzvwAAAAAYAAAA/PwA/AACAAAAAAAA8L8C5x2n6Egu5b8CgEi/fR04878AAAAAHAAAAPz8APwAAgAAAAAAAPC/Aucdp+hILuW/AkCk374OnAHAAAAAABgAAAD8/AD8AAIAAAAAAADwvwLnHafoSC7lvwIBb4EExY/pPwAAAAAYAAAA/PwA/AACAAAAAAAA8L8CXtxGA3gL+r8CSOF6FK5H4T8AAAAAGAAAAPz8APwAAgAAAAAAAPC/AjojSnuDL/6/Ag6+MJkqGPg/AAAAABgAAAD8/AD8AAIAAAAAAADwvwKgq63YX3btvwLrBDQRNjz8PwAAAAABEQAAAPz8APwAAgAAAAAAAPC/Ak+vlGWI4wVAAjlnRGlv8M2/AAAAAAERAAAA/PwA/AACAAAAAAAA8L8CbJp3nKIjDkAC/Rhz1xLyyb8AAAAANAAEAWUICAAAAAAAAAAECAFlBAAAAAAAAAAACAwBZQgIAAAAAAAAAAwQAWUEAAAAAAAAAAAQFAFlCAgAAAAAAAAAFAABZQQAAAAAAAAAABAYAWUEAAAAAAAAAAAYHAFlBAAAAAAAAAAADCABZQQAAAAAAAAAACAkAWUEAAAAAAAAAAAkKAFlBAAAAAAAAAAAKCwBZQQAAAAAAAAAACwgAWUEAAAAAAAAAAAAAAAA</t>
        </r>
      </text>
    </comment>
    <comment ref="A1635" authorId="0" shapeId="0" xr:uid="{7B289B5D-4EDA-416F-BD8D-8D1FBC8B968B}">
      <text>
        <r>
          <rPr>
            <sz val="9"/>
            <color indexed="81"/>
            <rFont val="MS P ゴシック"/>
            <family val="3"/>
            <charset val="128"/>
          </rPr>
          <t>Insight iXlW00001C0001635R0585476093S00003268P01072LAocjBAQBF1NjaVRlZ2ljLmRhdGEuTW9sZWN1bGUBbwF/ARJTY2lUZWdpYy5Nb2xlY3VsZQAAAQFkAv5qAQAAAAIAAjgYAAAA/PwA/AACAAAAAAAA8L8C/yH99nXg4L8CjblrCfmg878AAAAAGAAAAPz8APwAAgAAAAAAAPC/AgCRfvs6cPi/Ao25awn5oPO/AAAAABwAAAD8/AD8AAIAAAAAAADwvwKASL99HTgAwAIsZRniWBfXvwAAAAAYAAAA/PwA/AACAAAAAAAA8L8CAJF++zpw+L8C7Q2+MJkq4D8AAAAAGAAAAPz8APwAAgAAAAAAAPC/Av8h/fZ14OC/Au0NvjCZKuA/AAAAABgAAAD8/AD8AAIAAAAAAADwvwLmP6Tfvg6cvwIsZRniWBfXvwAAAAAYAAAA/PwA/AACAAAAAAAA8L8C5j+k374OnL8COGdEaW/w9T8AAAAAHAAAAPz8APwAAgAAAAAAAPC/Av8h/fZ14OC/Ar3jFB3J5QFAAAAAABgAAAD8/AD8AAIAAAAAAADwvwIB3gIJih/vPwIsZRniWBfXvwAAAAAYAAAA/PwA/AACAAAAAAAA8L8CjnVxGw3g+j8CC7Wmeccp1j8AAAAAGAAAAPz8APwAAgAAAAAAAPC/Ag6+MJkqGANAAixlGeJYF9e/AAAAABgAAAD8/AD8AAIAAAAAAADwvwKOdXEbDeD6PwLZX3ZPHhbxvwAAAAABEQAAAPz8APwAAgAAAAAAAPC/AnUkl/+QfglAAkzIBz2bVd8/AAAAAAERAAAA/PwA/AACAAAAAAAA8L8CyQc9m1XfEEACtTf4wmSq4D8AAAAANAAEAWUICAAAAAAAAAAECAFlBAAAAAAAAAAACAwBZQgIAAAAAAAAAAwQAWUEAAAAAAAAAAAQFAFlCAgAAAAAAAAAFAABZQQAAAAAAAAAABAYAWUEAAAAAAAAAAAYHAFlBAAAAAAAAAAAFCABZQQAAAAAAAAAACAkAWUEAAAAAAAAAAAkKAFlBAAAAAAAAAAAKCwBZQQAAAAAAAAAACwgAWUEAAAAAAAAAAAAAAAA</t>
        </r>
      </text>
    </comment>
    <comment ref="A1636" authorId="0" shapeId="0" xr:uid="{A0383A76-164C-48F6-B108-324E82AB2C56}">
      <text>
        <r>
          <rPr>
            <sz val="9"/>
            <color indexed="81"/>
            <rFont val="MS P ゴシック"/>
            <family val="3"/>
            <charset val="128"/>
          </rPr>
          <t>Insight iXlW00001C0001636R0585476093S00003270P01072LAocjBAQBF1NjaVRlZ2ljLmRhdGEuTW9sZWN1bGUBbwF/ARJTY2lUZWdpYy5Nb2xlY3VsZQAAAQFkAv5qAQAAAAIAAjgYAAAA/PwA/AACAAAAAAAA8L8CjNtoAG+B3L8C/Yf029eBsz8AAAAAGAAAAPz8APwAAgAAAAAAAPC/AozbaABvgdy/AoBIv30dOPE/AAAAABwAAAD8/AD8AAIAAAAAAADwvwJ7pSxDHOvaPwKASL99HTj5PwAAAAAYAAAA/PwA/AACAAAAAAAA8L8CoImw4emV9D8CgEi/fR048T8AAAAAGAAAAPz8APwAAgAAAAAAAPC/AqCJsOHplfQ/Av2H9NvXgbM/AAAAABgAAAD8/AD8AAIAAAAAAADwvwJ7pSxDHOvaPwIB3gIJih/bvwAAAAAYAAAA/PwA/AACAAAAAAAA8L8CJZf/kH779L8CAd4CCYof278AAAAAGAAAAPz8APwAAgAAAAAAAPC/AirLEMe6OAFAAgHeAgmKH9u/AAAAABwAAAD8/AD8AAIAAAAAAADwvwJKe4MvTCYIQAL9h/Tb14GzPwAAAAAYAAAA/PwA/AACAAAAAAAA8L8CAd4CCYof+b8C6wQ0ETY89r8AAAAAGAAAAPz8APwAAgAAAAAAAPC/Au7rwDkjSgTAAg6+MJkqGPK/AAAAABgAAAD8/AD8AAIAAAAAAADwvwJIcvkP6TcCwAIfhetRuB7FvwAAAAABEQAAAPz8APwAAgAAAAAAAPC/ArHh6ZWyjA5AAvkx5q4l5LM/AAAAAAERAAAA/PwA/AACAAAAAAAA8L8CZ2ZmZmZmE0ACcc6I0t7guz8AAAAANAAEAWUICAAAAAAAAAAECAFlBAAAAAAAAAAACAwBZQgIAAAAAAAAAAwQAWUEAAAAAAAAAAAQFAFlCAgAAAAAAAAAFAABZQQAAAAAAAAAAAAYAWUEAAAAAAAAAAAQHAFlBAAAAAAAAAAAHCABZQQAAAAAAAAAABgkAWUEAAAAAAAAAAAkKAFlBAAAAAAAAAAAKCwBZQQAAAAAAAAAACwYAWUEAAAAAAAAAAAAAAAA</t>
        </r>
      </text>
    </comment>
    <comment ref="A1637" authorId="0" shapeId="0" xr:uid="{86C5D340-F1F6-462A-87A4-C1646769C0EF}">
      <text>
        <r>
          <rPr>
            <sz val="9"/>
            <color indexed="81"/>
            <rFont val="MS P ゴシック"/>
            <family val="3"/>
            <charset val="128"/>
          </rPr>
          <t>Insight iXlW00001C0001637R0585476093S00003272P01072LAocjBAQBF1NjaVRlZ2ljLmRhdGEuTW9sZWN1bGUBbwF/ARJTY2lUZWdpYy5Nb2xlY3VsZQAAAQFkAv5qAQAAAAIAAjgYAAAA/PwA/AACAAAAAAAA8L8C5j+k374OnD8C2BLyQc9m6T8AAAAAGAAAAPz8APwAAgAAAAAAAPC/AgK8BRIUP96/Al1txf6ye7K/AAAAABwAAAD8/AD8AAIAAAAAAADwvwLmP6Tfvg6cPwIvbqMBvAXuvwAAAAAYAAAA/PwA/AACAAAAAAAA8L8Cj+TyH9Jv8D8CL26jAbwF7r8AAAAAGAAAAPz8APwAAgAAAAAAAPC/Ao/k8h/Sb/g/Al1txf6ye7K/AAAAABgAAAD8/AD8AAIAAAAAAADwvwIAkX77OnDwPwK6awn5oGfpPwAAAAAYAAAA/PwA/AACAAAAAAAA8L8CSHL5D+k3BEACXW3F/rJ7sr8AAAAAHAAAAPz8APwAAgAAAAAAAPC/Akhy+Q/pNwhAArprCfmgZ+k/AAAAABgAAAD8/AD8AAIAAAAAAADwvwIBb4EExY/3vwJdbcX+snuyvwAAAAAYAAAA/PwA/AACAAAAAAAA8L8Cx7q4jQZwAcACx7q4jQbw6L8AAAAAGAAAAPz8APwAAgAAAAAAAPC/Ag6+MJkqGAfAAl1txf6ye7K/AAAAABgAAAD8/AD8AAIAAAAAAADwvwLHuriNBnABwAJwXwfOGVHkPwAAAAABEQAAAPz8APwAAgAAAAAAAPC/Aq7YX3ZPng5AAoj029eBc7a/AAAAAAERAAAA/PwA/AACAAAAAAAA8L8C5WGh1jRvE0ACIbByaJHtrL8AAAAANAAEAWUICAAAAAAAAAAECAFlBAAAAAAAAAAACAwBZQgIAAAAAAAAAAwQAWUEAAAAAAAAAAAQFAFlCAgAAAAAAAAAFAABZQQAAAAAAAAAABAYAWUEAAAAAAAAAAAYHAFlBAAAAAAAAAAABCABZQQAAAAAAAAAACAkAWUEAAAAAAAAAAAkKAFlBAAAAAAAAAAAKCwBZQQAAAAAAAAAACwgAWUEAAAAAAAAAAAAAAAA</t>
        </r>
      </text>
    </comment>
    <comment ref="A1638" authorId="0" shapeId="0" xr:uid="{7F8F6BFB-8504-4FE2-8FDB-49AEBC4CCBC9}">
      <text>
        <r>
          <rPr>
            <sz val="9"/>
            <color indexed="81"/>
            <rFont val="MS P ゴシック"/>
            <family val="3"/>
            <charset val="128"/>
          </rPr>
          <t>Insight iXlW00001C0001638R0585476093S00003274P01072LAocjBAQBF1NjaVRlZ2ljLmRhdGEuTW9sZWN1bGUBbwF/ARJTY2lUZWdpYy5Nb2xlY3VsZQAAAQFkAv5qAQAAAAIAAjgYAAAA/PwA/AACAAAAAAAA8L8CZohjXdxG8j8CAW+BBMWP5b8AAAAAGAAAAPz8APwAAgAAAAAAAPC/AlR0JJf/EABAAgK8BRIUP8a/AAAAABgAAAD8/AD8AAIAAAAAAADwvwJUdCSX/xAAQAIAkX77OnDqPwAAAAAcAAAA/PwA/AACAAAAAAAA8L8CZohjXdxG8j8CgEi/fR049T8AAAAAGAAAAPz8APwAAgAAAAAAAPC/ApCg+DHmrtE/AgCRfvs6cOo/AAAAABgAAAD8/AD8AAIAAAAAAADwvwKQoPgx5q7RPwICvAUSFD/GvwAAAAAYAAAA/PwA/AACAAAAAAAA8L8CO3DOiNLe4r8CgEi/fR049T8AAAAAHAAAAPz8APwAAgAAAAAAAPC/Al+YTBWMSve/AgCRfvs6cOo/AAAAABgAAAD8/AD8AAIAAAAAAADwvwI7cM6I0t7ivwIBb4EExY/lvwAAAAAYAAAA/PwA/AACAAAAAAAA8L8C9P3UeOkm678C6wQ0ETY8+r8AAAAAGAAAAPz8APwAAgAAAAAAAPC/AtV46SYxCP2/Ag6+MJkqGPa/AAAAABgAAAD8/AD8AAIAAAAAAADwvwKIhVrTvOP4vwKQwvUoXI/avwAAAAABEQAAAPz8APwAAgAAAAAAAPC/Arraiv1ldwZAAgTnjCjtDca/AAAAAAERAAAA/PwA/AACAAAAAAAA8L8C18VtNIC3DkACyJi7lpAPwr8AAAAANAAEAWUICAAAAAAAAAAECAFlBAAAAAAAAAAACAwBZQgIAAAAAAAAAAwQAWUEAAAAAAAAAAAQFAFlCAgAAAAAAAAAFAABZQQAAAAAAAAAABAYAWUEAAAAAAAAAAAYHAFlBAAAAAAAAAAAFCABZQQAAAAAAAAAACAkAWUEAAAAAAAAAAAkKAFlBAAAAAAAAAAAKCwBZQQAAAAAAAAAACwgAWUEAAAAAAAAAAAAAAAA</t>
        </r>
      </text>
    </comment>
    <comment ref="A1639" authorId="0" shapeId="0" xr:uid="{C9AAE93E-E1B8-42F6-8A9E-ED10D4703D83}">
      <text>
        <r>
          <rPr>
            <sz val="9"/>
            <color indexed="81"/>
            <rFont val="MS P ゴシック"/>
            <family val="3"/>
            <charset val="128"/>
          </rPr>
          <t>Insight iXlW00001C0001639R0585476093S00003276P01072LAocjBAQBF1NjaVRlZ2ljLmRhdGEuTW9sZWN1bGUBbwF/ARJTY2lUZWdpYy5Nb2xlY3VsZQAAAQFkAv5qAQAAAAIAAjgYAAAA/PwA/AACAAAAAAAA8L8C5j+k374OnL8CumsJ+aBn6b8AAAAAGAAAAPz8APwAAgAAAAAAAPC/AgK8BRIUP94/Al1txf6ye7I/AAAAABgAAAD8/AD8AAIAAAAAAADwvwLmP6Tfvg6cvwIvbqMBvAXuPwAAAAAcAAAA/PwA/AACAAAAAAAA8L8CAJF++zpw8L8CL26jAbwF7j8AAAAAGAAAAPz8APwAAgAAAAAAAPC/Ao/k8h/Sb/i/Al1txf6ye7I/AAAAABgAAAD8/AD8AAIAAAAAAADwvwKP5PIf0m/wvwLYEvJBz2bpvwAAAAAYAAAA/PwA/AACAAAAAAAA8L8CSHL5D+k3BMACXW3F/rJ7sj8AAAAAHAAAAPz8APwAAgAAAAAAAPC/Akhy+Q/pNwjAArprCfmgZ+m/AAAAABgAAAD8/AD8AAIAAAAAAADwvwIBb4EExY/3PwJdbcX+snuyPwAAAAAYAAAA/PwA/AACAAAAAAAA8L8Cx7q4jQZwAUACx7q4jQbw6D8AAAAAGAAAAPz8APwAAgAAAAAAAPC/Ag6+MJkqGAdAAl1txf6ye7I/AAAAABgAAAD8/AD8AAIAAAAAAADwvwLHuriNBnABQAJwXwfOGVHkvwAAAAABEQAAAPz8APwAAgAAAAAAAPC/AnUkl/+Qfg1AAiGwcmiR7aw/AAAAAAERAAAA/PwA/AACAAAAAAAA8L8CyQc9m1XfEkACiPTb14Fztj8AAAAANAAEAWUICAAAAAAAAAAECAFlBAAAAAAAAAAACAwBZQgIAAAAAAAAAAwQAWUEAAAAAAAAAAAQFAFlCAgAAAAAAAAAFAABZQQAAAAAAAAAABAYAWUEAAAAAAAAAAAYHAFlBAAAAAAAAAAABCABZQQAAAAAAAAAACAkAWUEAAAAAAAAAAAkKAFlBAAAAAAAAAAAKCwBZQQAAAAAAAAAACwgAWUEAAAAAAAAAAAAAAAA</t>
        </r>
      </text>
    </comment>
    <comment ref="A1640" authorId="0" shapeId="0" xr:uid="{23D3E982-81C2-4BF6-8779-6EE9A23D125F}">
      <text>
        <r>
          <rPr>
            <sz val="9"/>
            <color indexed="81"/>
            <rFont val="MS P ゴシック"/>
            <family val="3"/>
            <charset val="128"/>
          </rPr>
          <t>Insight iXlW00001C0001640R0585476093S00003278P01072LAocjBAQBF1NjaVRlZ2ljLmRhdGEuTW9sZWN1bGUBbwF/ARJTY2lUZWdpYy5Nb2xlY3VsZQAAAQFkAv5qAQAAAAIAAjgYAAAA/PwA/AACAAAAAAAA8L8C0gDeAgmK3z8CgEi/fR04+78AAAAAGAAAAPz8APwAAgAAAAAAAPC/AjWAt0CC4te/AoBIv30dOPO/AAAAABgAAAD8/AD8AAIAAAAAAADwvwI1gLdAguLXvwL/Q/rt68DJvwAAAAAcAAAA/PwA/AACAAAAAAAA8L8C0gDeAgmK3z8CAd4CCYof0z8AAAAAGAAAAPz8APwAAgAAAAAAAPC/AnbgnBGlvfU/Av9D+u3rwMm/AAAAABgAAAD8/AD8AAIAAAAAAADwvwJ24JwRpb31PwKASL99HTjzvwAAAAAYAAAA/PwA/AACAAAAAAAA8L8CXCBB8WPMAUACAd4CCYof0z8AAAAAHAAAAPz8APwAAgAAAAAAAPC/AlwgQfFjzAFAAoC3QILix/Q/AAAAABgAAAD8/AD8AAIAAAAAAADwvwJPQBNhw9PzvwIB3gIJih/TPwAAAAAYAAAA/PwA/AACAAAAAAAA8L8CFR3J5T+kAcACexSuR+F6pD8AAAAAGAAAAPz8APwAAgAAAAAAAPC/AoPAyqFFtgPAAg6+MJkqGPA/AAAAABgAAAD8/AD8AAIAAAAAAADwvwKcM6K0N/j3vwLrBDQRNjz0PwAAAAABEQAAAPz8APwAAgAAAAAAAPC/AsKGp1fKMghAAh3r4jYawMu/AAAAAAERAAAA/PwA/AACAAAAAAAA8L8C7zhFR3I5EEAC4ZwRpb3Bx78AAAAANAAEAWUICAAAAAAAAAAECAFlBAAAAAAAAAAACAwBZQgIAAAAAAAAAAwQAWUEAAAAAAAAAAAQFAFlCAgAAAAAAAAAFAABZQQAAAAAAAAAABAYAWUEAAAAAAAAAAAYHAFlBAAAAAAAAAAACCABZQQAAAAAAAAAACAkAWUEAAAAAAAAAAAkKAFlBAAAAAAAAAAAKCwBZQQAAAAAAAAAACwgAWUEAAAAAAAAAAAAAAAA</t>
        </r>
      </text>
    </comment>
    <comment ref="A1641" authorId="0" shapeId="0" xr:uid="{12BC8763-21DE-4A54-978A-E447F10C37CD}">
      <text>
        <r>
          <rPr>
            <sz val="9"/>
            <color indexed="81"/>
            <rFont val="MS P ゴシック"/>
            <family val="3"/>
            <charset val="128"/>
          </rPr>
          <t>Insight iXlW00001C0001641R0585476093S00003280P01072LAocjBAQBF1NjaVRlZ2ljLmRhdGEuTW9sZWN1bGUBbwF/ARJTY2lUZWdpYy5Nb2xlY3VsZQAAAQFkAv5qAQAAAAIAAjgYAAAA/PwA/AACAAAAAAAA8L8CNYC3QILi178C/0P67evAyb8AAAAAHAAAAPz8APwAAgAAAAAAAPC/AjWAt0CC4te/AoBIv30dOPO/AAAAABgAAAD8/AD8AAIAAAAAAADwvwLSAN4CCYrfPwKASL99HTj7vwAAAAAYAAAA/PwA/AACAAAAAAAA8L8CduCcEaW99T8CgEi/fR04878AAAAAGAAAAPz8APwAAgAAAAAAAPC/AnbgnBGlvfU/Av9D+u3rwMm/AAAAABgAAAD8/AD8AAIAAAAAAADwvwLSAN4CCYrfPwIB3gIJih/TPwAAAAAYAAAA/PwA/AACAAAAAAAA8L8CXCBB8WPMAUACAd4CCYof0z8AAAAAHAAAAPz8APwAAgAAAAAAAPC/AlwgQfFjzAFAAoC3QILix/Q/AAAAABgAAAD8/AD8AAIAAAAAAADwvwJPQBNhw9PzvwIB3gIJih/TPwAAAAAYAAAA/PwA/AACAAAAAAAA8L8CFR3J5T+kAcACexSuR+F6pD8AAAAAGAAAAPz8APwAAgAAAAAAAPC/AoPAyqFFtgPAAg6+MJkqGPA/AAAAABgAAAD8/AD8AAIAAAAAAADwvwKcM6K0N/j3vwLrBDQRNjz0PwAAAAABEQAAAPz8APwAAgAAAAAAAPC/AsKGp1fKMghAAh3r4jYawMu/AAAAAAERAAAA/PwA/AACAAAAAAAA8L8C7zhFR3I5EEAC4ZwRpb3Bx78AAAAANAAEAWUICAAAAAAAAAAECAFlBAAAAAAAAAAACAwBZQgIAAAAAAAAAAwQAWUEAAAAAAAAAAAQFAFlCAgAAAAAAAAAFAABZQQAAAAAAAAAABAYAWUEAAAAAAAAAAAYHAFlBAAAAAAAAAAAACABZQQAAAAAAAAAACAkAWUEAAAAAAAAAAAkKAFlBAAAAAAAAAAAKCwBZQQAAAAAAAAAACwgAWUEAAAAAAAAAAAAAAAA</t>
        </r>
      </text>
    </comment>
    <comment ref="A1642" authorId="0" shapeId="0" xr:uid="{94675469-80FE-46E8-9F48-36DBEC76DC43}">
      <text>
        <r>
          <rPr>
            <sz val="9"/>
            <color indexed="81"/>
            <rFont val="MS P ゴシック"/>
            <family val="3"/>
            <charset val="128"/>
          </rPr>
          <t>Insight iXlW00001C0001642R0585476093S00003282P00948LAocjBAQBF1NjaVRlZ2ljLmRhdGEuTW9sZWN1bGUBbwF/ARJTY2lUZWdpYy5Nb2xlY3VsZQAAAQFkAv5qAQAAAAIAAjABIwAAAPz8APwAAgAAAAAAAPC/Am+BBMWPMek/AixlGeJYF/2/AAAAABgAAAD8/AD8AAIAAAAAAADwvwJ6WKg1zTvuvwLUmuYdp+jyPwAAAAAYAAAA/PwA/AACAAAAAAAA8L8Cf4y5awn5/L8CqTXNO07R5T8AAAAAHAAAAPz8APwAAgAAAAAAAPC/An+MuWsJ+fy/ArCUZYhjXdS/AAAAABgAAAD8/AD8AAIAAAAAAADwvwJ6WKg1zTvuvwJYyjLEsS7qvwAAAAAYAAAA/PwA/AACAAAAAAAA8L8Cb4EExY8x6T8CWMoyxLEu6r8AAAAAGAAAAPz8APwAAgAAAAAAAPC/AvmgZ7Pqc/o/ArCUZYhjXdS/AAAAABgAAAD8/AD8AAIAAAAAAADwvwL5oGez6nP6PwKpNc07TtHlPwAAAAAYAAAA/PwA/AACAAAAAAAA8L8Cb4EExY8x6T8C1JrmHafo8j8AAAAAGAAAAPz8APwAAgAAAAAAAPC/ArK/7J48LLS/Aqk1zTtO0eU/AAAAABgAAAD8/AD8AAIAAAAAAADwvwKyv+yePCy0vwKwlGWIY13UvwAAAAABEQAAAPz8APwAAgAAAAAAAPC/AuM2GsBboANAArCUZYhjXdS/AAAAADAUAAFlBAAAAAAAAAAACAQBZQQAAAAAAAAAAAQkAWUEAAAAAAAAAAAMCAFlBAAAAAAAAAAAEAwBZQQAAAAAAAAAACgQAWUEAAAAAAAAAAAYFAFlCAwAAAAAAAAAFCgBZQQAAAAAAAAAABwYAWUEAAAAAAAAAAAgHAFlCAgAAAAAAAAAJCABZQQAAAAAAAAAACgkAWUICAAAAAAAAAAAAAAA</t>
        </r>
      </text>
    </comment>
    <comment ref="A1643" authorId="0" shapeId="0" xr:uid="{113C8743-C6F8-49DF-AF99-0BA7BE9F1B3A}">
      <text>
        <r>
          <rPr>
            <sz val="9"/>
            <color indexed="81"/>
            <rFont val="MS P ゴシック"/>
            <family val="3"/>
            <charset val="128"/>
          </rPr>
          <t>Insight iXlW00001C0001643R0585476093S00003284P00948LAocjBAQBF1NjaVRlZ2ljLmRhdGEuTW9sZWN1bGUBbwF/ARJTY2lUZWdpYy5Nb2xlY3VsZQAAAQFkAv5qAQAAAAIAAjAYAAAA/PwA/AACAAAAAAAA8L8C5WGh1jTv9z8CWMoyxLEu2r8AAAAAGAAAAPz8APwAAgAAAAAAAPC/AkcDeAskKOQ/AixlGeJYF+2/AAAAABgAAAD8/AD8AAIAAAAAAADwvwJ6WKg1zTvOvwJYyjLEsS7avwAAAAAYAAAA/PwA/AACAAAAAAAA8L8CelioNc07zr8C1JrmHafo4j8AAAAAGAAAAPz8APwAAgAAAAAAAPC/AkcDeAskKOQ/AmpN845TdPE/AAAAABgAAAD8/AD8AAIAAAAAAADwvwLlYaHWNO/3PwLUmuYdp+jiPwAAAAAYAAAA/PwA/AACAAAAAAAA8L8CUWuad5yi8b8CLGUZ4lgX7b8AAAAAHAAAAPz8APwAAgAAAAAAAPC/ApPLf0i/ff+/AljKMsSxLtq/AAAAABgAAAD8/AD8AAIAAAAAAADwvwKTy39Iv33/vwLUmuYdp+jiPwAAAAAYAAAA/PwA/AACAAAAAAAA8L8CUWuad5yi8b8Cak3zjlN08T8AAAAAASMAAAD8/AD8AAIAAAAAAADwvwIUYcPTK+UCQAIsZRniWBftvwAAAAABEQAAAPz8APwAAgAAAAAAAPC/AnrHKTqSSwlAAqLWNO84Rbc/AAAAADAABAFlCAgAAAAAAAAAFAABZQQAAAAAAAAAAAAoAWUEAAAAAAAAAAAECAFlBAAAAAAAAAAACAwBZQgIAAAAAAAAAAgYAWUEAAAAAAAAAAAMEAFlBAAAAAAAAAAAJAwBZQQAAAAAAAAAABAUAWUICAAAAAAAAAAYHAFlBAAAAAAAAAAAHCABZQQAAAAAAAAAACAkAWUEAAAAAAAAAAAAAAAA</t>
        </r>
      </text>
    </comment>
    <comment ref="A1644" authorId="0" shapeId="0" xr:uid="{363312AC-FACA-487D-A512-A8FCCC02D1C2}">
      <text>
        <r>
          <rPr>
            <sz val="9"/>
            <color indexed="81"/>
            <rFont val="MS P ゴシック"/>
            <family val="3"/>
            <charset val="128"/>
          </rPr>
          <t>Insight iXlW00001C0001644R0585476093S00003286P00948LAocjBAQBF1NjaVRlZ2ljLmRhdGEuTW9sZWN1bGUBbwF/ARJTY2lUZWdpYy5Nb2xlY3VsZQAAAQFkAv5qAQAAAAIAAjABIwAAAPz8APwAAgAAAAAAAPC/AhRhw9Mr5QJAAixlGeJYF+0/AAAAABgAAAD8/AD8AAIAAAAAAADwvwJRa5p3nKLxvwJqTfOOU3TxvwAAAAAcAAAA/PwA/AACAAAAAAAA8L8Ck8t/SL99/78C1JrmHafo4r8AAAAAGAAAAPz8APwAAgAAAAAAAPC/ApPLf0i/ff+/AljKMsSxLto/AAAAABgAAAD8/AD8AAIAAAAAAADwvwJRa5p3nKLxvwIsZRniWBftPwAAAAAYAAAA/PwA/AACAAAAAAAA8L8C5WGh1jTv9z8CWMoyxLEu2j8AAAAAGAAAAPz8APwAAgAAAAAAAPC/AuVhodY07/c/AtSa5h2n6OK/AAAAABgAAAD8/AD8AAIAAAAAAADwvwJHA3gLJCjkPwJqTfOOU3TxvwAAAAAYAAAA/PwA/AACAAAAAAAA8L8CelioNc07zr8C1JrmHafo4r8AAAAAGAAAAPz8APwAAgAAAAAAAPC/AnpYqDXNO86/AljKMsSxLto/AAAAABgAAAD8/AD8AAIAAAAAAADwvwJHA3gLJCjkPwIsZRniWBftPwAAAAABEQAAAPz8APwAAgAAAAAAAPC/AnrHKTqSSwlAAqLWNO84Rbe/AAAAADAUAAFlBAAAAAAAAAAACAQBZQQAAAAAAAAAAAQgAWUEAAAAAAAAAAAMCAFlBAAAAAAAAAAAEAwBZQQAAAAAAAAAABAkAWUEAAAAAAAAAAAYFAFlBAAAAAAAAAAAKBQBZQgMAAAAAAAAABwYAWUICAAAAAAAAAAgHAFlBAAAAAAAAAAAJCABZQgIAAAAAAAAACgkAWUEAAAAAAAAAAAAAAAA</t>
        </r>
      </text>
    </comment>
    <comment ref="A1645" authorId="0" shapeId="0" xr:uid="{C8B1C01A-BEAB-48D2-B50D-691946F5A187}">
      <text>
        <r>
          <rPr>
            <sz val="9"/>
            <color indexed="81"/>
            <rFont val="MS P ゴシック"/>
            <family val="3"/>
            <charset val="128"/>
          </rPr>
          <t>Insight iXlW00001C0001645R0585476093S00003288P00948LAocjBAQBF1NjaVRlZ2ljLmRhdGEuTW9sZWN1bGUBbwF/ARJTY2lUZWdpYy5Nb2xlY3VsZQAAAQFkAv5qAQAAAAIAAjAYAAAA/PwA/AACAAAAAAAA8L8C+aBns+pz+j8CqTXNO07R5b8AAAAAGAAAAPz8APwAAgAAAAAAAPC/AvmgZ7Pqc/o/ArCUZYhjXdQ/AAAAABgAAAD8/AD8AAIAAAAAAADwvwJvgQTFjzHpPwJYyjLEsS7qPwAAAAAYAAAA/PwA/AACAAAAAAAA8L8Csr/snjwstL8CsJRliGNd1D8AAAAAGAAAAPz8APwAAgAAAAAAAPC/ArK/7J48LLS/Aqk1zTtO0eW/AAAAABgAAAD8/AD8AAIAAAAAAADwvwJvgQTFjzHpPwLUmuYdp+jyvwAAAAAYAAAA/PwA/AACAAAAAAAA8L8CelioNc077r8CWMoyxLEu6j8AAAAAGAAAAPz8APwAAgAAAAAAAPC/An+MuWsJ+fy/ArCUZYhjXdQ/AAAAABwAAAD8/AD8AAIAAAAAAADwvwJ/jLlrCfn8vwKpNc07TtHlvwAAAAAYAAAA/PwA/AACAAAAAAAA8L8CelioNc077r8C1JrmHafo8r8AAAAAASMAAAD8/AD8AAIAAAAAAADwvwJR2ht8YTLpPwIsZRniWBf9PwAAAAABEQAAAPz8APwAAgAAAAAAAPC/AuM2GsBboANAArCUZYhjXdQ/AAAAADAABAFlCAgAAAAAAAAABAgBZQQAAAAAAAAAAAgMAWUICAAAAAAAAAAMEAFlBAAAAAAAAAAAEBQBZQgIAAAAAAAAABQAAWUEAAAAAAAAAAAMGAFlBAAAAAAAAAAAGBwBZQQAAAAAAAAAABwgAWUEAAAAAAAAAAAgJAFlBAAAAAAAAAAAJBABZQQAAAAAAAAAAAgoAWUEAAAAAAAAAAAAAAAA</t>
        </r>
      </text>
    </comment>
    <comment ref="A1646" authorId="0" shapeId="0" xr:uid="{1717FC50-54DD-4DDC-8A73-DC9CF0362DAF}">
      <text>
        <r>
          <rPr>
            <sz val="9"/>
            <color indexed="81"/>
            <rFont val="MS P ゴシック"/>
            <family val="3"/>
            <charset val="128"/>
          </rPr>
          <t>Insight iXlW00001C0001646R0585476093S00003290P01144LAocjBAQBF1NjaVRlZ2ljLmRhdGEuTW9sZWN1bGUBbwF/ARJTY2lUZWdpYy5Nb2xlY3VsZQAAAQFkAv5qAQAAAAIAAjwYAAAA/PwA/AACAAAAAAAA8L8CC0YldQIaAcACRwN4CyQo1r8AAAAAGAAAAPz8APwAAgAAAAAAAPC/AoiFWtO84/a/AmAHzhlR2vC/AAAAABgAAAD8/AD8AAIAAAAAAADwvwIfFmpN847bvwJgB84ZUdrwvwAAAAAcAAAA/PwA/AACAAAAAAAA8L8CGQRWDi2y0T8Cg1FJnYAm1r8AAAAAGAAAAPz8APwAAgAAAAAAAPC/AhkEVg4tstE/Al3+Q/rt6+Q/AAAAABgAAAD8/AD8AAIAAAAAAADwvwIfFmpN847bvwItsp3vp8b1PwAAAAAcAAAA/PwA/AACAAAAAAAA8L8CiIVa07zj9r8CvAUSFD/G9T8AAAAAGAAAAPz8APwAAgAAAAAAAPC/AgtGJXUCGgHAAl3+Q/rt6+Q/AAAAABgAAAD8/AD8AAIAAAAAAADwvwJI4XoUrkfyPwIv/yH99nXyPwAAAAAcAAAA/PwA/AACAAAAAAAA8L8CxSCwcmgRAEACXf5D+u3r5D8AAAAAGAAAAPz8APwAAgAAAAAAAPC/Av32deCcEQBAAkcDeAskKNa/AAAAABgAAAD8/AD8AAIAAAAAAADwvwJI4XoUrkfyPwLCqKROQBPrvwAAAAAgAAAA/PwA/AACAAAAAAAA8L8CSOF6FK5H8j8CYVRSJ6CJ/b8AAAAAAREAAAD8/AD8AAIAAAAAAADwvwJkXdxGA3gGQALY8PRKWYbQvwAAAAABEQAAAPz8APwAAgAAAAAAAPC/AoBIv30duA5AAnWTGARWDs2/AAAAADgAHAFlBAAAAAAAAAAAAAQBZQQAAAAAAAAAAAQIAWUEAAAAAAAAAAAIDAFlBAAAAAAAAAAADCwBZQQAAAAAAAAAAAwQAWUEAAAAAAAAAAAQFAFlBAAAAAAAAAAAFBgBZQQAAAAAAAAAABgcAWUEAAAAAAAAAAAQIAFlBAAAAAAAAAAAICQBZQQAAAAAAAAAACQoAWUEAAAAAAAAAAAoLAFlBAAAAAAAAAAALDABZQgAAAAAAAAAAAAAAAA=</t>
        </r>
      </text>
    </comment>
    <comment ref="A1647" authorId="0" shapeId="0" xr:uid="{144C2AF2-6928-4DCB-A116-CD59FA4B675D}">
      <text>
        <r>
          <rPr>
            <sz val="9"/>
            <color indexed="81"/>
            <rFont val="MS P ゴシック"/>
            <family val="3"/>
            <charset val="128"/>
          </rPr>
          <t>Insight iXlW00001C0001647R0585476093S00003292P00920LAocjBAQBF1NjaVRlZ2ljLmRhdGEuTW9sZWN1bGUBbwF/ARJTY2lUZWdpYy5Nb2xlY3VsZQAAAQFkAv5qAQAAAAIAAjAYAAAA/PwA/AACAAAAAAAA8L8CIbByaJHt8j8CGy/dJAaBAEAAAAAAGAAAAPz8APwAAgAAAAAAAPC/AicxCKwcWv4/As3MzMzMzANAAAAAABgAAAD8/AD8AAIAAAAAAADwvwIX2c73U+MEQAIbL90kBoEAQAAAAAAYAAAA/PwA/AACAAAAAAAA8L8CF9nO91PjBEACAiuHFtnO8z8AAAAAGAAAAPz8APwAAgAAAAAAAPC/As/3U+OlmwpAAmdmZmZmZuo/AAAAABgAAAD8/AD8AAIAAAAAAADwvwIpXI/C9SgQQAICK4cW2c7zPwAAAAAYAAAA/PwA/AACAAAAAAAA8L8CKVyPwvUoEEACGy/dJAaBAEAAAAAAGAAAAPz8APwAAgAAAAAAAPC/As/3U+OlmwpAAs3MzMzMzANAAAAAACQAAAD8/AD8AAIAAAAAAADwvwLP91PjpZsKQAAAAAAAGAAAAPz8APwAAgAAAAAAAPC/AicxCKwcWv4/AgeBlUOLbApAAAAAABwAAAD8/AD8AAIAAAAAAADwvwJt5/up8dLdPwI4iUFg5dADQAAAAAABEQAAAPz8APwAAgAAAAAAAPC/AlyPwvUoXBNAAgeBlUOLbPo/AAAAACwABAFlBAAAAAAAAAAABAgBZQQAAAAAAAAAAAgMAWUIDAAAAAAAAAAMEAFlBAAAAAAAAAAAEBQBZQgIAAAAAAAAABQYAWUEAAAAAAAAAAAYHAFlCAgAAAAAAAAAHAgBZQQAAAAAAAAAABAgAWUEAAAAAAAAAAAEJAFlBAAAAAAAAAAAACgBZQQAAAAAAAAAAAAAAAA=</t>
        </r>
      </text>
    </comment>
    <comment ref="A1648" authorId="0" shapeId="0" xr:uid="{360A9828-D302-454C-A747-F41D8A3A0D29}">
      <text>
        <r>
          <rPr>
            <sz val="9"/>
            <color indexed="81"/>
            <rFont val="MS P ゴシック"/>
            <family val="3"/>
            <charset val="128"/>
          </rPr>
          <t>Insight iXlW00001C0001648R0585476093S00003294P01284LAocjBAQBF1NjaVRlZ2ljLmRhdGEuTW9sZWN1bGUBbwF/ARJTY2lUZWdpYy5Nb2xlY3VsZQAAAQFkAv5qAQAAAAIAAgERGAAAAPz8APwAAgAAAAAAAPC/Ag0CK4cW2fY/AicxCKwcWglAAAAAABgAAAD8/AD8AAIAAAAAAADwvwK/nxov3SQBQAKq8dJNYhAGQAAAAAAYAAAA/PwA/AACAAAAAAAA8L8CokW28/3UBkACZ2ZmZmZmCUAAAAAAHAAAAPz8APwAAgAAAAAAAPC/AsUgsHJokQxAAr+fGi/dJAZAAAAAABgAAAD8/AD8AAIAAAAAAADwvwJ3vp8aL932PwKMbOf7qfEPQAAAAAAYAAAA/PwA/AACAAAAAAAA8L8C4noUrkfh5j8CH4XrUbieEUAAAAAAGAAAAPz8APwAAgAAAAAAAPC/AAIhsHJoke0PQAAAAAAYAAAA/PwA/AACAAAAAAAA8L8C/Knx0k1icD8Cs53vp8ZLCUAAAAAAGAAAAPz8APwAAgAAAAAAAPC/AjZeukkMAuc/AtV46SYxCAZAAAAAABwAAAD8/AD8AAIAAAAAAADwvwKUGARWDi0BQAIhsHJoke3+PwAAAAAcAAAA/PwA/AACAAAAAAAA8L8CWDm0yHa+9z8CH4XrUbge9z8AAAAAGAAAAPz8APwAAgAAAAAAAPC/AhfZzvdT4/s/Asl2vp8aL+U/AAAAABgAAAD8/AD8AAIAAAAAAADwvwIlBoGVQ4sEQAIdWmQ730/lPwAAAAAYAAAA/PwA/AACAAAAAAAA8L8CWmQ730+NBkACnu+nxks39z8AAAAAJAAAAPz8APwAAgAAAAAAAPC/Ag0CK4cW2eY/AuxRuB6F6xRAAAAAABgAAAD8/AD8AAIAAAAAAADwvwKmm8QgsHIIQAAAAAAAAREAAAD8/AD8AAIAAAAAAADwvwKWQ4ts53sRQALsUbgehesEQAAAAAABEQAEAWUEAAAAAAAAAAAECAFlBAAAAAAAAAAACAwBZQQAAAAAAAAAAAAQAWUIDAAAAAAAAAAQFAFlBAAAAAAAAAAAFBgBZQgIAAAAAAAAABgcAWUEAAAAAAAAAAAcIAFlCAgAAAAAAAAAIAABZQQAAAAAAAAAAAQkAWUEAAAAAAAAAAAkKAFlBAAAAAAAAAAAKCwBZQgIAAAAAAAAACwwAWUEAAAAAAAAAAAwNAFlCAgAAAAAAAAANCQBZQQAAAAAAAAAABQ4AWUEAAAAAAAAAAAwPAFlBAAAAAAAAAAAAAAAAA==</t>
        </r>
      </text>
    </comment>
    <comment ref="A1649" authorId="0" shapeId="0" xr:uid="{993876B4-45BD-4A51-AFBC-552AC7398763}">
      <text>
        <r>
          <rPr>
            <sz val="9"/>
            <color indexed="81"/>
            <rFont val="MS P ゴシック"/>
            <family val="3"/>
            <charset val="128"/>
          </rPr>
          <t>Insight iXlW00001C0001649R0585476093S00003296P01348LAocjBAQBF1NjaVRlZ2ljLmRhdGEuTW9sZWN1bGUBbwF/ARJTY2lUZWdpYy5Nb2xlY3VsZQAAAQFkAv5qAQAAAAIAAgESGAAAAPz8APwAAgAAAAAAAPC/AuxRuB6F6/M/AvYoXI/C9eg/AAAAABgAAAD8/AD8AAIAAAAAAADwvwLb+X5qvHQAQALFILByaJHtPwAAAAAYAAAA/PwA/AACAAAAAAAA8L8CuR6F61G4AkACyXa+nxov+z8AAAAAGAAAAPz8APwAAgAAAAAAAPC/Aoxs5/up8fw/AtnO91PjpQJAAAAAABgAAAD8/AD8AAIAAAAAAADwvwKBlUOLbOfvPwIbL90kBoEBQAAAAAABEAAAAPz8APwAAgAAAAAAAPC/AuJ6FK5H4eY/AmU730+Nl/Y/AAAAACAAAAD8/AD8AAIAAAAAAADwvwJaZDvfT43HPwL2KFyPwvXoPwAAAAAgAAAA/PwA/AACAAAAAAAA8L8AAjQzMzMzM/0/AAAAABwAAAD8/AD8AAIAAAAAAADwvwL2KFyPwvUGQALZzvdT46UCQAAAAAAYAAAA/PwA/AACAAAAAAAA8L8CPN9PjZduCEAC+n5qvHST9D8AAAAAGAAAAPz8APwAAgAAAAAAAPC/AvT91HjpJg5AAsl2vp8aL/s/AAAAABgAAAD8/AD8AAIAAAAAAADwvwI830+Nl+4RQAL6fmq8dJP0PwAAAAAcAAAA/PwA/AACAAAAAAAA8L8CmG4Sg8DKFEACyXa+nxov+z8AAAAAGAAAAPz8APwAAgAAAAAAAPC/AphuEoPAyhRAAv7UeOkmMQRAAAAAABgAAAD8/AD8AAIAAAAAAADwvwI830+Nl+4RQAKwcmiR7XwHQAAAAAAYAAAA/PwA/AACAAAAAAAA8L8C9P3UeOkmDkAC/tR46SYxBEAAAAAAAREAAAD8/AD8AAIAAAAAAADwvwLLoUW28/0XQAIKaCJseHr9PwAAAAABEQAAAPz8APwAAgAAAAAAAPC/AlkXt9EAHhxAAtKRXP5D+v0/AAAAAAERAAQBZQQAAAAAAAAAAAAUAWUEAAAAAAAAAAAECAFlBAAAAAAAAAAACAwBZQQAAAAAAAAAAAwQAWUEAAAAAAAAAAAQFAFlBAAAAAAAAAAAFBgBZQgAAAAAAAAAABQcAWUIAAAAAAAAAAAIIAFlBAAAAAAAAAAACCQBZQQAAAAAAAAAACQoAWUEAAAAAAAAAAAoLAFlCAwAAAAAAAAALDABZQQAAAAAAAAAADA0AWUICAAAAAAAAAA0OAFlBAAAAAAAAAAAODwBZQgIAAAAAAAAADwoAWUEAAAAAAAAAAAAAAAA</t>
        </r>
      </text>
    </comment>
    <comment ref="A1650" authorId="0" shapeId="0" xr:uid="{1ED91251-94F3-441C-91A8-A43102CB9916}">
      <text>
        <r>
          <rPr>
            <sz val="9"/>
            <color indexed="81"/>
            <rFont val="MS P ゴシック"/>
            <family val="3"/>
            <charset val="128"/>
          </rPr>
          <t>Insight iXlW00001C0001650R0585476093S00003298P01232LAocjBAQBF1NjaVRlZ2ljLmRhdGEuTW9sZWN1bGUBbwF/ARJTY2lUZWdpYy5Nb2xlY3VsZQAAAQFkAv5qAQAAAAIAAgEQGAAAAPz8APwAAgAAAAAAAPC/Avyp8dJNYoA/Ar+fGi/dJAdAAAAAABgAAAD8/AD8AAIAAAAAAADwvwL8qfHSTWKAPwJQjZduEoMAQAAAAAAYAAAA/PwA/AACAAAAAAAA8L8CX7pJDAIr5z8CEVg5tMh2+j8AAAAAGAAAAPz8APwAAgAAAAAAAPC/AqAaL90kBvc/AlCNl24SgwBAAAAAABgAAAD8/AD8AAIAAAAAAADwvwKgGi/dJAb3PwK/nxov3SQHQAAAAAABEAAAAPz8APwAAgAAAAAAAPC/Al+6SQwCK+c/AubQItv5fgpAAAAAACAAAAD8/AD8AAIAAAAAAADwvwJMN4lBYOX0PwKe76fGSzcPQAAAAAAgAAAA/PwA/AACAAAAAAAA8L8CpHA9CtejwD8Cnu+nxks3D0AAAAAAHAAAAPz8APwAAgAAAAAAAPC/AAKBlUOLbOfzPwAAAAAYAAAA/PwA/AACAAAAAAAA8L8CYeXQItv59j8Cbef7qfHS8z8AAAAAGAAAAPz8APwAAgAAAAAAAPC/AuJ6FK5H4fY/AubQItv5fto/AAAAABgAAAD8/AD8AAIAAAAAAADwvwJU46WbxCABQAAAAAAAGAAAAPz8APwAAgAAAAAAAPC/Ane+nxov3QZAAj4K16NwPdo/AAAAABgAAAD8/AD8AAIAAAAAAADwvwJ3vp8aL90GQAICK4cW2c7zPwAAAAAYAAAA/PwA/AACAAAAAAAA8L8CXrpJDAIrAUACku18PzVe+j8AAAAAAREAAAD8/AD8AAIAAAAAAADwvwLFILByaJEMQAK7SQwCK4f6PwAAAAABEQAEAWUEAAAAAAAAAAAAFAFlBAAAAAAAAAAABAgBZQQAAAAAAAAAAAgMAWUEAAAAAAAAAAAMEAFlBAAAAAAAAAAAEBQBZQQAAAAAAAAAABQYAWUIAAAAAAAAAAAUHAFlCAAAAAAAAAAACCABZQQAAAAAAAAAAAgkAWUEAAAAAAAAAAAkKAFlBAAAAAAAAAAAKCwBZQgIAAAAAAAAACwwAWUEAAAAAAAAAAAwNAFlCAgAAAAAAAAANDgBZQQAAAAAAAAAADgkAWUIDAAAAAAAAAA0PAFlBAAAAAAAAAAAAAAAAA==</t>
        </r>
      </text>
    </comment>
    <comment ref="A1651" authorId="0" shapeId="0" xr:uid="{999BD2A5-25E8-4511-88F3-CE2C407B805C}">
      <text>
        <r>
          <rPr>
            <sz val="9"/>
            <color indexed="81"/>
            <rFont val="MS P ゴシック"/>
            <family val="3"/>
            <charset val="128"/>
          </rPr>
          <t>Insight iXlW00001C0001651R0585476093S00003300P00928LAocjBAQBF1NjaVRlZ2ljLmRhdGEuTW9sZWN1bGUBbwF/ARJTY2lUZWdpYy5Nb2xlY3VsZQAAAQFkAv5qAQAAAAIAAjAYAAAA/PwA/AACAAAAAAAA8L8CTDeJQWDlCUACJzEIrBxa/j8AAAAAHAAAAPz8APwAAgAAAAAAAPC/Auj7qfHSTRJAAvp+arx0kwVAAAAAABgAAAD8/AD8AAIAAAAAAADwvwKMbOf7qfH8PwLqJjEIrBwEQAAAAAAYAAAA/PwA/AACAAAAAAAA8L8Cy6FFtvP96D8CcT0K16Nw9T8AAAAAHAAAAPz8APwAAgAAAAAAAPC/AvLSTWIQWPk/AAAAAAAYAAAA/PwA/AACAAAAAAAA8L8C16NwPQrXCEACZ2ZmZmZm1j8AAAAAGAAAAPz8APwAAgAAAAAAAPC/AqAaL90kBhhAAkSLbOf7qQBAAAAAABwAAAD8/AD8AAIAAAAAAADwvwJU46WbxCAcQAKq8dJNYhAKQAAAAAAYAAAA/PwA/AACAAAAAAAA8L8C7FG4HoXrGEACMQisHFpkEkAAAAAAGAAAAPz8APwAAgAAAAAAAPC/Ag0CK4cW2RJAAsuhRbbz/RBAAAAAABgAAAD8/AD8AAIAAAAAAADwvwK38/3UeGkZQAJrvHSTGATiPwAAAAABEQAAAPz8APwAAgAAAAAAAPC/AAJaZDvfT423PwAAAAAwAAQBZQQAAAAAAAAAAAAIAWUEAAAAAAAAAAAIDAFlBAAAAAAAAAAADBABZQQAAAAAAAAAABAUAWUEAAAAAAAAAAAUAAFlBAAAAAAAAAAABBgBZQQAAAAAAAAAABgcAWUICAAAAAAAAAAcIAFlBAAAAAAAAAAAICQBZQgIAAAAAAAAACQEAWUEAAAAAAAAAAAYKAFlBAAAAAAAAAAAAAAAAA==</t>
        </r>
      </text>
    </comment>
    <comment ref="A1652" authorId="0" shapeId="0" xr:uid="{7E1EB750-773A-4C36-B405-24A1AC63EC5F}">
      <text>
        <r>
          <rPr>
            <sz val="9"/>
            <color indexed="81"/>
            <rFont val="MS P ゴシック"/>
            <family val="3"/>
            <charset val="128"/>
          </rPr>
          <t>Insight iXlW00001C0001652R0585476093S00003302P00996LAocjBAQBF1NjaVRlZ2ljLmRhdGEuTW9sZWN1bGUBbwF/ARJTY2lUZWdpYy5Nb2xlY3VsZQAAAQFkAv5qAQAAAAIAAjQYAAAA/PwA/AACAAAAAAAA8L8CvXSTGARWD0AC1XjpJjEI/j8AAAAAHAAAAPz8APwAAgAAAAAAAPC/ApDC9ShcDxVAArKd76fGSwVAAAAAABgAAAD8/AD8AAIAAAAAAADwvwKMbOf7qfEDQAJ/arx0kxgEQAAAAAAYAAAA/PwA/AACAAAAAAAA8L8C3SQGgZVD9z8CL90kBoGV9T8AAAAAHAAAAPz8APwAAgAAAAAAAPC/Arfz/dR46QFAAAAAAAAYAAAA/PwA/AACAAAAAAAA8L8C6iYxCKwcDkACyXa+nxov1T8AAAAAGAAAAPz8APwAAgAAAAAAAPC/Ao6XbhKDwBpAAj4K16NwPQBAAAAAABwAAAD8/AD8AAIAAAAAAADwvwK38/3UeOkeQAIlBoGVQ4sJQAAAAAAYAAAA/PwA/AACAAAAAAAA8L8CE4PAyqHFG0ACXrpJDAIrEkAAAAAAGAAAAPz8APwAAgAAAAAAAPC/ApQYBFYOrRVAAvLSTWIQ2BBAAAAAABgAAAD8/AD8AAIAAAAAAADwvwLFILByaBEcQAJU46WbxCDgPwAAAAAYAAAA/PwA/AACAAAAAAAA8L8CGy/dJAYBIUACmpmZmZmZmT8AAAAAAREAAAD8/AD8AAIAAAAAAADwvwACcT0K16NwvT8AAAAANAAEAWUEAAAAAAAAAAAACAFlBAAAAAAAAAAACAwBZQQAAAAAAAAAAAwQAWUEAAAAAAAAAAAQFAFlBAAAAAAAAAAAFAABZQQAAAAAAAAAAAQYAWUEAAAAAAAAAAAYHAFlCAgAAAAAAAAAHCABZQQAAAAAAAAAACAkAWUICAAAAAAAAAAkBAFlBAAAAAAAAAAAGCgBZQQAAAAAAAAAACgsAWUEAAAAAAAAAAAAAAAA</t>
        </r>
      </text>
    </comment>
    <comment ref="A1653" authorId="0" shapeId="0" xr:uid="{FDFE5501-BCC8-4AFA-8A74-DB3C6BA36B33}">
      <text>
        <r>
          <rPr>
            <sz val="9"/>
            <color indexed="81"/>
            <rFont val="MS P ゴシック"/>
            <family val="3"/>
            <charset val="128"/>
          </rPr>
          <t>Insight iXlW00001C0001653R0585476093S00003304P01156LAocjBAQBF1NjaVRlZ2ljLmRhdGEuTW9sZWN1bGUBbwF/ARJTY2lUZWdpYy5Nb2xlY3VsZQAAAQFkAv5qAQAAAAIAAjwcAAAA/PwA/AACAAAAAAAA8L8CjGzn+6nx9j8CjpduEoPAAUAAAAAAGAAAAPz8APwAAgAAAAAAAPC/Ane+nxov3fY/AicxCKwcWvY/AAAAABgAAAD8/AD8AAIAAAAAAADwvwK/nxov3SQBQAKG61G4HoXvPwAAAAAYAAAA/PwA/AACAAAAAAAA8L8Cd76fGi/dBkACJzEIrBxa9j8AAAAAGAAAAPz8APwAAgAAAAAAAPC/AtejcD0K1wZAAjiJQWDl0AFAAAAAABgAAAD8/AD8AAIAAAAAAADwvwJU46WbxCABQAIVrkfhehQFQAAAAAAcAAAA/PwA/AACAAAAAAAA8L8CL90kBoGVDEACW2Q730+N7z8AAAAAGAAAAPz8APwAAgAAAAAAAPC/Ah1aZDvfTw1AAhfZzvdT48U/AAAAABgAAAD8/AD8AAIAAAAAAADwvwL8qfHSTeIRQAAAAAAAGAAAAPz8APwAAgAAAAAAAPC/AtV46SYxiBNAArfz/dR46eY/AAAAABgAAAD8/AD8AAIAAAAAAADwvwJSuB6F61ERQAJzaJHtfD/1PwAAAAAgAAAA/PwA/AACAAAAAAAA8L8Cy6FFtvP9EUACFa5H4XoUAUAAAAAAGAAAAPz8APwAAgAAAAAAAPC/AjiJQWDl0OY/AjDdJAaBle8/AAAAACAAAAD8/AD8AAIAAAAAAADwvwACPN9PjZdu9j8AAAAAIAAAAPz8APwAAgAAAAAAAPC/ArkehetRuOY/AiPb+X5qvMQ/AAAAAAEQAAQBZQgIAAAAAAAAAAQIAWUEAAAAAAAAAAAIDAFlCAgAAAAAAAAADBABZQQAAAAAAAAAABAUAWUICAAAAAAAAAAUAAFlBAAAAAAAAAAADBgBZQQAAAAAAAAAABgcAWUEAAAAAAAAAAAcIAFlBAAAAAAAAAAAICQBZQQAAAAAAAAAACQoAWUEAAAAAAAAAAAoGAFlBAAAAAAAAAAAKCwBZQgAAAAAAAAAAAQwAWUEAAAAAAAAAAAwNAFlBAAAAAAAAAAAMDgBZQgAAAAAAAAAAAAAAAA=</t>
        </r>
      </text>
    </comment>
    <comment ref="A1654" authorId="0" shapeId="0" xr:uid="{6B9293FD-4E7B-461A-810A-5513F472DFD6}">
      <text>
        <r>
          <rPr>
            <sz val="9"/>
            <color indexed="81"/>
            <rFont val="MS P ゴシック"/>
            <family val="3"/>
            <charset val="128"/>
          </rPr>
          <t>Insight iXlW00001C0001654R0585476093S00003306P01228LAocjBAQBF1NjaVRlZ2ljLmRhdGEuTW9sZWN1bGUBbwF/ARJTY2lUZWdpYy5Nb2xlY3VsZQAAAQFkAv5qAQAAAAIAAgEQHAAAAPz8APwAAgAAAAAAAPC/Aoxs5/up8fY/Au58PzVeugNAAAAAABgAAAD8/AD8AAIAAAAAAADwvwJ3vp8aL932PwLo+6nx0k36PwAAAAAYAAAA/PwA/AACAAAAAAAA8L8Cv58aL90kAUACg8DKoUW28z8AAAAAGAAAAPz8APwAAgAAAAAAAPC/Ane+nxov3QZAAlK4HoXrUfo/AAAAABgAAAD8/AD8AAIAAAAAAADwvwLXo3A9CtcGQAKYbhKDwMoDQAAAAAAYAAAA/PwA/AACAAAAAAAA8L8CVOOlm8QgAUACdZMYBFYOB0AAAAAAHAAAAPz8APwAAgAAAAAAAPC/Ai/dJAaBlQxAAu58PzVeuvM/AAAAABgAAAD8/AD8AAIAAAAAAADwvwIlBoGVQ4sMQALo+6nx0k3aPwAAAAAYAAAA/PwA/AACAAAAAAAA8L8CBFYOLbIdEUAAAAAAABgAAAD8/AD8AAIAAAAAAADwvwJ7FK5H4foTQAI+CtejcD3aPwAAAAAYAAAA/PwA/AACAAAAAAAA8L8ClkOLbOf7E0ACLbKd76fG8z8AAAAAGAAAAPz8APwAAgAAAAAAAPC/Ah+F61G4HhFAAjzfT42Xbvo/AAAAACAAAAD8/AD8AAIAAAAAAADwvwLP91PjpRsRQAI4iUFg5dADQAAAAAAYAAAA/PwA/AACAAAAAAAA8L8COIlBYOXQ5j8CWDm0yHa+8z8AAAAAIAAAAPz8APwAAgAAAAAAAPC/AAL8qfHSTWL6PwAAAAAgAAAA/PwA/AACAAAAAAAA8L8CuR6F61G45j8ClBgEVg4t2j8AAAAAAREABAFlCAgAAAAAAAAABAgBZQQAAAAAAAAAAAgMAWUICAAAAAAAAAAMEAFlBAAAAAAAAAAAEBQBZQgIAAAAAAAAABQAAWUEAAAAAAAAAAAMGAFlBAAAAAAAAAAAGBwBZQQAAAAAAAAAABgsAWUEAAAAAAAAAAAcIAFlBAAAAAAAAAAAICQBZQQAAAAAAAAAACQoAWUEAAAAAAAAAAAoLAFlBAAAAAAAAAAALDABZQgAAAAAAAAAAAQ0AWUEAAAAAAAAAAA0OAFlBAAAAAAAAAAANDwBZQgAAAAAAAAAAAAAAAA=</t>
        </r>
      </text>
    </comment>
    <comment ref="A1655" authorId="0" shapeId="0" xr:uid="{4DB750F4-0D8A-4C0F-B260-12DFDDBAFEAC}">
      <text>
        <r>
          <rPr>
            <sz val="9"/>
            <color indexed="81"/>
            <rFont val="MS P ゴシック"/>
            <family val="3"/>
            <charset val="128"/>
          </rPr>
          <t>Insight iXlW00001C0001655R0585476093S00003308P01300LAocjBAQBF1NjaVRlZ2ljLmRhdGEuTW9sZWN1bGUBbwF/ARJTY2lUZWdpYy5Nb2xlY3VsZQAAAQFkAv5qAQAAAAIAAgERHAAAAPz8APwAAgAAAAAAAPC/AvYoXI/C9fY/As3MzMzMzAZAAAAAABgAAAD8/AD8AAIAAAAAAADwvwJ3vp8aL932PwLTTWIQWDkAQAAAAAAYAAAA/PwA/AACAAAAAAAA8L8Cv58aL90kAUACQmDl0CLb+T8AAAAAGAAAAPz8APwAAgAAAAAAAPC/Ane+nxov3QZAAgisHFpkOwBAAAAAABgAAAD8/AD8AAIAAAAAAADwvwINAiuHFtkGQAJ3vp8aL90GQAAAAAAYAAAA/PwA/AACAAAAAAAA8L8CVOOlm8QgAUACikFg5dAiCkAAAAAAHAAAAPz8APwAAgAAAAAAAPC/Ai/dJAaBlQxAAhfZzvdT4/k/AAAAABgAAAD8/AD8AAIAAAAAAADwvwIlBoGVQ4sMQAJGtvP91HjpPwAAAAAYAAAA/PwA/AACAAAAAAAA8L8CBFYOLbIdEUAC+n5qvHST2D8AAAAAARAAAAD8/AD8AAIAAAAAAADwvwKWQ4ts5/sTQAKcxCCwcmjpPwAAAAAYAAAA/PwA/AACAAAAAAAA8L8ClkOLbOf7E0AC7FG4HoXr+T8AAAAAGAAAAPz8APwAAgAAAAAAAPC/Ajq0yHa+HxFAAn0/NV66SQBAAAAAACAAAAD8/AD8AAIAAAAAAADwvwIpXI/C9SgXQAJpke18PzXwPwAAAAAgAAAA/PwA/AACAAAAAAAA8L8ChxbZzvfTFEAAAAAAABgAAAD8/AD8AAIAAAAAAADwvwI4iUFg5dDmPwIX2c73U+P5PwAAAAAgAAAA/PwA/AACAAAAAAAA8L8AAt0kBoGVQwBAAAAAACAAAAD8/AD8AAIAAAAAAADwvwKOl24Sg8DmPwLHSzeJQWDpPwAAAAABEgAEAWUICAAAAAAAAAAECAFlBAAAAAAAAAAACAwBZQgIAAAAAAAAAAwQAWUEAAAAAAAAAAAQFAFlCAgAAAAAAAAAFAABZQQAAAAAAAAAAAwYAWUEAAAAAAAAAAAYHAFlBAAAAAAAAAAAGCwBZQQAAAAAAAAAABwgAWUEAAAAAAAAAAAgJAFlBAAAAAAAAAAAJCgBZQQAAAAAAAAAACgsAWUEAAAAAAAAAAAkMAFlCAAAAAAAAAAAJDQBZQgAAAAAAAAAAAQ4AWUEAAAAAAAAAAA4PAFlBAAAAAAAAAAAOAEQAWUIAAAAAAAAAAAAAAAA</t>
        </r>
      </text>
    </comment>
    <comment ref="A1656" authorId="0" shapeId="0" xr:uid="{A4F6BB0E-658C-45DB-AAE4-5C282A38FE3E}">
      <text>
        <r>
          <rPr>
            <sz val="9"/>
            <color indexed="81"/>
            <rFont val="MS P ゴシック"/>
            <family val="3"/>
            <charset val="128"/>
          </rPr>
          <t>Insight iXlW00001C0001656R0585476093S00003310P01816LAocjBAQBF1NjaVRlZ2ljLmRhdGEuTW9sZWN1bGUBbwF/ARJTY2lUZWdpYy5Nb2xlY3VsZQAAAQFkAv5qAQAAAAIAAgEYGAAAAPz8APwAAgAAAAAAAPC/Avp+arx0kxVAAkjhehSuxxJAAAAAABgAAAD8/AD8AAIAAAAAAADwvwKe76fGSzcQQAJGtvP91PgVQAAAAAAcAAAA/PwA/AACAAAAAAAA8L8Cz/dT46WbBUACBoGVQ4vsEkAAAAAAGAAAAPz8APwAAgAAAAAAAPC/AtEi2/l+agVAAgaBlUOLbAlAAAAAABgAAAD8/AD8AAIAAAAAAADwvwLfT42XbhIQQAJANV66SQwDQAAAAAAYAAAA/PwA/AACAAAAAAAA8L8Cu0kMAiuHFUACSgwCK4cWCUAAAAAAGAAAAPz8APwAAgAAAAAAAPC/AhFYObTIdhVAAlpkO99Pjfk/AAAAABgAAAD8/AD8AAIAAAAAAADwvwJ9PzVeukkFQAJANV66SQz6PwAAAAAgAAAA/PwA/AACAAAAAAAA8L8CyXa+nxov9T8CcT0K16NwA0AAAAAAIAAAAPz8APwAAgAAAAAAAPC/An9qvHSTGAVAAvT91HjpJrE/AAAAABgAAAD8/AD8AAIAAAAAAADwvwLD9Shcj8L1PwLqJjEIrBwWQAAAAAAgAAAA/PwA/AACAAAAAAAA8L8Cf2q8dJMY9j8CJzEIrBxaHEAAAAAAIAAAAPz8APwAAgAAAAAAAPC/AAKq8dJNYhATQAAAAAAYAAAA/PwA/AACAAAAAAAA8L8CIbByaJHtBUACgZVDi2xnH0AAAAAAGAAAAPz8APwAAgAAAAAAAPC/ArXIdr6fGgZAAt9PjZdu0iJAAAAAABgAAAD8/AD8AAIAAAAAAADwvwKHFtnO91MQQAKDwMqhRTYcQAAAAAAYAAAA/PwA/AACAAAAAAAA8L8CEVg5tMh2EEACsHJoke08IUAAAAAAGAAAAPz8APwAAgAAAAAAAPC/Arfz/dR46RpAAkw3iUFg5QJAAAAAABgAAAD8/AD8AAIAAAAAAADwvwJMN4lBYCUgQAL2KFyPwvX4PwAAAAAYAAAA/PwA/AACAAAAAAAA8L8CrBxaZDvfIkACZTvfT42XAkAAAAAAGAAAAPz8APwAAgAAAAAAAPC/ApzEILBy6CJAAuomMQisHA9AAAAAABgAAAD8/AD8AAIAAAAAAADwvwKmm8QgsDIgQAJYObTIdr4SQAAAAAAYAAAA/PwA/AACAAAAAAAA8L8CK4cW2c73GkAC8tJNYhBYD0AAAAAAJAAAAPz8APwAAgAAAAAAAPC/AuF6FK5HISBAAAAAAAABGQAEAWUEAAAAAAAAAAAAFAFlBAAAAAAAAAAABAgBZQQAAAAAAAAAAAgMAWUEAAAAAAAAAAAMEAFlBAAAAAAAAAAAEBQBZQQAAAAAAAAAABAYAWUEAAAAAAAAAAAQHAFlBAAAAAAAAAAAHCABZQgAAAAAAAAAABwkAWUEAAAAAAAAAAAIKAFlBAAAAAAAAAAAKCwBZQQAAAAAAAAAACgwAWUIAAAAAAAAAAAsNAFlBAAAAAAAAAAANDgBZQQAAAAAAAAAADQ8AWUEAAAAAAAAAAA0ARABZQQAAAAAAAAAABgBEQFlBAAAAAAAAAAAAREBEgFlCAwAAAAAAAAAARIBEwFlBAAAAAAAAAAAARMBFAFlCAgAAAAAAAAAARQBFQFlBAAAAAAAAAAAARUBFgFlCAgAAAAAAAAAARYBEQFlBAAAAAAAAAAAARIBFwFlBAAAAAAAAAAAAAAAAA==</t>
        </r>
      </text>
    </comment>
    <comment ref="A1657" authorId="0" shapeId="0" xr:uid="{73ED163E-590F-4299-98A4-EC10F3BF40A5}">
      <text>
        <r>
          <rPr>
            <sz val="9"/>
            <color indexed="81"/>
            <rFont val="MS P ゴシック"/>
            <family val="3"/>
            <charset val="128"/>
          </rPr>
          <t>Insight iXlW00001C0001657R0585476093S00003312P00900LAocjBAQBF1NjaVRlZ2ljLmRhdGEuTW9sZWN1bGUBbwF/ARJTY2lUZWdpYy5Nb2xlY3VsZQAAAQFkAv5qAQAAAAIAAjAcAAAA/PwA/AACAAAAAAAA8L8CZ2ZmZmZm+j8AAAAAABgAAAD8/AD8AAIAAAAAAADwvwLNzMzMzMwDQAAAAAAAGAAAAPz8APwAAgAAAAAAAPC/AkJg5dAi2wVAAkoMAiuHFuk/AAAAABwAAAD8/AD8AAIAAAAAAADwvwLm0CLb+X4AQAK9dJMYBFb0PwAAAAAYAAAA/PwA/AACAAAAAAAA8L8CJzEIrBxa9j8CSgwCK4cW6T8AAAAAGAAAAPz8APwAAgAAAAAAAPC/AgRWDi2yneM/Ajq0yHa+n/A/AAAAABwAAAD8/AD8AAIAAAAAAADwvwACtch2vp8a3z8AAAAAGAAAAPz8APwAAgAAAAAAAPC/ArByaJHtfABAAvhT46WbxABAAAAAABgAAAD8/AD8AAIAAAAAAADwvwIzMzMzMzMGQALgT42XbhIEQAAAAAAgAAAA/PwA/AACAAAAAAAA8L8CTDeJQWDlC0ACzczMzMzMAEAAAAAAGAAAAPz8APwAAgAAAAAAAPC/As3MzMzMzBBAAolBYOXQIgRAAAAAAAERAAAA/PwA/AACAAAAAAAA8L8C/Knx0k1i5D8C2c73U+Olmz8AAAAALAAEAWUEAAAAAAAAAAAECAFlCAgAAAAAAAAACAwBZQQAAAAAAAAAAAwQAWUEAAAAAAAAAAAQAAFlCAgAAAAAAAAAEBQBZQQAAAAAAAAAABQYAWUEAAAAAAAAAAAMHAFlBAAAAAAAAAAAHCABZQQAAAAAAAAAACAkAWUEAAAAAAAAAAAkKAFlBAAAAAAAAAAAAAAAAA==</t>
        </r>
      </text>
    </comment>
    <comment ref="A1658" authorId="0" shapeId="0" xr:uid="{4529F850-5DE9-4295-AF56-C8271130C302}">
      <text>
        <r>
          <rPr>
            <sz val="9"/>
            <color indexed="81"/>
            <rFont val="MS P ゴシック"/>
            <family val="3"/>
            <charset val="128"/>
          </rPr>
          <t>Insight iXlW00001C0001658R0585476093S00003314P00900LAocjBAQBF1NjaVRlZ2ljLmRhdGEuTW9sZWN1bGUBbwF/ARJTY2lUZWdpYy5Nb2xlY3VsZQAAAQFkAv5qAQAAAAIAAjAcAAAA/PwA/AACAAAAAAAA8L8CZ2ZmZmZm+j8AAAAAABgAAAD8/AD8AAIAAAAAAADwvwLNzMzMzMwDQAAAAAAAGAAAAPz8APwAAgAAAAAAAPC/AkJg5dAi2wVAAkoMAiuHFuk/AAAAABwAAAD8/AD8AAIAAAAAAADwvwLm0CLb+X4AQAK9dJMYBFb0PwAAAAAYAAAA/PwA/AACAAAAAAAA8L8CJzEIrBxa9j8CSgwCK4cW6T8AAAAAGAAAAPz8APwAAgAAAAAAAPC/AgRWDi2yneM/Ajq0yHa+n/A/AAAAABwAAAD8/AD8AAIAAAAAAADwvwACX7pJDAIr3z8AAAAAGAAAAPz8APwAAgAAAAAAAPC/ArByaJHtfABAAvhT46WbxABAAAAAABgAAAD8/AD8AAIAAAAAAADwvwIzMzMzMzMGQAIVrkfhehQEQAAAAAAYAAAA/PwA/AACAAAAAAAA8L8C7FG4HoXrC0ACYxBYObTIAEAAAAAAGAAAAPz8APwAAgAAAAAAAPC/Av7UeOkmMQZAAq5H4XoUrgpAAAAAAAERAAAA/PwA/AACAAAAAAAA8L8C4noUrkfh6j8CaZHtfD81vj8AAAAALAAEAWUEAAAAAAAAAAAECAFlCAgAAAAAAAAACAwBZQQAAAAAAAAAAAwQAWUEAAAAAAAAAAAQAAFlCAgAAAAAAAAAEBQBZQQAAAAAAAAAABQYAWUEAAAAAAAAAAAMHAFlBAAAAAAAAAAAHCABZQQAAAAAAAAAACAkAWUEAAAAAAAAAAAgKAFlBAAAAAAAAAAAAAAAAA==</t>
        </r>
      </text>
    </comment>
    <comment ref="A1659" authorId="0" shapeId="0" xr:uid="{40845733-CF5D-49C2-BD08-9C5E9D2C3083}">
      <text>
        <r>
          <rPr>
            <sz val="9"/>
            <color indexed="81"/>
            <rFont val="MS P ゴシック"/>
            <family val="3"/>
            <charset val="128"/>
          </rPr>
          <t>Insight iXlW00001C0001659R0585476093S00003316P01284LAocjBAQBF1NjaVRlZ2ljLmRhdGEuTW9sZWN1bGUBbwF/ARJTY2lUZWdpYy5Nb2xlY3VsZQAAAQFkAv5qAQAAAAIAAgERGAAAAPz8APwAAgAAAAAAAPC/Ar10kxgEVvY/Ar+fGi/dJAdAAAAAABgAAAD8/AD8AAIAAAAAAADwvwK9dJMYBFb2PwJQjZduEoMAQAAAAAAYAAAA/PwA/AACAAAAAAAA8L8CF9nO91PjAEACEVg5tMh2+j8AAAAAGAAAAPz8APwAAgAAAAAAAPC/AgRWDi2ynQZAAlCNl24SgwBAAAAAABgAAAD8/AD8AAIAAAAAAADwvwIEVg4tsp0GQAK/nxov3SQHQAAAAAABEAAAAPz8APwAAgAAAAAAAPC/AhfZzvdT4wBAAubQItv5fgpAAAAAACAAAAD8/AD8AAIAAAAAAADwvwJaZDvfT40FQAKe76fGSzcPQAAAAAAgAAAA/PwA/AACAAAAAAAA8L8CE4PAyqFF+D8Cnu+nxks3D0AAAAAAHAAAAPz8APwAAgAAAAAAAPC/AmmR7Xw/NfY/AoGVQ4ts5/M/AAAAABgAAAD8/AD8AAIAAAAAAADwvwJlO99PjZcGQAJt5/up8dLzPwAAAAAYAAAA/PwA/AACAAAAAAAA8L8CJQaBlUOLBkAC5tAi2/l+2j8AAAAAGAAAAPz8APwAAgAAAAAAAPC/Aj4K16NwPQxAAAAAAAAYAAAA/PwA/AACAAAAAAAA8L8ClkOLbOf7EEAClBgEVg4t2j8AAAAAGAAAAPz8APwAAgAAAAAAAPC/ApZDi2zn+xBAAgIrhxbZzvM/AAAAABgAAAD8/AD8AAIAAAAAAADwvwITg8DKoUUMQAL8qfHSTWL6PwAAAAABEQAAAPz8APwAAgAAAAAAAPC/AhODwMqhRQxAAm3n+6nx0gNAAAAAAAERAAAA/PwA/AACAAAAAAAA8L8AAhWuR+F6FOo/AAAAAAERAAQBZQQAAAAAAAAAAAAUAWUEAAAAAAAAAAAECAFlBAAAAAAAAAAACAwBZQQAAAAAAAAAAAwQAWUEAAAAAAAAAAAQFAFlBAAAAAAAAAAAFBgBZQgAAAAAAAAAABQcAWUIAAAAAAAAAAAIIAFlBAAAAAAAAAAACCQBZQQAAAAAAAAAACQoAWUIDAAAAAAAAAAoLAFlBAAAAAAAAAAALDABZQgIAAAAAAAAADA0AWUEAAAAAAAAAAA0OAFlCAgAAAAAAAAAOCQBZQQAAAAAAAAAADg8AWUEAAAAAAAAAAAAAAAA</t>
        </r>
      </text>
    </comment>
    <comment ref="A1660" authorId="0" shapeId="0" xr:uid="{B26CD022-271C-41EB-8045-54D4483A8DE6}">
      <text>
        <r>
          <rPr>
            <sz val="9"/>
            <color indexed="81"/>
            <rFont val="MS P ゴシック"/>
            <family val="3"/>
            <charset val="128"/>
          </rPr>
          <t>Insight iXlW00001C0001660R0585476093S00003318P01372LAocjBAQBF1NjaVRlZ2ljLmRhdGEuTW9sZWN1bGUBbwF/ARJTY2lUZWdpYy5Nb2xlY3VsZQAAAQFkAv5qAQAAAAIAAgESHAAAAPz8APwAAgAAAAAAAPC/AlyPwvUoXPU/AgRWDi2yneM/AAAAABgAAAD8/AD8AAIAAAAAAADwvwJOYhBYObTwPwIpXI/C9Sj2PwAAAAAYAAAA/PwA/AACAAAAAAAA8L8ChetRuB6Fyz8CRrbz/dR49T8AAAAAGAAAAPz8APwAAgAAAAAAAPC/AAJI4XoUrkfhPwAAAAAYAAAA/PwA/AACAAAAAAAA8L8CE4PAyqFF5j8CYxBYObTItj8AAAAAGAAAAPz8APwAAgAAAAAAAPC/AuxRuB6F6/c/ApqZmZmZmQBAAAAAABwAAAD8/AD8AAIAAAAAAADwvwIlBoGVQ4sCQAK38/3UeOkAQAAAAAAYAAAA/PwA/AACAAAAAAAA8L8CE4PAyqFFBEACfT81XrpJB0AAAAAAHAAAAPz8APwAAgAAAAAAAPC/ArFyaJHtfP0/Akw3iUFg5QpAAAAAABwAAAD8/AD8AAIAAAAAAADwvwIzMzMzMzPzPwLD9Shcj8IGQAAAAAAYAAAA/PwA/AACAAAAAAAA8L8CeekmMQisBkACWmQ730+N9z8AAAAAGAAAAPz8APwAAgAAAAAAAPC/AnNoke18PwRAApDC9Shcj+Y/AAAAABgAAAD8/AD8AAIAAAAAAADwvwKS7Xw/NV4IQAJU46WbxCCwPwAAAAAYAAAA/PwA/AACAAAAAAAA8L8CTDeJQWDlDkAC/tR46SYxyD8AAAAAGAAAAPz8APwAAgAAAAAAAPC/AolBYOXQohBAAmMQWDm0yO4/AAAAABgAAAD8/AD8AAIAAAAAAADwvwKKQWDl0CINQAKamZmZmZn5PwAAAAAkAAAA/PwA/AACAAAAAAAA8L8CsXJoke18D0ACjGzn+6nxAkAAAAAAAREAAAD8/AD8AAIAAAAAAADwvwLm0CLb+X7+PwAAAAAAARMABAFlBAAAAAAAAAAABAgBZQQAAAAAAAAAAAgMAWUEAAAAAAAAAAAMEAFlBAAAAAAAAAAAEAABZQQAAAAAAAAAAAQUAWUEAAAAAAAAAAAUGAFlBAAAAAAAAAAAGBwBZQQAAAAAAAAAABwgAWUICAAAAAAAAAAgJAFlBAAAAAAAAAAAJBQBZQgMAAAAAAAAABgoAWUEAAAAAAAAAAAoLAFlCAwAAAAAAAAALDABZQQAAAAAAAAAADA0AWUICAAAAAAAAAA0OAFlBAAAAAAAAAAAODwBZQgIAAAAAAAAADwoAWUEAAAAAAAAAAA8ARABZQQAAAAAAAAAAAAAAAA=</t>
        </r>
      </text>
    </comment>
    <comment ref="A1661" authorId="0" shapeId="0" xr:uid="{417B0A71-E0BA-482B-856A-0091F3EF76EE}">
      <text>
        <r>
          <rPr>
            <sz val="9"/>
            <color indexed="81"/>
            <rFont val="MS P ゴシック"/>
            <family val="3"/>
            <charset val="128"/>
          </rPr>
          <t>Insight iXlW00001C0001661R0585476093S00003320P01372LAocjBAQBF1NjaVRlZ2ljLmRhdGEuTW9sZWN1bGUBbwF/ARJTY2lUZWdpYy5Nb2xlY3VsZQAAAQFkAv5qAQAAAAIAAgESHAAAAPz8APwAAgAAAAAAAPC/AlyPwvUoXPU/AsUgsHJokeE/AAAAABgAAAD8/AD8AAIAAAAAAADwvwLkpZvEILDwPwKKQWDl0CL1PwAAAAAYAAAA/PwA/AACAAAAAAAA8L8ChetRuB6Fyz8CppvEILBy9D8AAAAAGAAAAPz8APwAAgAAAAAAAPC/AAK7SQwCK4fePwAAAAAYAAAA/PwA/AACAAAAAAAA8L8CPgrXo3A95j8CmpmZmZmZmT8AAAAAGAAAAPz8APwAAgAAAAAAAPC/AoGVQ4ts5/c/An9qvHSTGABAAAAAABwAAAD8/AD8AAIAAAAAAADwvwLwp8ZLN4kCQAKcxCCwcmgAQAAAAAAYAAAA/PwA/AACAAAAAAAA8L8C3SQGgZVDBEACLbKd76fGBkAAAAAAHAAAAPz8APwAAgAAAAAAAPC/Aka28/3UeP0/Avyp8dJNYgpAAAAAABwAAAD8/AD8AAIAAAAAAADwvwIzMzMzMzPzPwJzaJHtfD8GQAAAAAAYAAAA/PwA/AACAAAAAAAA8L8CRIts5/upBkACJQaBlUOL9j8AAAAAGAAAAPz8APwAAgAAAAAAAPC/Aj4K16NwPQRAAiUGgZVDi+Q/AAAAABgAAAD8/AD8AAIAAAAAAADwvwKS7Xw/NV4IQAAAAAAAGAAAAPz8APwAAgAAAAAAAPC/AhfZzvdT4w5AAgAAAAAAAMA/AAAAABgAAAD8/AD8AAIAAAAAAADwvwJvEoPAyqEQQAIj2/l+arzsPwAAAAAYAAAA/PwA/AACAAAAAAAA8L8CVOOlm8QgDUACZTvfT42X+D8AAAAAJAAAAPz8APwAAgAAAAAAAPC/AoGVQ4ts5xNAAqabxCCwcvA/AAAAAAERAAAA/PwA/AACAAAAAAAA8L8C001iEFg5AEAC+n5qvHSTqD8AAAAAARMABAFlBAAAAAAAAAAABAgBZQQAAAAAAAAAAAgMAWUEAAAAAAAAAAAMEAFlBAAAAAAAAAAAEAABZQQAAAAAAAAAAAQUAWUEAAAAAAAAAAAUGAFlBAAAAAAAAAAAGBwBZQQAAAAAAAAAABwgAWUICAAAAAAAAAAgJAFlBAAAAAAAAAAAJBQBZQgMAAAAAAAAABgoAWUEAAAAAAAAAAAoLAFlCAwAAAAAAAAALDABZQQAAAAAAAAAADA0AWUICAAAAAAAAAA0OAFlBAAAAAAAAAAAODwBZQgIAAAAAAAAADwoAWUEAAAAAAAAAAA4ARABZQQAAAAAAAAAAAAAAAA=</t>
        </r>
      </text>
    </comment>
    <comment ref="A1662" authorId="0" shapeId="0" xr:uid="{137B042D-CFC3-4A4F-864C-F4D6390C7D00}">
      <text>
        <r>
          <rPr>
            <sz val="9"/>
            <color indexed="81"/>
            <rFont val="MS P ゴシック"/>
            <family val="3"/>
            <charset val="128"/>
          </rPr>
          <t>Insight iXlW00001C0001662R0585476093S00003322P01084LAocjBAQBF1NjaVRlZ2ljLmRhdGEuTW9sZWN1bGUBbwF/ARJTY2lUZWdpYy5Nb2xlY3VsZQAAAQFkAv5qAQAAAAIAAjgYAAAA/PwA/AACAAAAAAAA8L8CokW28/3U9D8Cv58aL90k+D8AAAAAHAAAAPz8APwAAgAAAAAAAPC/Ah+F61G4HgBAAmMQWDm0yP4/AAAAABgAAAD8/AD8AAIAAAAAAADwvwKamZmZmZnhPwKG61G4HoX9PwAAAAAYAAAA/PwA/AACAAAAAAAA8L8AAq5H4XoUrvM/AAAAABwAAAD8/AD8AAIAAAAAAADwvwKQwvUoXI/aPwIlBoGVQ4vgPwAAAAAYAAAA/PwA/AACAAAAAAAA8L8CWmQ730+N8z8Cv58aL90k5j8AAAAAGAAAAPz8APwAAgAAAAAAAPC/Ar+fGi/dJAZAAnE9CtejcPk/AAAAABwAAAD8/AD8AAIAAAAAAADwvwIlBoGVQ4sKQAKkcD0K16MBQAAAAAAYAAAA/PwA/AACAAAAAAAA8L8Cnu+nxks3B0AC8tJNYhBYB0AAAAAAGAAAAPz8APwAAgAAAAAAAPC/AvhT46WbxABAAoxs5/up8QVAAAAAABgAAAD8/AD8AAIAAAAAAADwvwK7SQwCK4cHQAJ1kxgEVg7pPwAAAAAYAAAA/PwA/AACAAAAAAAA8L8ChetRuB6FBUAAAAAAABgAAAD8/AD8AAIAAAAAAADwvwJh5dAi2/kLQAK/nxov3STGPwAAAAABEQAAAPz8APwAAgAAAAAAAPC/An0/NV66Sfw/AkJg5dAi27k/AAAAADwABAFlBAAAAAAAAAAAAAgBZQQAAAAAAAAAAAgMAWUEAAAAAAAAAAAMEAFlBAAAAAAAAAAAEBQBZQQAAAAAAAAAABQAAWUEAAAAAAAAAAAEGAFlBAAAAAAAAAAAGBwBZQgIAAAAAAAAABwgAWUEAAAAAAAAAAAgJAFlCAgAAAAAAAAAJAQBZQQAAAAAAAAAABgoAWUEAAAAAAAAAAAsKAFlBAAAAAAAAAAAMCwBZQQAAAAAAAAAACgwAWUEAAAAAAAAAAAAAAAA</t>
        </r>
      </text>
    </comment>
    <comment ref="A1663" authorId="0" shapeId="0" xr:uid="{4BB702A7-7A1E-41DE-A537-5F0A6D81B777}">
      <text>
        <r>
          <rPr>
            <sz val="9"/>
            <color indexed="81"/>
            <rFont val="MS P ゴシック"/>
            <family val="3"/>
            <charset val="128"/>
          </rPr>
          <t>Insight iXlW00001C0001663R0585476093S00003324P01592LAocjBAQBF1NjaVRlZ2ljLmRhdGEuTW9sZWN1bGUBbwF/ARJTY2lUZWdpYy5Nb2xlY3VsZQAAAQFkAv5qAQAAAAIAAgEVGAAAAPz8APwAAgAAAAAAAPC/AjQzMzMzMxhAAmU730+NlwBAAAAAABgAAAD8/AD8AAIAAAAAAADwvwKuR+F6FC4WQAJnZmZmZmYMQAAAAAAYAAAA/PwA/AACAAAAAAAA8L8C4noUrkfhD0ACaZHtfD81DEAAAAAAHAAAAPz8APwAAgAAAAAAAPC/AjQzMzMzMwxAAkjhehSuRwBAAAAAABgAAAD8/AD8AAIAAAAAAADwvwJpke18PzUTQAJpke18PzXyPwAAAAAYAAAA/PwA/AACAAAAAAAA8L8CmpmZmZkZHkACbef7qfHSBEAAAAAAHAAAAPz8APwAAgAAAAAAAPC/Alg5tMh2vhtAAhsv3SQGgek/AAAAABgAAAD8/AD8AAIAAAAAAADwvwIxCKwcWmQAQAJ7FK5H4Xr4PwAAAAAgAAAA/PwA/AACAAAAAAAA8L8CVg4tsp3v6z8C2/l+arx0BEAAAAAAIAAAAPz8APwAAgAAAAAAAPC/AiuHFtnO9/s/AAAAAAAYAAAA/PwA/AACAAAAAAAA8L8CYxBYObTI8j8C8tJNYhBYEEAAAAAAGAAAAPz8APwAAgAAAAAAAPC/AALb+X5qvHQUQAAAAAAYAAAA/PwA/AACAAAAAAAA8L8CMzMzMzMzBUACku18PzVeEkAAAAAAGAAAAPz8APwAAgAAAAAAAPC/Ahsv3SQGgfc/AlCNl24SgxZAAAAAABgAAAD8/AD8AAIAAAAAAADwvwK5HoXrUTgfQAJANV66SYwQQAAAAAAYAAAA/PwA/AACAAAAAAAA8L8Csp3vp8aLIkACBFYOLbKdEkAAAAAAGAAAAPz8APwAAgAAAAAAAPC/ArTIdr6fGiNAAo6XbhKDwBhAAAAAABgAAAD8/AD8AAIAAAAAAADwvwK5HoXrUbggQAJ9PzVeuskcQAAAAAAYAAAA/PwA/AACAAAAAAAA8L8CJQaBlUOLG0ACKVyPwvWoGkAAAAAAGAAAAPz8APwAAgAAAAAAAPC/Atv5fmq8dBpAAqAaL90khhRAAAAAACQAAAD8/AD8AAIAAAAAAADwvwLsUbgeheskQAJU46WbxCANQAAAAAABFgAEAWUEAAAAAAAAAAAECAFlBAAAAAAAAAAACAwBZQQAAAAAAAAAAAwQAWUEAAAAAAAAAAAQAAFlBAAAAAAAAAAAABQBZQQAAAAAAAAAAAAYAWUEAAAAAAAAAAAMHAFlBAAAAAAAAAAAHCABZQQAAAAAAAAAABwkAWUIAAAAAAAAAAAgKAFlBAAAAAAAAAAAKCwBZQQAAAAAAAAAACgwAWUEAAAAAAAAAAAoNAFlBAAAAAAAAAAAFDgBZQQAAAAAAAAAADg8AWUIDAAAAAAAAAA8ARABZQQAAAAAAAAAAAEQAREBZQgIAAAAAAAAAAERARIBZQQAAAAAAAAAAAESARMBZQgIAAAAAAAAAAETOAFlBAAAAAAAAAAAPAEUAWUEAAAAAAAAAAAAAAAA</t>
        </r>
      </text>
    </comment>
    <comment ref="A1664" authorId="0" shapeId="0" xr:uid="{99B49946-2130-4D69-9552-3C9659967720}">
      <text>
        <r>
          <rPr>
            <sz val="9"/>
            <color indexed="81"/>
            <rFont val="MS P ゴシック"/>
            <family val="3"/>
            <charset val="128"/>
          </rPr>
          <t>Insight iXlW00001C0001664R0585476093S00003326P01596LAocjBAQBF1NjaVRlZ2ljLmRhdGEuTW9sZWN1bGUBbwF/ARJTY2lUZWdpYy5Nb2xlY3VsZQAAAQFkAv5qAQAAAAIAAgEVGAAAAPz8APwAAgAAAAAAAPC/At4kBoGVQxhAAo6XbhKDwABAAAAAABgAAAD8/AD8AAIAAAAAAADwvwKe76fGSzcWQAIlBoGVQ4sMQAAAAAAYAAAA/PwA/AACAAAAAAAA8L8C9ihcj8L1D0ACs53vp8ZLDEAAAAAAHAAAAPz8APwAAgAAAAAAAPC/AogW2c73UwxAAvLSTWIQWABAAAAAABgAAAD8/AD8AAIAAAAAAADwvwJ9PzVeukkTQAIRWDm0yHbyPwAAAAAYAAAA/PwA/AACAAAAAAAA8L8CDy2yne8nHkACC9ejcD0KBUAAAAAAHAAAAPz8APwAAgAAAAAAAPC/Ar10kxgE1htAAhODwMqhReo/AAAAABgAAAD8/AD8AAIAAAAAAADwvwIlBoGVQ4sAQALm0CLb+X74PwAAAAAgAAAA/PwA/AACAAAAAAAA8L8C/Knx0k1i7D8C0SLb+X5qBEAAAAAAIAAAAPz8APwAAgAAAAAAAPC/Avyp8dJNYvw/AAAAAAAYAAAA/PwA/AACAAAAAAAA8L8CTDeJQWDl8j8CvXSTGARWEEAAAAAAGAAAAPz8APwAAgAAAAAAAPC/AALsUbgehWsUQAAAAAAYAAAA/PwA/AACAAAAAAAA8L8CCKwcWmQ7BUAC/Knx0k1iEkAAAAAAGAAAAPz8APwAAgAAAAAAAPC/ArByaJHtfPc/AjZeukkMghZAAAAAABgAAAD8/AD8AAIAAAAAAADwvwIj2/l+ajwfQAJeukkMAqsQQAAAAAAYAAAA/PwA/AACAAAAAAAA8L8C6Pup8dKNIkACqMZLN4nBEkAAAAAAGAAAAPz8APwAAgAAAAAAAPC/AvLSTWIQGCNAAmdmZmZm5hhAAAAAABgAAAD8/AD8AAIAAAAAAADwvwJOYhBYObQgQALRItv5fuocQAAAAAAYAAAA/PwA/AACAAAAAAAA8L8CoBov3SSGG0ACqMZLN4nBGkAAAAAAGAAAAPz8APwAAgAAAAAAAPC/AhFYObTIdhpAAjq0yHa+nxRAAAAAACQAAAD8/AD8AAIAAAAAAADwvwKgGi/dJEYhQALNzMzMzIwhQAAAAAABFgAEAWUEAAAAAAAAAAAECAFlBAAAAAAAAAAACAwBZQQAAAAAAAAAAAwQAWUEAAAAAAAAAAAQAAFlBAAAAAAAAAAAABQBZQQAAAAAAAAAAAAYAWUEAAAAAAAAAAAMHAFlBAAAAAAAAAAAHCABZQQAAAAAAAAAABwkAWUIAAAAAAAAAAAgKAFlBAAAAAAAAAAAKCwBZQQAAAAAAAAAACgwAWUEAAAAAAAAAAAoNAFlBAAAAAAAAAAAFDgBZQQAAAAAAAAAADg8AWUIDAAAAAAAAAA8ARABZQQAAAAAAAAAAAEQAREBZQgIAAAAAAAAAAERARIBZQQAAAAAAAAAAAESARMBZQgIAAAAAAAAAAETOAFlBAAAAAAAAAAAAREBFAFlBAAAAAAAAAAAAAAAAA==</t>
        </r>
      </text>
    </comment>
    <comment ref="A1665" authorId="0" shapeId="0" xr:uid="{DD587C3B-CDC2-4FC7-B55B-14A9EFF8A8E7}">
      <text>
        <r>
          <rPr>
            <sz val="9"/>
            <color indexed="81"/>
            <rFont val="MS P ゴシック"/>
            <family val="3"/>
            <charset val="128"/>
          </rPr>
          <t>Insight iXlW00001C0001665R0585476093S00003328P01668LAocjBAQBF1NjaVRlZ2ljLmRhdGEuTW9sZWN1bGUBbwF/ARJTY2lUZWdpYy5Nb2xlY3VsZQAAAQFkAv5qAQAAAAIAAgEWGAAAAPz8APwAAgAAAAAAAPC/AuBPjZdukhVAAkSLbOf7qRVAAAAAABgAAAD8/AD8AAIAAAAAAADwvwKkcD0K1yMQQAIj2/l+arwYQAAAAAAcAAAA/PwA/AACAAAAAAAA8L8Cz/dT46WbBUACxSCwcmiRFUAAAAAAGAAAAPz8APwAAgAAAAAAAPC/Aq5H4XoUrgVAArkehetRuA5AAAAAABgAAAD8/AD8AAIAAAAAAADwvwITg8DKoUUQQAL6fmq8dJMIQAAAAAAYAAAA/PwA/AACAAAAAAAA8L8CX7pJDAKrFUACDQIrhxbZDkAAAAAAGAAAAPz8APwAAgAAAAAAAPC/AgisHFpkuxVAAiUGgZVDiwJAAAAAABgAAAD8/AD8AAIAAAAAAADwvwLXo3A9CtcFQAIdWmQ7308CQAAAAAAgAAAA/PwA/AACAAAAAAAA8L8CAAAAAAAA9j8CsHJoke18CEAAAAAAIAAAAPz8APwAAgAAAAAAAPC/AoGVQ4ts5wVAAocW2c73U+c/AAAAABgAAAD8/AD8AAIAAAAAAADwvwKwcmiR7Xz1PwKkcD0K16MYQAAAAAAgAAAA/PwA/AACAAAAAAAA8L8CSOF6FK5H9T8C4noUrkfhHkAAAAAAIAAAAPz8APwAAgAAAAAAAPC/AAJGtvP91HgVQAAAAAAYAAAA/PwA/AACAAAAAAAA8L8C/Knx0k1iBUACoBov3SQGIUAAAAAAGAAAAPz8APwAAgAAAAAAAPC/AkjhehSuRwVAAr+fGi/dJCRAAAAAABgAAAD8/AD8AAIAAAAAAADwvwI6tMh2vh8QQAJh5dAi2/keQAAAAAAYAAAA/PwA/AACAAAAAAAA8L8CH4XrUbgeEEACH4XrUbieIkAAAAAAGAAAAPz8APwAAgAAAAAAAPC/Am3n+6nx0hVAAv7UeOkmMeg/AAAAABgAAAD8/AD8AAIAAAAAAADwvwJI4XoUrkcbQAAAAAAAGAAAAPz8APwAAgAAAAAAAPC/AsUgsHJoUSBAAhkEVg4tsuk/AAAAABgAAAD8/AD8AAIAAAAAAADwvwJzaJHtfD8gQAIrhxbZzvcCQAAAAAAYAAAA/PwA/AACAAAAAAAA8L8CC9ejcD0KG0AC9ihcj8L1CEAAAAAAARcABAFlBAAAAAAAAAAAABQBZQQAAAAAAAAAAAQIAWUEAAAAAAAAAAAIDAFlBAAAAAAAAAAADBABZQQAAAAAAAAAABAUAWUEAAAAAAAAAAAQGAFlBAAAAAAAAAAAEBwBZQQAAAAAAAAAABwgAWUIAAAAAAAAAAAcJAFlBAAAAAAAAAAACCgBZQQAAAAAAAAAACgsAWUEAAAAAAAAAAAoMAFlCAAAAAAAAAAALDQBZQQAAAAAAAAAADQ4AWUEAAAAAAAAAAA0PAFlBAAAAAAAAAAANAEQAWUEAAAAAAAAAAAYAREBZQgMAAAAAAAAAAERARIBZQQAAAAAAAAAAAESARMBZQgIAAAAAAAAAAETARQBZQQAAAAAAAAAAAEUARUBZQgIAAAAAAAAAAEVGAFlBAAAAAAAAAAAAAAAAA==</t>
        </r>
      </text>
    </comment>
    <comment ref="A1666" authorId="0" shapeId="0" xr:uid="{B30A2D50-4DBA-4BE6-BB0D-06494455A34C}">
      <text>
        <r>
          <rPr>
            <sz val="9"/>
            <color indexed="81"/>
            <rFont val="MS P ゴシック"/>
            <family val="3"/>
            <charset val="128"/>
          </rPr>
          <t>Insight iXlW00001C0001666R0585476093S00003330P01212LAocjBAQBF1NjaVRlZ2ljLmRhdGEuTW9sZWN1bGUBbwF/ARJTY2lUZWdpYy5Nb2xlY3VsZQAAAQFkAv5qAQAAAAIAAgEQHAAAAPz8APwAAgAAAAAAAPC/AmdmZmZmZvo/AnWTGARWDs0/AAAAABgAAAD8/AD8AAIAAAAAAADwvwLNzMzMzMwDQAJ1kxgEVg7NPwAAAAAYAAAA/PwA/AACAAAAAAAA8L8CQmDl0CLbBUAClBgEVg4t8D8AAAAAHAAAAPz8APwAAgAAAAAAAPC/Ahsv3SQGgQBAAiuHFtnO9/c/AAAAABgAAAD8/AD8AAIAAAAAAADwvwKS7Xw/NV72PwKUGARWDi3wPwAAAAAYAAAA/PwA/AACAAAAAAAA8L8CBFYOLbKd4z8CPgrXo3A99D8AAAAAHAAAAPz8APwAAgAAAAAAAPC/AAI4iUFg5dDmPwAAAAAYAAAA/PwA/AACAAAAAAAA8L8CsHJoke18AEACL90kBoGVAkAAAAAAGAAAAPz8APwAAgAAAAAAAPC/AjMzMzMzMwZAAhfZzvdT4wVAAAAAABgAAAD8/AD8AAIAAAAAAADwvwJMN4lBYOULQAIv3SQGgZUCQAAAAAAYAAAA/PwA/AACAAAAAAAA8L8C6Pup8dLNEEACF9nO91PjBUAAAAAAGAAAAPz8APwAAgAAAAAAAPC/As3MzMzMzBBAAubQItv5fgxAAAAAABgAAAD8/AD8AAIAAAAAAADwvwLXo3A9CtcLQAJjEFg5tMgPQAAAAAAYAAAA/PwA/AACAAAAAAAA8L8C9P3UeOkmBkACEVg5tMh2DEAAAAAAJAAAAPz8APwAAgAAAAAAAPC/AmdmZmZmZgBAAmMQWDm0yA9AAAAAAAERAAAA/PwA/AACAAAAAAAA8L8CPgrXo3A96j8AAAAAAAEQAAQBZQQAAAAAAAAAAAQIAWUICAAAAAAAAAAIDAFlBAAAAAAAAAAADBABZQQAAAAAAAAAABAAAWUICAAAAAAAAAAQFAFlBAAAAAAAAAAAFBgBZQQAAAAAAAAAAAwcAWUEAAAAAAAAAAAcIAFlBAAAAAAAAAAAICQBZQgMAAAAAAAAACQoAWUEAAAAAAAAAAAoLAFlCAgAAAAAAAAALDABZQQAAAAAAAAAADA0AWUICAAAAAAAAAA0IAFlBAAAAAAAAAAANDgBZQQAAAAAAAAAAAAAAAA=</t>
        </r>
      </text>
    </comment>
    <comment ref="A1667" authorId="0" shapeId="0" xr:uid="{1DD8583D-BC70-4B79-8DF6-5657E951E610}">
      <text>
        <r>
          <rPr>
            <sz val="9"/>
            <color indexed="81"/>
            <rFont val="MS P ゴシック"/>
            <family val="3"/>
            <charset val="128"/>
          </rPr>
          <t>Insight iXlW00001C0001667R0585476093S00003332P01212LAocjBAQBF1NjaVRlZ2ljLmRhdGEuTW9sZWN1bGUBbwF/ARJTY2lUZWdpYy5Nb2xlY3VsZQAAAQFkAv5qAQAAAAIAAgEQHAAAAPz8APwAAgAAAAAAAPC/AkjhehSuRwlAAhFYObTIdvY/AAAAABgAAAD8/AD8AAIAAAAAAADwvwLLoUW28/0OQAJYObTIdr7vPwAAAAAYAAAA/PwA/AACAAAAAAAA8L8CQmDl0CJbEkACEVg5tMh29j8AAAAAHAAAAPz8APwAAgAAAAAAAPC/AoPAyqFFNhVAAlg5tMh2vu8/AAAAABgAAAD8/AD8AAIAAAAAAADwvwLHSzeJQWAEQALeJAaBlUPrPwAAAAAYAAAA/PwA/AACAAAAAAAA8L8CdZMYBFYOB0AC8tJNYhBYuT8AAAAAHAAAAPz8APwAAgAAAAAAAPC/Ajq0yHa+nw1AAq5H4XoUrsc/AAAAABgAAAD8/AD8AAIAAAAAAADwvwJlO99PjZcIQAItsp3vp8YBQAAAAAAYAAAA/PwA/AACAAAAAAAA8L8C2/l+arx0AkACiUFg5dAiBEAAAAAAGAAAAPz8APwAAgAAAAAAAPC/AjzfT42XbgFAAg8tsp3vpwpAAAAAABgAAAD8/AD8AAIAAAAAAADwvwIlBoGVQ4v2PwLVeOkmMQgNQAAAAAAYAAAA/PwA/AACAAAAAAAA8L8CJQaBlUOL6D8CF9nO91PjCEAAAAAAGAAAAPz8APwAAgAAAAAAAPC/AqRwPQrXo+w/ApLtfD81XgJAAAAAABgAAAD8/AD8AAIAAAAAAADwvwKkcD0K16P6PwKWQ4ts5/v/PwAAAAAkAAAA/PwA/AACAAAAAAAA8L8AAnNoke18PwtAAAAAAAERAAAA/PwA/AACAAAAAAAA8L8CZTvfT40XE0AAAAAAAAEQAAQBZQQAAAAAAAAAAAQIAWUEAAAAAAAAAAAIDAFlBAAAAAAAAAAAABABZQQAAAAAAAAAABAUAWUICAAAAAAAAAAUGAFlBAAAAAAAAAAAGAQBZQgIAAAAAAAAAAAcAWUEAAAAAAAAAAAcIAFlBAAAAAAAAAAAICQBZQgMAAAAAAAAACQoAWUEAAAAAAAAAAAoLAFlCAgAAAAAAAAALDABZQQAAAAAAAAAADA0AWUICAAAAAAAAAA0IAFlBAAAAAAAAAAALDgBZQQAAAAAAAAAAAAAAAA=</t>
        </r>
      </text>
    </comment>
    <comment ref="A1668" authorId="0" shapeId="0" xr:uid="{E4C64659-D497-4B2E-8F35-FBCE630C0A9B}">
      <text>
        <r>
          <rPr>
            <sz val="9"/>
            <color indexed="81"/>
            <rFont val="MS P ゴシック"/>
            <family val="3"/>
            <charset val="128"/>
          </rPr>
          <t>Insight iXlW00001C0001668R0585476093S00003334P01376LAocjBAQBF1NjaVRlZ2ljLmRhdGEuTW9sZWN1bGUBbwF/ARJTY2lUZWdpYy5Nb2xlY3VsZQAAAQFkAv5qAQAAAAIAAgESGAAAAPz8APwAAgAAAAAAAPC/AopBYOXQIuc/AvT91HjpJgdAAAAAABgAAAD8/AD8AAIAAAAAAADwvwKKQWDl0CLnPwJQjZduEoMAQAAAAAAYAAAA/PwA/AACAAAAAAAA8L8CNl66SQwC9z8CEVg5tMh2+j8AAAAAGAAAAPz8APwAAgAAAAAAAPC/AgisHFpkOwFAAlCNl24SgwBAAAAAABgAAAD8/AD8AAIAAAAAAADwvwIIrBxaZDsBQAL0/dR46SYHQAAAAAABEAAAAPz8APwAAgAAAAAAAPC/AjZeukkMAvc/AubQItv5fgpAAAAAACAAAAD8/AD8AAIAAAAAAADwvwJeukkMAisAQALTTWIQWDkPQAAAAAAgAAAA/PwA/AACAAAAAAAA8L8CNl66SQwC6z8C001iEFg5D0AAAAAAGAAAAPz8APwAAgAAAAAAAPC/Ag0CK4cW2eY/AoGVQ4ts5/M/AAAAACAAAAD8/AD8AAIAAAAAAADwvwACOrTIdr6f+j8AAAAAIAAAAPz8APwAAgAAAAAAAPC/Ag8tsp3vp+Y/ApDC9Shcj9o/AAAAABgAAAD8/AD8AAIAAAAAAADwvwJpke18PzUBQAJt5/up8dLzPwAAAAAYAAAA/PwA/AACAAAAAAAA8L8CKVyPwvUoAUAC5tAi2/l+2j8AAAAAGAAAAPz8APwAAgAAAAAAAPC/Ag0CK4cW2QZAAAAAAAAYAAAA/PwA/AACAAAAAAAA8L8CL90kBoGVDEAClBgEVg4t2j8AAAAAGAAAAPz8APwAAgAAAAAAAPC/Ai/dJAaBlQxAAgIrhxbZzvM/AAAAABgAAAD8/AD8AAIAAAAAAADwvwIX2c73U+MGQAL8qfHSTWL6PwAAAAAkAAAA/PwA/AACAAAAAAAA8L8CF9nO91PjBkACbef7qfHSA0AAAAAAARMABAFlBAAAAAAAAAAAABQBZQQAAAAAAAAAAAQIAWUEAAAAAAAAAAAIDAFlBAAAAAAAAAAADBABZQQAAAAAAAAAABAUAWUEAAAAAAAAAAAUGAFlCAAAAAAAAAAAFBwBZQgAAAAAAAAAAAggAWUEAAAAAAAAAAAgJAFlBAAAAAAAAAAAICgBZQgAAAAAAAAAAAgsAWUEAAAAAAAAAAAsMAFlCAwAAAAAAAAAMDQBZQQAAAAAAAAAADQ4AWUICAAAAAAAAAA4PAFlBAAAAAAAAAAAPAEQAWUICAAAAAAAAAABECwBZQQAAAAAAAAAAAEQAREBZQQAAAAAAAAAAAAAAAA=</t>
        </r>
      </text>
    </comment>
    <comment ref="A1669" authorId="0" shapeId="0" xr:uid="{8894B8E4-BB43-4153-AB4D-369DB075AB25}">
      <text>
        <r>
          <rPr>
            <sz val="9"/>
            <color indexed="81"/>
            <rFont val="MS P ゴシック"/>
            <family val="3"/>
            <charset val="128"/>
          </rPr>
          <t>Insight iXlW00001C0001669R0585476093S00003336P01376LAocjBAQBF1NjaVRlZ2ljLmRhdGEuTW9sZWN1bGUBbwF/ARJTY2lUZWdpYy5Nb2xlY3VsZQAAAQFkAv5qAQAAAAIAAgESGAAAAPz8APwAAgAAAAAAAPC/AopBYOXQIuc/Ar+fGi/dJAdAAAAAABgAAAD8/AD8AAIAAAAAAADwvwKKQWDl0CLnPwJQjZduEoMAQAAAAAAYAAAA/PwA/AACAAAAAAAA8L8CoBov3SQG9z8CEVg5tMh2+j8AAAAAGAAAAPz8APwAAgAAAAAAAPC/AgisHFpkOwFAAlCNl24SgwBAAAAAABgAAAD8/AD8AAIAAAAAAADwvwIIrBxaZDsBQAK/nxov3SQHQAAAAAABEAAAAPz8APwAAgAAAAAAAPC/AqAaL90kBvc/AubQItv5fgpAAAAAACAAAAD8/AD8AAIAAAAAAADwvwJeukkMAisAQAKe76fGSzcPQAAAAAAgAAAA/PwA/AACAAAAAAAA8L8CC9ejcD0K6z8Cnu+nxks3D0AAAAAAGAAAAPz8APwAAgAAAAAAAPC/AuJ6FK5H4eY/AhfZzvdT4/M/AAAAACAAAAD8/AD8AAIAAAAAAADwvwACOrTIdr6f+j8AAAAAIAAAAPz8APwAAgAAAAAAAPC/AuSlm8QgsOY/AubQItv5fto/AAAAABgAAAD8/AD8AAIAAAAAAADwvwJpke18PzUBQAJt5/up8dLzPwAAAAAYAAAA/PwA/AACAAAAAAAA8L8CXrpJDAIrAUAC5tAi2/l+2j8AAAAAGAAAAPz8APwAAgAAAAAAAPC/AkJg5dAi2wZAAAAAAAAYAAAA/PwA/AACAAAAAAAA8L8CL90kBoGVDEAClBgEVg4t2j8AAAAAGAAAAPz8APwAAgAAAAAAAPC/Ai/dJAaBlQxAAgIrhxbZzvM/AAAAABgAAAD8/AD8AAIAAAAAAADwvwIX2c73U+MGQAKS7Xw/NV76PwAAAAAkAAAA/PwA/AACAAAAAAAA8L8Cv58aL90kEUACu0kMAiuH+j8AAAAAARMABAFlBAAAAAAAAAAAABQBZQQAAAAAAAAAAAQIAWUEAAAAAAAAAAAIDAFlBAAAAAAAAAAADBABZQQAAAAAAAAAABAUAWUEAAAAAAAAAAAUGAFlCAAAAAAAAAAAFBwBZQgAAAAAAAAAAAggAWUEAAAAAAAAAAAgJAFlBAAAAAAAAAAAICgBZQgAAAAAAAAAAAgsAWUEAAAAAAAAAAAsMAFlBAAAAAAAAAAAMDQBZQgIAAAAAAAAADQ4AWUEAAAAAAAAAAA4PAFlCAgAAAAAAAAAPAEQAWUEAAAAAAAAAAABECwBZQgMAAAAAAAAADwBEQFlBAAAAAAAAAAAAAAAAA==</t>
        </r>
      </text>
    </comment>
    <comment ref="A1670" authorId="0" shapeId="0" xr:uid="{EF482D4F-FB1E-40CF-8C1D-DEE36B6532C3}">
      <text>
        <r>
          <rPr>
            <sz val="9"/>
            <color indexed="81"/>
            <rFont val="MS P ゴシック"/>
            <family val="3"/>
            <charset val="128"/>
          </rPr>
          <t>Insight iXlW00001C0001670R0585476093S00003338P01348LAocjBAQBF1NjaVRlZ2ljLmRhdGEuTW9sZWN1bGUBbwF/ARJTY2lUZWdpYy5Nb2xlY3VsZQAAAQFkAv5qAQAAAAIAAgESGAAAAPz8APwAAgAAAAAAAPC/AphuEoPAyhRAAsdLN4lBYO0/AAAAABgAAAD8/AD8AAIAAAAAAADwvwKYbhKDwMoUQAKBlUOLbOf7PwAAAAAYAAAA/PwA/AACAAAAAAAA8L8CPN9PjZfuEUACc2iR7Xw/AUAAAAAAGAAAAPz8APwAAgAAAAAAAPC/AvT91HjpJg5AAoGVQ4ts5/s/AAAAABgAAAD8/AD8AAIAAAAAAADwvwL0/dR46SYOQALHSzeJQWDtPwAAAAAYAAAA/PwA/AACAAAAAAAA8L8CPN9PjZfuEUAC/tR46SYx4D8AAAAAGAAAAPz8APwAAgAAAAAAAPC/ArkehetRuAJAAsdLN4lBYO0/AAAAABwAAAD8/AD8AAIAAAAAAADwvwK5HoXrUbgCQAJWDi2yne/7PwAAAAAYAAAA/PwA/AACAAAAAAAA8L8C9ihcj8L1/D8CzczMzMzM+D8AAAAAGAAAAPz8APwAAgAAAAAAAPC/AoGVQ4ts5+8/AlCNl24Sg/Y/AAAAAAEQAAAA/PwA/AACAAAAAAAA8L8C4noUrkfh5j8C001iEFg55D8AAAAAGAAAAPz8APwAAgAAAAAAAPC/AuxRuB6F6/M/AAAAAAAYAAAA/PwA/AACAAAAAAAA8L8CEVg5tMh2AEAC6Pup8dJNwj8AAAAAGAAAAPz8APwAAgAAAAAAAPC/AjzfT42XbghAAv7UeOkmMeA/AAAAACAAAAD8/AD8AAIAAAAAAADwvwKuR+F6FK7HPwAAAAAAIAAAAPz8APwAAgAAAAAAAPC/AAJOYhBYObTwPwAAAAABEQAAAPz8APwAAgAAAAAAAPC/AjzfT42X7hFAAg0CK4cW2QdAAAAAAAERAAAA/PwA/AACAAAAAAAA8L8CgZVDi2zn/T8CrkfhehSuBEAAAAAAARIABAFlCAgAAAAAAAAABAgBZQQAAAAAAAAAAAgMAWUICAAAAAAAAAAMEAFlBAAAAAAAAAAAEBQBZQgIAAAAAAAAABQAAWUEAAAAAAAAAAAYHAFlBAAAAAAAAAAAGCABZQQAAAAAAAAAACAkAWUEAAAAAAAAAAAkKAFlBAAAAAAAAAAAKCwBZQQAAAAAAAAAACwwAWUEAAAAAAAAAAAwGAFlBAAAAAAAAAAAEDQBZQQAAAAAAAAAADQYAWUEAAAAAAAAAAAoOAFlCAAAAAAAAAAAKDwBZQgAAAAAAAAAAAgBEAFlBAAAAAAAAAAAAAAAAA==</t>
        </r>
      </text>
    </comment>
    <comment ref="A1671" authorId="0" shapeId="0" xr:uid="{0F16E452-7E2D-469A-A8AB-5ECCE1B0633F}">
      <text>
        <r>
          <rPr>
            <sz val="9"/>
            <color indexed="81"/>
            <rFont val="MS P ゴシック"/>
            <family val="3"/>
            <charset val="128"/>
          </rPr>
          <t>Insight iXlW00001C0001671R0585476093S00003340P01372LAocjBAQBF1NjaVRlZ2ljLmRhdGEuTW9sZWN1bGUBbwF/ARJTY2lUZWdpYy5Nb2xlY3VsZQAAAQFkAv5qAQAAAAIAAgESHAAAAPz8APwAAgAAAAAAAPC/AlyPwvUoXPU/AnWTGARWDvE/AAAAABgAAAD8/AD8AAIAAAAAAADwvwLkpZvEILDwPwKcxCCwcmj9PwAAAAAYAAAA/PwA/AACAAAAAAAA8L8ChetRuB6Fyz8CuR6F61G4/D8AAAAAGAAAAPz8APwAAgAAAAAAAPC/AAICK4cW2c7vPwAAAAAYAAAA/PwA/AACAAAAAAAA8L8CPgrXo3A95j8C8tJNYhBY4T8AAAAAGAAAAPz8APwAAgAAAAAAAPC/AuxRuB6F6/c/AtNNYhBYOQRAAAAAABwAAAD8/AD8AAIAAAAAAADwvwIlBoGVQ4sCQAIlBoGVQ4sEQAAAAAAYAAAA/PwA/AACAAAAAAAA8L8C3SQGgZVDBEACt/P91HjpCkAAAAAAHAAAAPz8APwAAgAAAAAAAPC/ArFyaJHtfP0/AobrUbgehQ5AAAAAABwAAAD8/AD8AAIAAAAAAADwvwIzMzMzMzPzPwL8qfHSTWIKQAAAAAAYAAAA/PwA/AACAAAAAAAA8L8CeekmMQisBkACzczMzMzM/j8AAAAAGAAAAPz8APwAAgAAAAAAAPC/AnNoke18PwRAArtJDAIrh/I/AAAAABgAAAD8/AD8AAIAAAAAAADwvwKS7Xw/NV4IQAJQjZduEoPgPwAAAAAYAAAA/PwA/AACAAAAAAAA8L8CF9nO91PjDkACJQaBlUOL5D8AAAAAGAAAAPz8APwAAgAAAAAAAPC/AolBYOXQohBAAqRwPQrXo/Y/AAAAABgAAAD8/AD8AAIAAAAAAADwvwJU46WbxCANQAI830+Nl24AQAAAAAAkAAAA/PwA/AACAAAAAAAA8L8Ca7x0kxiEEUAAAAAAAAERAAAA/PwA/AACAAAAAAAA8L8CwcqhRbbz/z8CzczMzMzMzD8AAAAAARMABAFlBAAAAAAAAAAABAgBZQQAAAAAAAAAAAgMAWUEAAAAAAAAAAAMEAFlBAAAAAAAAAAAEAABZQQAAAAAAAAAAAQUAWUEAAAAAAAAAAAUGAFlBAAAAAAAAAAAGBwBZQQAAAAAAAAAABwgAWUICAAAAAAAAAAgJAFlBAAAAAAAAAAAJBQBZQgMAAAAAAAAABgoAWUEAAAAAAAAAAAoLAFlCAwAAAAAAAAALDABZQQAAAAAAAAAADA0AWUICAAAAAAAAAA0OAFlBAAAAAAAAAAAODwBZQgIAAAAAAAAADwoAWUEAAAAAAAAAAA0ARABZQQAAAAAAAAAAAAAAAA=</t>
        </r>
      </text>
    </comment>
    <comment ref="A1672" authorId="0" shapeId="0" xr:uid="{1EDFEEA7-BB6E-423D-9544-4C93BA7A244F}">
      <text>
        <r>
          <rPr>
            <sz val="9"/>
            <color indexed="81"/>
            <rFont val="MS P ゴシック"/>
            <family val="3"/>
            <charset val="128"/>
          </rPr>
          <t>Insight iXlW00001C0001672R0585476093S00003342P00916LAocjBAQBF1NjaVRlZ2ljLmRhdGEuTW9sZWN1bGUBbwF/ARJTY2lUZWdpYy5Nb2xlY3VsZQAAAQFkAv5qAQAAAAIAAjAcAAAA/PwA/AACAAAAAAAA8L8CZ2ZmZmZm+j8AAAAAABgAAAD8/AD8AAIAAAAAAADwvwLNzMzMzMwDQAAAAAAAGAAAAPz8APwAAgAAAAAAAPC/AkJg5dAi2wVAAkoMAiuHFuk/AAAAABwAAAD8/AD8AAIAAAAAAADwvwIbL90kBoEAQAJSuB6F61H0PwAAAAAYAAAA/PwA/AACAAAAAAAA8L8CJzEIrBxa9j8CSgwCK4cW6T8AAAAAGAAAAPz8APwAAgAAAAAAAPC/AgRWDi2yneM/As/3U+Olm/A/AAAAABwAAAD8/AD8AAIAAAAAAADwvwACtch2vp8a3z8AAAAAGAAAAPz8APwAAgAAAAAAAPC/ArByaJHtfABAAsP1KFyPwgBAAAAAABgAAAD8/AD8AAIAAAAAAADwvwIzMzMzMzMGQALgT42XbhIEQAAAAAAYAAAA/PwA/AACAAAAAAAA8L8CzczMzMzMDEAC6iYxCKwcBEAAAAAAGAAAAPz8APwAAgAAAAAAAPC/ArByaJHtfAlAAjiJQWDl0AlAAAAAAAERAAAA/PwA/AACAAAAAAAA8L8CuR6F61G43j8CHVpkO99P+z8AAAAAMAAEAWUEAAAAAAAAAAAECAFlCAgAAAAAAAAACAwBZQQAAAAAAAAAAAwQAWUEAAAAAAAAAAAQAAFlCAgAAAAAAAAAEBQBZQQAAAAAAAAAABQYAWUEAAAAAAAAAAAMHAFlBAAAAAAAAAAAHCABZQQAAAAAAAAAACQgAWUEAAAAAAAAAAAoJAFlBAAAAAAAAAAAICgBZQQAAAAAAAAAAAAAAAA=</t>
        </r>
      </text>
    </comment>
    <comment ref="A1673" authorId="0" shapeId="0" xr:uid="{24D1C1AC-EF24-4634-BA15-F3C72273FD93}">
      <text>
        <r>
          <rPr>
            <sz val="9"/>
            <color indexed="81"/>
            <rFont val="MS P ゴシック"/>
            <family val="3"/>
            <charset val="128"/>
          </rPr>
          <t>Insight iXlW00001C0001673R0585476093S00003344P00988LAocjBAQBF1NjaVRlZ2ljLmRhdGEuTW9sZWN1bGUBbwF/ARJTY2lUZWdpYy5Nb2xlY3VsZQAAAQFkAv5qAQAAAAIAAjQcAAAA/PwA/AACAAAAAAAA8L8CZ2ZmZmZm+j8AAAAAABgAAAD8/AD8AAIAAAAAAADwvwLNzMzMzMwDQAAAAAAAGAAAAPz8APwAAgAAAAAAAPC/AkJg5dAi2wVAAkoMAiuHFuk/AAAAABwAAAD8/AD8AAIAAAAAAADwvwLm0CLb+X4AQAJSuB6F61H0PwAAAAAYAAAA/PwA/AACAAAAAAAA8L8CJzEIrBxa9j8CSgwCK4cW6T8AAAAAGAAAAPz8APwAAgAAAAAAAPC/AgRWDi2yneM/As/3U+Olm/A/AAAAABwAAAD8/AD8AAIAAAAAAADwvwACtch2vp8a3z8AAAAAGAAAAPz8APwAAgAAAAAAAPC/ArByaJHtfABAAsP1KFyPwgBAAAAAABgAAAD8/AD8AAIAAAAAAADwvwIzMzMzMzMGQALgT42XbhIEQAAAAAAYAAAA/PwA/AACAAAAAAAA8L8CL90kBoGVDEACku18PzVeAkAAAAAAGAAAAPz8APwAAgAAAAAAAPC/An0/NV66SQ5AAlg5tMh2vghAAAAAABgAAAD8/AD8AAIAAAAAAADwvwKBlUOLbOcHQAKmm8QgsHIKQAAAAAABEQAAAPz8APwAAgAAAAAAAPC/AicxCKwcWuQ/AicxCKwcWv4/AAAAADQABAFlBAAAAAAAAAAABAgBZQgIAAAAAAAAAAgMAWUEAAAAAAAAAAAMEAFlBAAAAAAAAAAAEAABZQgIAAAAAAAAABAUAWUEAAAAAAAAAAAUGAFlBAAAAAAAAAAADBwBZQQAAAAAAAAAABwgAWUEAAAAAAAAAAAgJAFlBAAAAAAAAAAAJCgBZQQAAAAAAAAAACgsAWUEAAAAAAAAAAAsIAFlBAAAAAAAAAAAAAAAAA==</t>
        </r>
      </text>
    </comment>
    <comment ref="A1674" authorId="0" shapeId="0" xr:uid="{BA7C20CF-7D70-409E-BF0C-88C2A909C722}">
      <text>
        <r>
          <rPr>
            <sz val="9"/>
            <color indexed="81"/>
            <rFont val="MS P ゴシック"/>
            <family val="3"/>
            <charset val="128"/>
          </rPr>
          <t>Insight iXlW00001C0001674R0585476093S00003346P00828LAocjBAQBF1NjaVRlZ2ljLmRhdGEuTW9sZWN1bGUBbwF/ARJTY2lUZWdpYy5Nb2xlY3VsZQAAAQFkAv5qAQAAAAIAAiwcAAAA/PwA/AACAAAAAAAA8L8CZ2ZmZmZm+j8AAAAAABgAAAD8/AD8AAIAAAAAAADwvwLNzMzMzMwDQAAAAAAAGAAAAPz8APwAAgAAAAAAAPC/Ag0CK4cW2QVAAkoMAiuHFuk/AAAAABwAAAD8/AD8AAIAAAAAAADwvwLm0CLb+X4AQAK9dJMYBFb0PwAAAAAYAAAA/PwA/AACAAAAAAAA8L8CJzEIrBxa9j8CSgwCK4cW6T8AAAAAGAAAAPz8APwAAgAAAAAAAPC/Ai/dJAaBleM/Ajq0yHa+n/A/AAAAABwAAAD8/AD8AAIAAAAAAADwvwACX7pJDAIr3z8AAAAAGAAAAPz8APwAAgAAAAAAAPC/ArByaJHtfABAAvhT46WbxABAAAAAABgAAAD8/AD8AAIAAAAAAADwvwIzMzMzMzMGQAIVrkfhehQEQAAAAAAYAAAA/PwA/AACAAAAAAAA8L8C8KfGSzeJ9T8CqvHSTWIQBEAAAAAAAREAAAD8/AD8AAIAAAAAAADwvwKF61G4HoXLPwIVrkfhehT6PwAAAAAoAAQBZQQAAAAAAAAAAAQIAWUICAAAAAAAAAAIDAFlBAAAAAAAAAAADBABZQQAAAAAAAAAABAAAWUICAAAAAAAAAAQFAFlBAAAAAAAAAAAFBgBZQQAAAAAAAAAAAwcAWUEAAAAAAAAAAAcIAFlBAAAAAAAAAAAHCQBZQQAAAAAAAAAAAAAAAA=</t>
        </r>
      </text>
    </comment>
    <comment ref="A1675" authorId="0" shapeId="0" xr:uid="{F67244EE-20CF-4AEA-896A-03CACB990D25}">
      <text>
        <r>
          <rPr>
            <sz val="9"/>
            <color indexed="81"/>
            <rFont val="MS P ゴシック"/>
            <family val="3"/>
            <charset val="128"/>
          </rPr>
          <t>Insight iXlW00001C0001675R0585476093S00003348P01356LAocjBAQBF1NjaVRlZ2ljLmRhdGEuTW9sZWN1bGUBbwF/ARJTY2lUZWdpYy5Nb2xlY3VsZQAAAQFkAv5qAQAAAAIAAgESGAAAAPz8APwAAgAAAAAAAPC/AhfZzvdT4wFAArfz/dR46QxAAAAAABgAAAD8/AD8AAIAAAAAAADwvwL2KFyPwvUIQAIv3SQGgZUCQAAAAAAYAAAA/PwA/AACAAAAAAAA8L8CaZHtfD+1EkACkML1KFyPA0AAAAAAGAAAAPz8APwAAgAAAAAAAPC/AoGVQ4tsZxVAAg0CK4cW2Q5AAAAAABgAAAD8/AD8AAIAAAAAAADwvwJt5/up8dIRQAJ/arx0k5gUQAAAAAAYAAAA/PwA/AACAAAAAAAA8L8CCawcWmQ7B0ACFa5H4XoUFEAAAAAAGAAAAPz8APwAAgAAAAAAAPC/AphuEoPAyuU/AlYOLbKd7wtAAAAAABwAAAD8/AD8AAIAAAAAAADwvwACGQRWDi2yAEAAAAAAIAAAAPz8APwAAgAAAAAAAPC/Ajq0yHa+nxtAAg0CK4cW2Q9AAAAAABgAAAD8/AD8AAIAAAAAAADwvwLqJjEIrBwfQAJQjZduEoMFQAAAAAAgAAAA/PwA/AACAAAAAAAA8L8C5tAi2/l+FEACI9v5fmo8GkAAAAAAGAAAAPz8APwAAgAAAAAAAPC/AoPAyqFFthpAAlg5tMh2vhpAAAAAABgAAAD8/AD8AAIAAAAAAADwvwKS7Xw/NV4cQAI6tMh2vp/0PwAAAAAYAAAA/PwA/AACAAAAAAAA8L8CvXSTGATWH0AAAAAAACAAAAD8/AD8AAIAAAAAAADwvwK7SQwCKwcjQALqJjEIrBy6PwAAAAAYAAAA/PwA/AACAAAAAAAA8L8C9P3UeOlmJEACQDVeukkM+D8AAAAAGAAAAPz8APwAAgAAAAAAAPC/Arfz/dR4qSJAAjzfT42XbgZAAAAAAAERAAAA/PwA/AACAAAAAAAA8L8CgZVDi2znA0AC4E+Nl24S5z8AAAAAARIABAFlCAgAAAAAAAAABAgBZQQAAAAAAAAAAAgMAWUICAAAAAAAAAAMEAFlBAAAAAAAAAAAEBQBZQgIAAAAAAAAABQAAWUEAAAAAAAAAAAAGAFlBAAAAAAAAAAAGBwBZQQAAAAAAAAAAAwgAWUEAAAAAAAAAAAgJAFlBAAAAAAAAAAAECgBZQQAAAAAAAAAACgsAWUEAAAAAAAAAAAkMAFlBAAAAAAAAAAAJAEQAWUEAAAAAAAAAAAwNAFlBAAAAAAAAAAANDgBZQQAAAAAAAAAADg8AWUEAAAAAAAAAAA8ARABZQQAAAAAAAAAAAAAAAA=</t>
        </r>
      </text>
    </comment>
    <comment ref="A1676" authorId="0" shapeId="0" xr:uid="{D5DC4399-CA67-4C13-80AF-EF45CEFFC3B6}">
      <text>
        <r>
          <rPr>
            <sz val="9"/>
            <color indexed="81"/>
            <rFont val="MS P ゴシック"/>
            <family val="3"/>
            <charset val="128"/>
          </rPr>
          <t>Insight iXlW00001C0001676R0585476093S00003350P01156LAocjBAQBF1NjaVRlZ2ljLmRhdGEuTW9sZWN1bGUBbwF/ARJTY2lUZWdpYy5Nb2xlY3VsZQAAAQFkAv5qAQAAAAIAAjwYAAAA/PwA/AACAAAAAAAA8L8CjGzn+6nx9j8CjpduEoPAAUAAAAAAGAAAAPz8APwAAgAAAAAAAPC/Ane+nxov3fY/AicxCKwcWvY/AAAAABwAAAD8/AD8AAIAAAAAAADwvwK/nxov3SQBQAKG61G4HoXvPwAAAAAYAAAA/PwA/AACAAAAAAAA8L8Cd76fGi/dBkACJzEIrBxa9j8AAAAAGAAAAPz8APwAAgAAAAAAAPC/AtejcD0K1wZAAjiJQWDl0AFAAAAAABgAAAD8/AD8AAIAAAAAAADwvwJU46WbxCABQAIVrkfhehQFQAAAAAAcAAAA/PwA/AACAAAAAAAA8L8CL90kBoGVDEACW2Q730+N7z8AAAAAGAAAAPz8APwAAgAAAAAAAPC/Ah1aZDvfTw1AAhfZzvdT48U/AAAAABgAAAD8/AD8AAIAAAAAAADwvwL8qfHSTeIRQAAAAAAAGAAAAPz8APwAAgAAAAAAAPC/AtV46SYxiBNAArfz/dR46eY/AAAAABgAAAD8/AD8AAIAAAAAAADwvwJSuB6F61ERQAJzaJHtfD/1PwAAAAAgAAAA/PwA/AACAAAAAAAA8L8Cy6FFtvP9EUACFa5H4XoUAUAAAAAAGAAAAPz8APwAAgAAAAAAAPC/AjiJQWDl0OY/AjDdJAaBle8/AAAAACAAAAD8/AD8AAIAAAAAAADwvwACPN9PjZdu9j8AAAAAIAAAAPz8APwAAgAAAAAAAPC/ArkehetRuOY/AiPb+X5qvMQ/AAAAAAEQAAQBZQgIAAAAAAAAAAQIAWUEAAAAAAAAAAAIDAFlCAgAAAAAAAAADBABZQQAAAAAAAAAABAUAWUICAAAAAAAAAAUAAFlBAAAAAAAAAAADBgBZQQAAAAAAAAAABgcAWUEAAAAAAAAAAAcIAFlBAAAAAAAAAAAICQBZQQAAAAAAAAAACQoAWUEAAAAAAAAAAAoGAFlBAAAAAAAAAAAKCwBZQgAAAAAAAAAAAQwAWUEAAAAAAAAAAAwNAFlBAAAAAAAAAAAMDgBZQgAAAAAAAAAAAAAAAA=</t>
        </r>
      </text>
    </comment>
    <comment ref="A1677" authorId="0" shapeId="0" xr:uid="{9C4A19B5-D432-48CD-938D-54CDC2756D9D}">
      <text>
        <r>
          <rPr>
            <sz val="9"/>
            <color indexed="81"/>
            <rFont val="MS P ゴシック"/>
            <family val="3"/>
            <charset val="128"/>
          </rPr>
          <t>Insight iXlW00001C0001677R0585476093S00003352P01300LAocjBAQBF1NjaVRlZ2ljLmRhdGEuTW9sZWN1bGUBbwF/ARJTY2lUZWdpYy5Nb2xlY3VsZQAAAQFkAv5qAQAAAAIAAgERGAAAAPz8APwAAgAAAAAAAPC/Aoxs5/up8fY/AvYoXI/C9QRAAAAAABgAAAD8/AD8AAIAAAAAAADwvwJ3vp8aL932PwJjEFg5tMj8PwAAAAAcAAAA/PwA/AACAAAAAAAA8L8Cv58aL90kAUAClBgEVg4t9j8AAAAAGAAAAPz8APwAAgAAAAAAAPC/Ane+nxov3QZAAmMQWDm0yPw/AAAAABgAAAD8/AD8AAIAAAAAAADwvwLXo3A9CtcGQAKgGi/dJAYFQAAAAAAYAAAA/PwA/AACAAAAAAAA8L8CVOOlm8QgAUACs53vp8ZLCEAAAAAAHAAAAPz8APwAAgAAAAAAAPC/Ai/dJAaBlQxAAmmR7Xw/NfY/AAAAABgAAAD8/AD8AAIAAAAAAADwvwIbL90kBgERQAJbZDvfT439PwAAAAAYAAAA/PwA/AACAAAAAAAA8L8CXrpJDAIrFEACGQRWDi2y+T8AAAAAGAAAAPz8APwAAgAAAAAAAPC/ArXIdr6fGgxAAhfZzvdT4+E/AAAAABgAAAD8/AD8AAIAAAAAAADwvwIxCKwcWmQVQAKMbOf7qfHqPwAAAAAYAAAA/PwA/AACAAAAAAAA8L8ClkOLbOd7EEAAAAAAABgAAAD8/AD8AAIAAAAAAADwvwJzaJHtfL8TQAL8qfHSTWLAPwAAAAAgAAAA/PwA/AACAAAAAAAA8L8CNV66SQyCEEAC6Pup8dJNBUAAAAAAGAAAAPz8APwAAgAAAAAAAPC/AjiJQWDl0OY/AmmR7Xw/NfY/AAAAACAAAAD8/AD8AAIAAAAAAADwvwACDQIrhxbZ/D8AAAAAIAAAAPz8APwAAgAAAAAAAPC/Ao6XbhKDwOY/Amu8dJMYBOI/AAAAAAESAAQBZQgIAAAAAAAAAAQIAWUEAAAAAAAAAAAIDAFlCAgAAAAAAAAADBABZQQAAAAAAAAAABAUAWUICAAAAAAAAAAUAAFlBAAAAAAAAAAADBgBZQQAAAAAAAAAABgcAWUEAAAAAAAAAAAcIAFlBAAAAAAAAAAAGCQBZQQAAAAAAAAAACAoAWUEAAAAAAAAAAAkLAFlBAAAAAAAAAAAKDABZQQAAAAAAAAAACwwAWUEAAAAAAAAAAAcNAFlCAAAAAAAAAAABDgBZQQAAAAAAAAAADg8AWUEAAAAAAAAAAA4ARABZQgAAAAAAAAAAAAAAAA=</t>
        </r>
      </text>
    </comment>
    <comment ref="A1678" authorId="0" shapeId="0" xr:uid="{5F0E9E1C-1FD3-4865-95AF-A7B992D19D42}">
      <text>
        <r>
          <rPr>
            <sz val="9"/>
            <color indexed="81"/>
            <rFont val="MS P ゴシック"/>
            <family val="3"/>
            <charset val="128"/>
          </rPr>
          <t>Insight iXlW00001C0001678R0585476093S00003354P01300LAocjBAQBF1NjaVRlZ2ljLmRhdGEuTW9sZWN1bGUBbwF/ARJTY2lUZWdpYy5Nb2xlY3VsZQAAAQFkAv5qAQAAAAIAAgERHAAAAPz8APwAAgAAAAAAAPC/Aoxs5/up8fY/AvYoXI/C9QRAAAAAABgAAAD8/AD8AAIAAAAAAADwvwJ3vp8aL932PwJjEFg5tMj8PwAAAAAYAAAA/PwA/AACAAAAAAAA8L8Cv58aL90kAUAClBgEVg4t9j8AAAAAGAAAAPz8APwAAgAAAAAAAPC/Ane+nxov3QZAAmMQWDm0yPw/AAAAABgAAAD8/AD8AAIAAAAAAADwvwLXo3A9CtcGQAKgGi/dJAYFQAAAAAAYAAAA/PwA/AACAAAAAAAA8L8CVOOlm8QgAUACs53vp8ZLCEAAAAAAHAAAAPz8APwAAgAAAAAAAPC/Ai/dJAaBlQxAAmmR7Xw/NfY/AAAAABgAAAD8/AD8AAIAAAAAAADwvwIbL90kBgERQAJbZDvfT439PwAAAAAYAAAA/PwA/AACAAAAAAAA8L8CXrpJDAIrFEACGQRWDi2y+T8AAAAAGAAAAPz8APwAAgAAAAAAAPC/ArXIdr6fGgxAAhfZzvdT4+E/AAAAABgAAAD8/AD8AAIAAAAAAADwvwIxCKwcWmQVQAKMbOf7qfHqPwAAAAAYAAAA/PwA/AACAAAAAAAA8L8ClkOLbOd7EEAAAAAAABgAAAD8/AD8AAIAAAAAAADwvwJzaJHtfL8TQAL8qfHSTWLAPwAAAAAgAAAA/PwA/AACAAAAAAAA8L8CNV66SQyCEEAC6Pup8dJNBUAAAAAAGAAAAPz8APwAAgAAAAAAAPC/AjiJQWDl0OY/AmmR7Xw/NfY/AAAAACAAAAD8/AD8AAIAAAAAAADwvwACDQIrhxbZ/D8AAAAAIAAAAPz8APwAAgAAAAAAAPC/Ao6XbhKDwOY/Amu8dJMYBOI/AAAAAAESAAQBZQgIAAAAAAAAAAQIAWUEAAAAAAAAAAAIDAFlCAgAAAAAAAAADBABZQQAAAAAAAAAABAUAWUICAAAAAAAAAAUAAFlBAAAAAAAAAAADBgBZQQAAAAAAAAAABgcAWUEAAAAAAAAAAAcIAFlBAAAAAAAAAAAGCQBZQQAAAAAAAAAACAoAWUEAAAAAAAAAAAkLAFlBAAAAAAAAAAAKDABZQQAAAAAAAAAACwwAWUEAAAAAAAAAAAcNAFlCAAAAAAAAAAABDgBZQQAAAAAAAAAADg8AWUEAAAAAAAAAAA4ARABZQgAAAAAAAAAAAAAAAA=</t>
        </r>
      </text>
    </comment>
    <comment ref="A1679" authorId="0" shapeId="0" xr:uid="{F8CC22B4-2EA0-43B7-A97A-09E6F11C6C46}">
      <text>
        <r>
          <rPr>
            <sz val="9"/>
            <color indexed="81"/>
            <rFont val="MS P ゴシック"/>
            <family val="3"/>
            <charset val="128"/>
          </rPr>
          <t>Insight iXlW00001C0001679R0585476093S00003356P00916LAocjBAQBF1NjaVRlZ2ljLmRhdGEuTW9sZWN1bGUBbwF/ARJTY2lUZWdpYy5Nb2xlY3VsZQAAAQFkAv5qAQAAAAIAAjAcAAAA/PwA/AACAAAAAAAA8L8CZ2ZmZmZm+j8AAAAAABgAAAD8/AD8AAIAAAAAAADwvwLNzMzMzMwDQAAAAAAAGAAAAPz8APwAAgAAAAAAAPC/AkJg5dAi2wVAAkoMAiuHFuk/AAAAABwAAAD8/AD8AAIAAAAAAADwvwIbL90kBoEAQAK9dJMYBFb0PwAAAAAYAAAA/PwA/AACAAAAAAAA8L8Cku18PzVe9j8CSgwCK4cW6T8AAAAAGAAAAPz8APwAAgAAAAAAAPC/AgRWDi2yneM/Ajq0yHa+n/A/AAAAABwAAAD8/AD8AAIAAAAAAADwvwACtch2vp8a3z8AAAAAGAAAAPz8APwAAgAAAAAAAPC/AubQItv5fgBAAvhT46WbxABAAAAAABgAAAD8/AD8AAIAAAAAAADwvwJeukkMAisFQAIGgZVDi2wFQAAAAAAYAAAA/PwA/AACAAAAAAAA8L8C5tAi2/l+AEACFa5H4XoUCkAAAAAAGAAAAPz8APwAAgAAAAAAAPC/Aq5H4XoUrvc/ApzEILByaAVAAAAAAAERAAAA/PwA/AACAAAAAAAA8L8CTDeJQWDlsD8CAAAAAAAA/j8AAAAAMAAEAWUEAAAAAAAAAAAECAFlCAgAAAAAAAAACAwBZQQAAAAAAAAAAAwQAWUEAAAAAAAAAAAQAAFlCAgAAAAAAAAAEBQBZQQAAAAAAAAAABQYAWUEAAAAAAAAAAAMHAFlBAAAAAAAAAAAHCABZQQAAAAAAAAAACAkAWUEAAAAAAAAAAAkKAFlBAAAAAAAAAAAKBwBZQQAAAAAAAAAAAAAAAA=</t>
        </r>
      </text>
    </comment>
    <comment ref="A1680" authorId="0" shapeId="0" xr:uid="{CD8D91EE-3DA0-4CC9-BFF4-D4B574722227}">
      <text>
        <r>
          <rPr>
            <sz val="9"/>
            <color indexed="81"/>
            <rFont val="MS P ゴシック"/>
            <family val="3"/>
            <charset val="128"/>
          </rPr>
          <t>Insight iXlW00001C0001680R0585476093S00003358P01200LAocjBAQBF1NjaVRlZ2ljLmRhdGEuTW9sZWN1bGUBbwF/ARJTY2lUZWdpYy5Nb2xlY3VsZQAAAQFkAv5qAQAAAAIAAgEQHAAAAPz8APwAAgAAAAAAAPC/AvYoXI/C9QhAAAAAAAAYAAAA/PwA/AACAAAAAAAA8L8CuR6F61G4EkAAAAAAABgAAAD8/AD8AAIAAAAAAADwvwJEi2zn+6kUQAKDwMqhRbb3PwAAAAAcAAAA/PwA/AACAAAAAAAA8L8CaZHtfD81D0AC001iEFg5A0AAAAAAGAAAAPz8APwAAgAAAAAAAPC/Ar+fGi/dJAVAAoPAyqFFtvc/AAAAABgAAAD8/AD8AAIAAAAAAADwvwIlBoGVQ4vyPwIHgZVDi2z/PwAAAAAcAAAA/PwA/AACAAAAAAAA8L8AApzEILByaO0/AAAAABgAAAD8/AD8AAIAAAAAAADwvwL+1HjpJjEPQAJOYhBYObQPQAAAAAAYAAAA/PwA/AACAAAAAAAA8L8CsHJoke38FEACYeXQItv5EkAAAAAAGAAAAPz8APwAAgAAAAAAAPC/AsdLN4lBYBpAAk5iEFg5tA9AAAAAABgAAAD8/AD8AAIAAAAAAADwvwItsp3vp8YfQAJh5dAi2/kSQAAAAAAYAAAA/PwA/AACAAAAAAAA8L8C+FPjpZvEH0AC001iEFg5GUAAAAAAGAAAAPz8APwAAgAAAAAAAPC/AlK4HoXrURpAAqJFtvP9VBxAAAAAABgAAAD8/AD8AAIAAAAAAADwvwKMbOf7qfEUQAL+1HjpJjEZQAAAAAAkAAAA/PwA/AACAAAAAAAA8L8CFa5H4XqUIkACw/UoXI/CD0AAAAAAAREAAAD8/AD8AAIAAAAAAADwvwLsUbgeheuxPwKiRbbz/dQEQAAAAAABEAAEAWUEAAAAAAAAAAAECAFlCAgAAAAAAAAACAwBZQQAAAAAAAAAAAwQAWUEAAAAAAAAAAAQAAFlCAgAAAAAAAAAEBQBZQQAAAAAAAAAABQYAWUEAAAAAAAAAAAMHAFlBAAAAAAAAAAAHCABZQQAAAAAAAAAACAkAWUIDAAAAAAAAAAkKAFlBAAAAAAAAAAAKCwBZQgIAAAAAAAAACwwAWUEAAAAAAAAAAAwNAFlCAgAAAAAAAAANCABZQQAAAAAAAAAACg4AWUEAAAAAAAAAAAAAAAA</t>
        </r>
      </text>
    </comment>
    <comment ref="A1681" authorId="0" shapeId="0" xr:uid="{52AF0344-CCF4-4810-A14E-F0209E699549}">
      <text>
        <r>
          <rPr>
            <sz val="9"/>
            <color indexed="81"/>
            <rFont val="MS P ゴシック"/>
            <family val="3"/>
            <charset val="128"/>
          </rPr>
          <t>Insight iXlW00001C0001681R0585476093S00003360P01320LAocjBAQBF1NjaVRlZ2ljLmRhdGEuTW9sZWN1bGUBbwF/ARJTY2lUZWdpYy5Nb2xlY3VsZQAAAQFkAv5qAQAAAAIAAgERGAAAAPz8APwAAgAAAAAAAPC/Al7cRgN46yZAAtQrZRniuCrAAAAAABgAAAD8/AD8AAIAAAAAAADwvwLZX3ZPHlYmQAJahjjWxS0pwAAAAAAYAAAA/PwA/AACAAAAAAAA8L8CINJvXweuJEACiIVa07xDKcAAAAAAGAAAAPz8APwAAgAAAAAAAPC/AnKKjuTyPyRAAj0s1Jrm3SrAAAAAABwAAAD8/AD8AAIAAAAAAADwvwLAWyBB8aMlQAIwTKYKRsUrwAAAAAAYAAAA/PwA/AACAAAAAAAA8L8C6Ugu/yE9J0ACldQJaCLMJ8AAAAAAHAAAAPz8APwAAgAAAAAAAPC/AjWAt0CC4ihAAvLSTWIQuCfAAAAAABgAAAD8/AD8AAIAAAAAAADwvwJUdCSX/1ApQALjNhrAWyAmwAAAAAAcAAAA/PwA/AACAAAAAAAA8L8CkML1KFzvJ0ACRdjw9Eo5JcAAAAAAHAAAAPz8APwAAgAAAAAAAPC/AmdmZmZmpiZAAm40gLdAQibAAAAAABgAAAD8/AD8AAIAAAAAAADwvwKYbhKDwOopQAJxzojS3gApwAAAAAAYAAAA/PwA/AACAAAAAAAA8L8C5IOezapPKUACYVRSJ6CJKsAAAAAAGAAAAPz8APwAAgAAAAAAAPC/AtfFbTSAVypAAjXvOEVH0ivAAAAAABgAAAD8/AD8AAIAAAAAAADwvwLUK2UZ4vgrQAJvowG8BZIrwAAAAAAYAAAA/PwA/AACAAAAAAAA8L8C4umVsgyRLEACvAUSFD8GKsAAAAAAGAAAAPz8APwAAgAAAAAAAPC/AmPuWkI+iCtAAjqSy39IvyjAAAAAAAERAAAA/PwA/AACAAAAAAAA8L8Cn82qz9X2JUACNe84RUfSLcAAAAAAARIABAFlBAAAAAAAAAAABAgBZQQAAAAAAAAAAAgMAWUEAAAAAAAAAAAMEAFlBAAAAAAAAAAAEAABZQQAAAAAAAAAAAQUAWUEAAAAAAAAAAAUGAFlBAAAAAAAAAAAGBwBZQQAAAAAAAAAABwgAWUICAAAAAAAAAAgJAFlBAAAAAAAAAAAJBQBZQgMAAAAAAAAABgoAWUEAAAAAAAAAAAoLAFlCAwAAAAAAAAALDABZQQAAAAAAAAAADA0AWUICAAAAAAAAAA0OAFlBAAAAAAAAAAAODwBZQgIAAAAAAAAADwoAWUEAAAAAAAAAAAAAAAA</t>
        </r>
      </text>
    </comment>
    <comment ref="A1682" authorId="0" shapeId="0" xr:uid="{31D01FFE-C329-402F-8A5F-E60269D0F2CB}">
      <text>
        <r>
          <rPr>
            <sz val="9"/>
            <color indexed="81"/>
            <rFont val="MS P ゴシック"/>
            <family val="3"/>
            <charset val="128"/>
          </rPr>
          <t>Insight iXlW00001C0001682R0585476093S00003362P01392LAocjBAQBF1NjaVRlZ2ljLmRhdGEuTW9sZWN1bGUBbwF/ARJTY2lUZWdpYy5Nb2xlY3VsZQAAAQFkAv5qAQAAAAIAAgESGAAAAPz8APwAAgAAAAAAAPC/ApayDHGs6yZAAg0CK4cWuSrAAAAAABgAAAD8/AD8AAIAAAAAAADwvwISNjy9UlYmQAKSXP5D+i0pwAAAAAAYAAAA/PwA/AACAAAAAAAA8L8CWag1zTuuJEACT9GRXP5DKcAAAAAAGAAAAPz8APwAAgAAAAAAAPC/Ah3r4jYaQCRAAgR4CyQo3irAAAAAABwAAAD8/AD8AAIAAAAAAADwvwL5MeauJaQlQAL3l92Th8UrwAAAAAAYAAAA/PwA/AACAAAAAAAA8L8CsJRliGM9J0ACXCBB8WPMJ8AAAAAAHAAAAPz8APwAAgAAAAAAAPC/AvvL7snD4ihAAiupE9BEuCfAAAAAABgAAAD8/AD8AAIAAAAAAADwvwKMSuoENFEpQAIcDeAtkCAmwAAAAAAcAAAA/PwA/AACAAAAAAAA8L8CyJi7lpDvJ0ACfq62Yn85JcAAAAAAHAAAAPz8APwAAgAAAAAAAPC/Ap88LNSapiZAAqcKRiV1QibAAAAAABgAAAD8/AD8AAIAAAAAAADwvwJfukkMAuspQAI3GsBbIAEpwAAAAAAYAAAA/PwA/AACAAAAAAAA8L8Cq8/VVuxPKUACKKCJsOGJKsAAAAAAGAAAAPz8APwAAgAAAAAAAPC/Ap0Rpb3BVypAAvw6cM6I0ivAAAAAABgAAAD8/AD8AAIAAAAAAADwvwKbd5yiI/krQAI17zhFR5IrwAAAAAAYAAAA/PwA/AACAAAAAAAA8L8CqTXNO06RLEAC9dvXgXMGKsAAAAAAGAAAAPz8APwAAgAAAAAAAPC/Aio6kst/iCtAAnNoke18vyjAAAAAACQAAAD8/AD8AAIAAAAAAADwvwKsHFpkOx8sQAL0bFZ9rjYnwAAAAAABEQAAAPz8APwAAgAAAAAAAPC/AtBm1edq6yVAAgRWDi2y3S3AAAAAAAETAAQBZQQAAAAAAAAAAAQIAWUEAAAAAAAAAAAIDAFlBAAAAAAAAAAADBABZQQAAAAAAAAAABAAAWUEAAAAAAAAAAAEFAFlBAAAAAAAAAAAFBgBZQQAAAAAAAAAABgcAWUEAAAAAAAAAAAcIAFlCAgAAAAAAAAAICQBZQQAAAAAAAAAACQUAWUIDAAAAAAAAAAYKAFlBAAAAAAAAAAAKCwBZQgMAAAAAAAAACwwAWUEAAAAAAAAAAAwNAFlCAgAAAAAAAAANDgBZQQAAAAAAAAAADg8AWUICAAAAAAAAAA8KAFlBAAAAAAAAAAAPAEQAWUEAAAAAAAAAAAAAAAA</t>
        </r>
      </text>
    </comment>
    <comment ref="A1683" authorId="0" shapeId="0" xr:uid="{3CC4FA87-9B4F-4F37-8325-233AD0896798}">
      <text>
        <r>
          <rPr>
            <sz val="9"/>
            <color indexed="81"/>
            <rFont val="MS P ゴシック"/>
            <family val="3"/>
            <charset val="128"/>
          </rPr>
          <t>Insight iXlW00001C0001683R0585476093S00003364P01392LAocjBAQBF1NjaVRlZ2ljLmRhdGEuTW9sZWN1bGUBbwF/ARJTY2lUZWdpYy5Nb2xlY3VsZQAAAQFkAv5qAQAAAAIAAgESGAAAAPz8APwAAgAAAAAAAPC/Atlfdk8e9iVAAtQrZRniuCrAAAAAABgAAAD8/AD8AAIAAAAAAADwvwJU46WbxGAlQAJahjjWxS0pwAAAAAAYAAAA/PwA/AACAAAAAAAA8L8CnFWfq624I0ACiIVa07xDKcAAAAAAGAAAAPz8APwAAgAAAAAAAPC/Al+YTBWMSiNAAj0s1Jrm3SrAAAAAABwAAAD8/AD8AAIAAAAAAADwvwI830+Nl64kQAIwTKYKRsUrwAAAAAAYAAAA/PwA/AACAAAAAAAA8L8CZMxdS8hHJkACldQJaCLMJ8AAAAAAHAAAAPz8APwAAgAAAAAAAPC/ArAD54wo7SdAAvLSTWIQuCfAAAAAABgAAAD8/AD8AAIAAAAAAADwvwLP91PjpVsoQALjNhrAWyAmwAAAAAAcAAAA/PwA/AACAAAAAAAA8L8CC0YldQL6JkACRdjw9Eo5JcAAAAAAHAAAAPz8APwAAgAAAAAAAPC/AuLplbIMsSVAAm40gLdAQibAAAAAABgAAAD8/AD8AAIAAAAAAADwvwIT8kHPZvUoQAJxzojS3gApwAAAAAAYAAAA/PwA/AACAAAAAAAA8L8CYAfOGVFaKEACYVRSJ6CJKsAAAAAAGAAAAPz8APwAAgAAAAAAAPC/AlJJnYAmYilAAjXvOEVH0ivAAAAAABgAAAD8/AD8AAIAAAAAAADwvwJPr5RliAMrQAJvowG8BZIrwAAAAAAYAAAA/PwA/AACAAAAAAAA8L8CXW3F/rKbK0ACvAUSFD8GKsAAAAAAGAAAAPz8APwAAgAAAAAAAPC/At9xio7kkipAAjqSy39IvyjAAAAAACQAAAD8/AD8AAIAAAAAAADwvwLnriXkgz4tQAJP0ZFc/sMpwAAAAAABEQAAAPz8APwAAgAAAAAAAPC/ApchjnVx+yRAAswQx7q4LS7AAAAAAAETAAQBZQQAAAAAAAAAAAQIAWUEAAAAAAAAAAAIDAFlBAAAAAAAAAAADBABZQQAAAAAAAAAABAAAWUEAAAAAAAAAAAEFAFlBAAAAAAAAAAAFBgBZQQAAAAAAAAAABgcAWUEAAAAAAAAAAAcIAFlCAgAAAAAAAAAICQBZQQAAAAAAAAAACQUAWUIDAAAAAAAAAAYKAFlBAAAAAAAAAAAKCwBZQgMAAAAAAAAACwwAWUEAAAAAAAAAAAwNAFlCAgAAAAAAAAANDgBZQQAAAAAAAAAADg8AWUICAAAAAAAAAA8KAFlBAAAAAAAAAAAOAEQAWUEAAAAAAAAAAAAAAAA</t>
        </r>
      </text>
    </comment>
    <comment ref="A1684" authorId="0" shapeId="0" xr:uid="{82E3CC4B-2975-4B44-9122-44C23148D63C}">
      <text>
        <r>
          <rPr>
            <sz val="9"/>
            <color indexed="81"/>
            <rFont val="MS P ゴシック"/>
            <family val="3"/>
            <charset val="128"/>
          </rPr>
          <t>Insight iXlW00001C0001684R0585476093S00003366P01392LAocjBAQBF1NjaVRlZ2ljLmRhdGEuTW9sZWN1bGUBbwF/ARJTY2lUZWdpYy5Nb2xlY3VsZQAAAQFkAv5qAQAAAAIAAgESGAAAAPz8APwAAgAAAAAAAPC/ApDC9ShcjyZAAh6n6EgunyrAAAAAABgAAAD8/AD8AAIAAAAAAADwvwJ90LNZ9fklQAIWjErqBBQpwAAAAAAYAAAA/PwA/AACAAAAAAAA8L8CUrgehetRJEAC0gDeAgkqKcAAAAAAGAAAAPz8APwAAgAAAAAAAPC/Ahb7y+7J4yNAAoenV8oyxCrAAAAAABwAAAD8/AD8AAIAAAAAAADwvwLyQc9m1UclQAJ6xyk6kqsrwAAAAAAYAAAA/PwA/AACAAAAAAAA8L8CGy/dJAbhJkAC4E+Nl26yJ8AAAAAAHAAAAPz8APwAAgAAAAAAAPC/AmdmZmZmhihAAq7YX3ZPnifAAAAAABgAAAD8/AD8AAIAAAAAAADwvwKGWtO84/QoQAKfPCzUmgYmwAAAAAAcAAAA/PwA/AACAAAAAAAA8L8CNDMzMzOTJ0ACAd4CCYofJcAAAAAAHAAAAPz8APwAAgAAAAAAAPC/AgvXo3A9SiZAAio6kst/KCbAAAAAABgAAAD8/AD8AAIAAAAAAADwvwLKVMGopI4pQAK7SQwCK+cowAAAAAAYAAAA/PwA/AACAAAAAAAA8L8CFmpN847zKEACq8/VVuxvKsAAAAAAGAAAAPz8APwAAgAAAAAAAPC/AgmsHFpk+ylAAn9qvHSTuCvAAAAAABgAAAD8/AD8AAIAAAAAAADwvwIGEhQ/xpwrQAK5HoXrUXgrwAAAAAAYAAAA/PwA/AACAAAAAAAA8L8CokW28/00LEACBoGVQ4vsKcAAAAAAGAAAAPz8APwAAgAAAAAAAPC/ApXUCWgiLCtAAveX3ZOHpSjAAAAAACQAAAD8/AD8AAIAAAAAAADwvwIvbqMBvKUsQAI3GsBbIMEswAAAAAABEQAAAPz8APwAAgAAAAAAAPC/Ase6uI0GkCVAAgRWDi2y3S3AAAAAAAETAAQBZQQAAAAAAAAAAAQIAWUEAAAAAAAAAAAIDAFlBAAAAAAAAAAADBABZQQAAAAAAAAAABAAAWUEAAAAAAAAAAAEFAFlBAAAAAAAAAAAFBgBZQQAAAAAAAAAABgcAWUEAAAAAAAAAAAcIAFlCAgAAAAAAAAAICQBZQQAAAAAAAAAACQUAWUIDAAAAAAAAAAYKAFlBAAAAAAAAAAAKCwBZQgMAAAAAAAAACwwAWUEAAAAAAAAAAAwNAFlCAgAAAAAAAAANDgBZQQAAAAAAAAAADg8AWUICAAAAAAAAAA8KAFlBAAAAAAAAAAANAEQAWUEAAAAAAAAAAAAAAAA</t>
        </r>
      </text>
    </comment>
    <comment ref="A1685" authorId="0" shapeId="0" xr:uid="{0ABFB666-A2CA-40B1-9C0C-0EA252D6FE73}">
      <text>
        <r>
          <rPr>
            <sz val="9"/>
            <color indexed="81"/>
            <rFont val="MS P ゴシック"/>
            <family val="3"/>
            <charset val="128"/>
          </rPr>
          <t>Insight iXlW00001C0001685R0585476093S00003368P01248LAocjBAQBF1NjaVRlZ2ljLmRhdGEuTW9sZWN1bGUBbwF/ARJTY2lUZWdpYy5Nb2xlY3VsZQAAAQFkAv5qAQAAAAIAAgEQGAAAAPz8APwAAgAAAAAAAPC/AmFUUieg6SRAAsKopE5A8yTAAAAAABgAAAD8/AD8AAIAAAAAAADwvwL0/dR46eYkQAKASL99HZgmwAAAAAAcAAAA/PwA/AACAAAAAAAA8L8C+cJkqmBUJkACCRueXilrJ8AAAAAAGAAAAPz8APwAAgAAAAAAAPC/AlFrmnecwidAArn8h/TblybAAAAAABgAAAD8/AD8AAIAAAAAAADwvwLFjzF3LcEnQAJz1xLyQe8kwAAAAAAYAAAA/PwA/AACAAAAAAAA8L8C+n5qvHRTJkACdQKaCBseJMAAAAAAHAAAAPz8APwAAgAAAAAAAPC/Ao0o7Q2+MClAAtEi2/l+aifAAAAAABgAAAD8/AD8AAIAAAAAAADwvwKuR+F6FC4pQAICTYQNTw8pwAAAAAAYAAAA/PwA/AACAAAAAAAA8L8CtaZ5xymaKkACi/1l9+ThKcAAAAAAGAAAAPz8APwAAgAAAAAAAPC/Ag1xrIvbCCxAAqvP1VbsDynAAAAAABgAAAD8/AD8AAIAAAAAAADwvwLwp8ZLNwksQAJGR3L5D2knwAAAAAAYAAAA/PwA/AACAAAAAAAA8L8C7Z48LNSaKkACMnctIR+UJsAAAAAAIAAAAPz8APwAAgAAAAAAAPC/Apt3nKIjmSpAAssQx7q47STAAAAAABgAAAD8/AD8AAIAAAAAAADwvwLVCWgibHgjQAJgdk8eFmonwAAAAAAgAAAA/PwA/AACAAAAAAAA8L8Cs3vysFALIkAC2j15WKiVJsAAAAAAIAAAAPz8APwAAgAAAAAAAPC/AtejcD0KdyNAAsfctYR8ECnAAAAAAAERAAQBZQgIAAAAAAAAAAQIAWUEAAAAAAAAAAAIDAFlCAgAAAAAAAAADBABZQQAAAAAAAAAABAUAWUICAAAAAAAAAAUAAFlBAAAAAAAAAAADBgBZQQAAAAAAAAAABgcAWUEAAAAAAAAAAAYLAFlBAAAAAAAAAAAHCABZQQAAAAAAAAAACAkAWUEAAAAAAAAAAAkKAFlBAAAAAAAAAAAKCwBZQQAAAAAAAAAACwwAWUIAAAAAAAAAAAENAFlBAAAAAAAAAAANDgBZQQAAAAAAAAAADQ8AWUIAAAAAAAAAAAAAAAA</t>
        </r>
      </text>
    </comment>
    <comment ref="A1686" authorId="0" shapeId="0" xr:uid="{BAAC3B06-05DE-4D57-8A4D-FD639860FDD4}">
      <text>
        <r>
          <rPr>
            <sz val="9"/>
            <color indexed="81"/>
            <rFont val="MS P ゴシック"/>
            <family val="3"/>
            <charset val="128"/>
          </rPr>
          <t>Insight iXlW00001C0001686R0585476093S00003370P01176LAocjBAQBF1NjaVRlZ2ljLmRhdGEuTW9sZWN1bGUBbwF/ARJTY2lUZWdpYy5Nb2xlY3VsZQAAAQFkAv5qAQAAAAIAAjwYAAAA/PwA/AACAAAAAAAA8L8CL26jAbwFJUACBoGVQ4ssJcAAAAAAGAAAAPz8APwAAgAAAAAAAPC/AsIXJlMFAyVAAsUgsHJo0SbAAAAAABgAAAD8/AD8AAIAAAAAAADwvwI4Z0Rpb3AmQAJO845TdKQnwAAAAAAYAAAA/PwA/AACAAAAAAAA8L8CH4XrUbjeJ0AC/tR46SbRJsAAAAAAHAAAAPz8APwAAgAAAAAAAPC/ApOpglFJ3SdAArivA+eMKCXAAAAAABgAAAD8/AD8AAIAAAAAAADwvwI6I0p7g28mQAK62or9ZVckwAAAAAAcAAAA/PwA/AACAAAAAAAA8L8CW0I+6NlMKUACFvvL7smjJ8AAAAAAGAAAAPz8APwAAgAAAAAAAPC/AiWX/5B+eylAAqLWNO84RSnAAAAAABgAAAD8/AD8AAIAAAAAAADwvwK4QILixxgrQAIj2/l+apwpwAAAAAAYAAAA/PwA/AACAAAAAAAA8L8C0GbV52rrK0ACWag1zTsuKMAAAAAAGAAAAPz8APwAAgAAAAAAAPC/AgCRfvs60CpAAvjkYaHW9CbAAAAAACAAAAD8/AD8AAIAAAAAAADwvwKfPCzUmiYrQAIsZRniWFclwAAAAAAYAAAA/PwA/AACAAAAAAAA8L8CoyO5/IeUI0ACpU5AE2GjJ8AAAAAAIAAAAPz8APwAAgAAAAAAAPC/AoGVQ4tsJyJAAh8Wak3zzibAAAAAACAAAAD8/AD8AAIAAAAAAADwvwIXSFD8GJMjQAILtaZ5x0kpwAAAAAABEAAEAWUICAAAAAAAAAAECAFlBAAAAAAAAAAACAwBZQgIAAAAAAAAAAwQAWUEAAAAAAAAAAAQFAFlCAgAAAAAAAAAFAABZQQAAAAAAAAAAAwYAWUEAAAAAAAAAAAYHAFlBAAAAAAAAAAAHCABZQQAAAAAAAAAACAkAWUEAAAAAAAAAAAkKAFlBAAAAAAAAAAAKBgBZQQAAAAAAAAAACgsAWUIAAAAAAAAAAAEMAFlBAAAAAAAAAAAMDQBZQQAAAAAAAAAADA4AWUIAAAAAAAAAAAAAAAA</t>
        </r>
      </text>
    </comment>
    <comment ref="A1687" authorId="0" shapeId="0" xr:uid="{D0C78B37-0DE1-4B37-AE53-4DE9F9011ED7}">
      <text>
        <r>
          <rPr>
            <sz val="9"/>
            <color indexed="81"/>
            <rFont val="MS P ゴシック"/>
            <family val="3"/>
            <charset val="128"/>
          </rPr>
          <t>Insight iXlW00001C0001687R0585476093S00003372P01320LAocjBAQBF1NjaVRlZ2ljLmRhdGEuTW9sZWN1bGUBbwF/ARJTY2lUZWdpYy5Nb2xlY3VsZQAAAQFkAv5qAQAAAAIAAgERGAAAAPz8APwAAgAAAAAAAPC/AjsBTYQNjyRAAnnpJjEIzCTAAAAAABgAAAD8/AD8AAIAAAAAAADwvwLOqs/VVowkQAKpE9BE2HAmwAAAAAAYAAAA/PwA/AACAAAAAAAA8L8CRPrt68D5JUACwFsgQfFDJ8AAAAAAGAAAAPz8APwAAgAAAAAAAPC/AisYldQJaCdAAnE9CtejcCbAAAAAABwAAAD8/AD8AAIAAAAAAADwvwKfPCzUmmYnQAIrGJXUCcgkwAAAAAAYAAAA/PwA/AACAAAAAAAA8L8CRrbz/dT4JUACLUMc6+L2I8AAAAAAHAAAAPz8APwAAgAAAAAAAPC/AmfV52or1ihAAvvt68A5QyfAAAAAABgAAAD8/AD8AAIAAAAAAADwvwLG/rJ78jAqQAJkXdxGA1gmwAAAAAAYAAAA/PwA/AACAAAAAAAA8L8C9rnaiv3FK0ACwqikTkDTJsAAAAAAGAAAAPz8APwAAgAAAAAAAPC/AvSOU3QktyhAAiUGgZVD6yjAAAAAABgAAAD8/AD8AAIAAAAAAADwvwLCFyZTBWMsQAJDPujZrFoowAAAAAAYAAAA/PwA/AACAAAAAAAA8L8CkX77OnDuKUACmioYldQJKsAAAAAAGAAAAPz8APwAAgAAAAAAAPC/AnIbDeAtkCtAAisYldQJyCnAAAAAACAAAAD8/AD8AAIAAAAAAADwvwKMbOf7qfEpQAKgq63YX7YkwAAAAAAYAAAA/PwA/AACAAAAAAAA8L8Cr7Zif9kdI0ACGLfRAN5CJ8AAAAAAIAAAAPz8APwAAgAAAAAAAPC/Ao0o7Q2+sCFAApF++zpwbibAAAAAACAAAAD8/AD8AAIAAAAAAADwvwIj2/l+ahwjQAJ+HThnROkowAAAAAABEgAEAWUICAAAAAAAAAAECAFlBAAAAAAAAAAACAwBZQgIAAAAAAAAAAwQAWUEAAAAAAAAAAAQFAFlCAgAAAAAAAAAFAABZQQAAAAAAAAAAAwYAWUEAAAAAAAAAAAYHAFlBAAAAAAAAAAAHCABZQQAAAAAAAAAABgkAWUEAAAAAAAAAAAgKAFlBAAAAAAAAAAAJCwBZQQAAAAAAAAAACgwAWUEAAAAAAAAAAAsMAFlBAAAAAAAAAAAHDQBZQgAAAAAAAAAAAQ4AWUEAAAAAAAAAAA4PAFlBAAAAAAAAAAAOAEQAWUIAAAAAAAAAAAAAAAA</t>
        </r>
      </text>
    </comment>
    <comment ref="A1688" authorId="0" shapeId="0" xr:uid="{F0D51169-0F5D-445C-852F-81EFF42DEA48}">
      <text>
        <r>
          <rPr>
            <sz val="9"/>
            <color indexed="81"/>
            <rFont val="MS P ゴシック"/>
            <family val="3"/>
            <charset val="128"/>
          </rPr>
          <t>Insight iXlW00001C0001688R0585476093S00003374P01324LAocjBAQBF1NjaVRlZ2ljLmRhdGEuTW9sZWN1bGUBbwF/ARJTY2lUZWdpYy5Nb2xlY3VsZQAAAQFkAv5qAQAAAAIAAgERGAAAAPz8APwAAgAAAAAAAPC/AoZa07zj9CNAAqAaL90kZiTAAAAAABgAAAD8/AD8AAIAAAAAAADwvwIZBFYOLfIjQALQZtXnagsmwAAAAAAYAAAA/PwA/AACAAAAAAAA8L8CAAAAAABgJUACA5oIG57eJsAAAAAAGAAAAPz8APwAAgAAAAAAAPC/Aq5p3nGKziZAAgkbnl4pCybAAAAAABwAAAD8/AD8AAIAAAAAAADwvwIijnVxG80mQAJSSZ2AJmIkwAAAAAAYAAAA/PwA/AACAAAAAAAA8L8CArwFEhRfJUACqRPQRNiQI8AAAAAAHAAAAPz8APwAAgAAAAAAAPC/Aj/o2az6PChAAsuhRbbz3SbAAAAAABgAAAD8/AD8AAIAAAAAAADwvwJgB84ZUTooQAL77evAOYMowAAAAAAYAAAA/PwA/AACAAAAAAAA8L8CvCcPC7WmKUACoImw4elVKcAAAAAAARAAAAD8/AD8AAIAAAAAAADwvwL2KFyPwhUrQAIW+8vuyYMowAAAAAAYAAAA/PwA/AACAAAAAAAA8L8C2V92Tx4WK0ACP8bctYTcJsAAAAAAGAAAAPz8APwAAgAAAAAAAPC/AoGVQ4tspylAAoGVQ4tsBybAAAAAACAAAAD8/AD8AAIAAAAAAADwvwIGo5I6Aa0sQAJrK/aX3RMowAAAAAAgAAAA/PwA/AACAAAAAAAA8L8CNl66SQyCK0AC0bNZ9bkaKsAAAAAAGAAAAPz8APwAAgAAAAAAAPC/AqVOQBNhgyJAAlr1udqK3SbAAAAAACAAAAD8/AD8AAIAAAAAAADwvwIv/yH99hUhQAIpXI/C9QgmwAAAAAAgAAAA/PwA/AACAAAAAAAA8L8CGXPXEvKBIkACMQisHFqEKMAAAAAAARIABAFlCAgAAAAAAAAABAgBZQQAAAAAAAAAAAgMAWUICAAAAAAAAAAMEAFlBAAAAAAAAAAAEBQBZQgIAAAAAAAAABQAAWUEAAAAAAAAAAAMGAFlBAAAAAAAAAAAGBwBZQQAAAAAAAAAABgsAWUEAAAAAAAAAAAcIAFlBAAAAAAAAAAAICQBZQQAAAAAAAAAACQoAWUEAAAAAAAAAAAoLAFlBAAAAAAAAAAAJDABZQgAAAAAAAAAACQ0AWUIAAAAAAAAAAAEOAFlBAAAAAAAAAAAODwBZQQAAAAAAAAAADgBEAFlCAAAAAAAAAAAAAAAAA==</t>
        </r>
      </text>
    </comment>
    <comment ref="A1689" authorId="0" shapeId="0" xr:uid="{25D775FC-5FC7-48F0-81B4-D9DCD38D2FAD}">
      <text>
        <r>
          <rPr>
            <sz val="9"/>
            <color indexed="81"/>
            <rFont val="MS P ゴシック"/>
            <family val="3"/>
            <charset val="128"/>
          </rPr>
          <t>Insight iXlW00001C0001689R0585476093S00003376P01392LAocjBAQBF1NjaVRlZ2ljLmRhdGEuTW9sZWN1bGUBbwF/ARJTY2lUZWdpYy5Nb2xlY3VsZQAAAQFkAv5qAQAAAAIAAgESGAAAAPz8APwAAgAAAAAAAPC/AtiBc0aU9iVAAisYldQJiCrAAAAAABgAAAD8/AD8AAIAAAAAAADwvwJTBaOSOmElQAKwcmiR7fwowAAAAAAYAAAA/PwA/AACAAAAAAAA8L8CDQIrhxa5I0ACbef7qfESKcAAAAAAGAAAAPz8APwAAgAAAAAAAPC/AtBE2PD0SiNAApQYBFYOrSrAAAAAABwAAAD8/AD8AAIAAAAAAADwvwI7AU2EDa8kQAKjI7n8h5QrwAAAAAAYAAAA/PwA/AACAAAAAAAA8L8CY+5aQj5IJkAC7MA5I0qbJ8AAAAAAHAAAAPz8APwAAgAAAAAAAPC/Aj2bVZ+r7SdAArtJDAIrhyfAAAAAABwAAAD8/AD8AAIAAAAAAADwvwJcj8L1KFwoQAIeOGdEae8lwAAAAAAYAAAA/PwA/AACAAAAAAAA8L8CmN2Th4X6JkACDk+vlGUIJcAAAAAAHAAAAPz8APwAAgAAAAAAAPC/AuELk6mCsSVAAqk1zTtOESbAAAAAABgAAAD8/AD8AAIAAAAAAADwvwIv/yH99vUoQALHuriNBtAowAAAAAAYAAAA/PwA/AACAAAAAAAA8L8C7Z48LNRaKEACRrbz/dRYKsAAAAAAGAAAAPz8APwAAgAAAAAAAPC/Am1Wfa62YilAAhpR2ht8oSvAAAAAABgAAAD8/AD8AAIAAAAAAADwvwJrvHSTGAQrQAJUBaOSOmErwAAAAAAYAAAA/PwA/AACAAAAAAAA8L8CB/AWSFCcK0ACE/JBz2bVKcAAAAAAGAAAAPz8APwAAgAAAAAAAPC/Avp+arx0kypAAgMJih9jjijAAAAAACQAAAD8/AD8AAIAAAAAAADwvwKQMXctIT8tQAI0MzMzM5MpwAAAAAABEQAAAPz8APwAAgAAAAAAAPC/AmIyVTAq6SNAApchjnVxOybAAAAAAAETAAQBZQQAAAAAAAAAAAQIAWUEAAAAAAAAAAAIDAFlBAAAAAAAAAAADBABZQQAAAAAAAAAABAAAWUEAAAAAAAAAAAEFAFlBAAAAAAAAAAAFBgBZQQAAAAAAAAAABgcAWUEAAAAAAAAAAAcIAFlCAgAAAAAAAAAICQBZQQAAAAAAAAAACQUAWUIDAAAAAAAAAAYKAFlBAAAAAAAAAAAKCwBZQgMAAAAAAAAACwwAWUEAAAAAAAAAAAwNAFlCAgAAAAAAAAANDgBZQQAAAAAAAAAADg8AWUICAAAAAAAAAA8KAFlBAAAAAAAAAAAOAEQAWUEAAAAAAAAAAAAAAAA</t>
        </r>
      </text>
    </comment>
    <comment ref="A1690" authorId="0" shapeId="0" xr:uid="{8E7821FA-091B-4466-AA6D-8986061D0562}">
      <text>
        <r>
          <rPr>
            <sz val="9"/>
            <color indexed="81"/>
            <rFont val="MS P ゴシック"/>
            <family val="3"/>
            <charset val="128"/>
          </rPr>
          <t>Insight iXlW00001C0001690R0585476093S00003378P01248LAocjBAQBF1NjaVRlZ2ljLmRhdGEuTW9sZWN1bGUBbwF/ARJTY2lUZWdpYy5Nb2xlY3VsZQAAAQFkAv5qAQAAAAIAAgEQGAAAAPz8APwAAgAAAAAAAPC/Au/Jw0Kt6SRAAsKopE5A8yTAAAAAABgAAAD8/AD8AAIAAAAAAADwvwKCc0aU9uYkQAKASL99HZgmwAAAAAAYAAAA/PwA/AACAAAAAAAA8L8C+cJkqmBUJkACCRueXilrJ8AAAAAAGAAAAPz8APwAAgAAAAAAAPC/AlFrmnecwidAArn8h/TblybAAAAAABwAAAD8/AD8AAIAAAAAAADwvwLFjzF3LcEnQAJz1xLyQe8kwAAAAAAYAAAA/PwA/AACAAAAAAAA8L8C+n5qvHRTJkACdQKaCBseJMAAAAAAHAAAAPz8APwAAgAAAAAAAPC/AhueXinLMClAAtEi2/l+aifAAAAAABgAAAD8/AD8AAIAAAAAAADwvwI9vVKWIS4pQAICTYQNTw8pwAAAAAAYAAAA/PwA/AACAAAAAAAA8L8CtaZ5xymaKkACi/1l9+ThKcAAAAAAGAAAAPz8APwAAgAAAAAAAPC/Ag1xrIvbCCxAAqvP1VbsDynAAAAAABgAAAD8/AD8AAIAAAAAAADwvwLwp8ZLNwksQAJGR3L5D2knwAAAAAAYAAAA/PwA/AACAAAAAAAA8L8C7Z48LNSaKkACMnctIR+UJsAAAAAAIAAAAPz8APwAAgAAAAAAAPC/Apt3nKIjmSpAAssQx7q47STAAAAAABgAAAD8/AD8AAIAAAAAAADwvwLVCWgibHgjQAJgdk8eFmonwAAAAAAgAAAA/PwA/AACAAAAAAAA8L8Cs3vysFALIkAC2j15WKiVJsAAAAAAIAAAAPz8APwAAgAAAAAAAPC/AtejcD0KdyNAAsfctYR8ECnAAAAAAAERAAQBZQgIAAAAAAAAAAQIAWUEAAAAAAAAAAAIDAFlCAgAAAAAAAAADBABZQQAAAAAAAAAABAUAWUICAAAAAAAAAAUAAFlBAAAAAAAAAAADBgBZQQAAAAAAAAAABgcAWUEAAAAAAAAAAAYLAFlBAAAAAAAAAAAHCABZQQAAAAAAAAAACAkAWUEAAAAAAAAAAAkKAFlBAAAAAAAAAAAKCwBZQQAAAAAAAAAACwwAWUIAAAAAAAAAAAENAFlBAAAAAAAAAAANDgBZQQAAAAAAAAAADQ8AWUIAAAAAAAAAAAAAAAA</t>
        </r>
      </text>
    </comment>
    <comment ref="A1691" authorId="0" shapeId="0" xr:uid="{1665BBA7-5356-46E4-81B0-74BD7E140641}">
      <text>
        <r>
          <rPr>
            <sz val="9"/>
            <color indexed="81"/>
            <rFont val="MS P ゴシック"/>
            <family val="3"/>
            <charset val="128"/>
          </rPr>
          <t>Insight iXlW00001C0001691R0585476093S00003380P01036LAocjBAQBF1NjaVRlZ2ljLmRhdGEuTW9sZWN1bGUBbwF/ARJTY2lUZWdpYy5Nb2xlY3VsZQAAAQFkAv5qAQAAAAIAAjQYAAAA/PwA/AACAAAAAAAA8L8CRIts5/vJK0ACPN9PjZcuLsAAAAAAGAAAAPz8APwAAgAAAAAAAPC/AkSLbOf7yStAAqJFtvP91C/AAAAAABgAAAD8/AD8AAIAAAAAAADwvwJKDAIrhzYtQAKJ0t7gC1MwwAAAAAAYAAAA/PwA/AACAAAAAAAA8L8CSgwCK4c2LUACt2J/2T1ZLcAAAAAAGAAAAPz8APwAAgAAAAAAAPC/At4CCYofoy5AAjzfT42XLi7AAAAAABwAAAD8/AD8AAIAAAAAAADwvwLarPpcbaUuQAKlvcEXJtMvwAAAAAAYAAAA/PwA/AACAAAAAAAA8L8C7S+7Jw8bMEACtvP91HgpMMAAAAAAHAAAAPz8APwAAgAAAAAAAPC/AvYoXI/ClTBAAiIf9GxW/S7AAAAAABgAAAD8/AD8AAIAAAAAAADwvwIp7Q2+MBkwQAJDrWnecaotwAAAAAAYAAAA/PwA/AACAAAAAAAA8L8Cmggbnl5ZMEACZF3cRgMYLMAAAAAAIAAAAPz8APwAAgAAAAAAAPC/Ag+cM6K0JzFAAj0s1JrmvSvAAAAAACAAAAD8/AD8AAIAAAAAAADwvwISNjy9UpYvQAIdyeU/pN8qwAAAAAAYAAAA/PwA/AACAAAAAAAA8L8Cd08eFmpdMEACp+hILv/xMMAAAAAAOAAEAWUEAAAAAAAAAAAADAFlCAgAAAAAAAAABAgBZQgIAAAAAAAAAAgUAWUEAAAAAAAAAAAQDAFlBAAAAAAAAAAAEBQBZQQAAAAAAAAAABQYAWUEAAAAAAAAAAAYHAFlCAgAAAAAAAAAHCABZQQAAAAAAAAAACAQAWUIDAAAAAAAAAAgJAFlBAAAAAAAAAAAJCgBZQQAAAAAAAAAACQsAWUIAAAAAAAAAAAYMAFlBAAAAAAAAAAAAAAAAA==</t>
        </r>
      </text>
    </comment>
    <comment ref="A1692" authorId="0" shapeId="0" xr:uid="{EDE06458-F710-41A7-BF59-17F7CD876695}">
      <text>
        <r>
          <rPr>
            <sz val="9"/>
            <color indexed="81"/>
            <rFont val="MS P ゴシック"/>
            <family val="3"/>
            <charset val="128"/>
          </rPr>
          <t>Insight iXlW00001C0001692R0585476093S00003382P01104LAocjBAQBF1NjaVRlZ2ljLmRhdGEuTW9sZWN1bGUBbwF/ARJTY2lUZWdpYy5Nb2xlY3VsZQAAAQFkAv5qAQAAAAIAAjgYAAAA/PwA/AACAAAAAAAA8L8CK4cW2c73C0ACz/dT46VrM8AAAAAAGAAAAPz8APwAAgAAAAAAAPC/AiuHFtnO9wtAAsnlP6TfPjTAAAAAABgAAAD8/AD8AAIAAAAAAADwvwK+MJkqGNUQQAK62or9Zac0wAAAAAAYAAAA/PwA/AACAAAAAAAA8L8CvjCZKhjVEEACVHQkl/8AM8AAAAAAGAAAAPz8APwAAgAAAAAAAPC/AssyxLEurhNAAs/3U+OlazPAAAAAABwAAAD8/AD8AAIAAAAAAADwvwLChqdXyrITQALLoUW28z00wAAAAAAYAAAA/PwA/AACAAAAAAAA8L8C3NeBc0bUFkACr7Zif9l9NMAAAAAAHAAAAPz8APwAAgAAAAAAAPC/AubQItv5vhhAAsIXJlMF0zPAAAAAABgAAAD8/AD8AAIAAAAAAADwvwLNzMzMzMwWQAKamZmZmSkzwAAAAAAYAAAA/PwA/AACAAAAAAAA8L8Cd08eFmrNF0AC4zYawFtgMsAAAAAAIAAAAPz8APwAAgAAAAAAAPC/AmaIY13cBhtAAhfZzvdTMzLAAAAAACAAAAD8/AD8AAIAAAAAAADwvwJNhA1Pr5QVQAKHp1fKMsQxwAAAAAAYAAAA/PwA/AACAAAAAAAA8L8CBFYOLbLdF0AC2fD0SllGNcAAAAAAGAAAAPz8APwAAgAAAAAAAPC/AkETYcPTqxVAAmu8dJMY5DXAAAAAADwABAFlBAAAAAAAAAAAAAwBZQgIAAAAAAAAAAQIAWUICAAAAAAAAAAIFAFlBAAAAAAAAAAAEAwBZQQAAAAAAAAAABAUAWUEAAAAAAAAAAAUGAFlBAAAAAAAAAAAGBwBZQgIAAAAAAAAABwgAWUEAAAAAAAAAAAgEAFlCAwAAAAAAAAAICQBZQQAAAAAAAAAACQoAWUEAAAAAAAAAAAkLAFlCAAAAAAAAAAAGDABZQQAAAAAAAAAADA0AWUEAAAAAAAAAAAAAAAA</t>
        </r>
      </text>
    </comment>
    <comment ref="A1693" authorId="0" shapeId="0" xr:uid="{BA5DCEA1-691D-45A3-8BC5-6ADF508E283E}">
      <text>
        <r>
          <rPr>
            <sz val="9"/>
            <color indexed="81"/>
            <rFont val="MS P ゴシック"/>
            <family val="3"/>
            <charset val="128"/>
          </rPr>
          <t>Insight iXlW00001C0001693R0585476093S00003384P01176LAocjBAQBF1NjaVRlZ2ljLmRhdGEuTW9sZWN1bGUBbwF/ARJTY2lUZWdpYy5Nb2xlY3VsZQAAAQFkAv5qAQAAAAIAAjwYAAAA/PwA/AACAAAAAAAA8L8CC0YldQKaJUAC3GgAb4E0MMAAAAAAGAAAAPz8APwAAgAAAAAAAPC/AgtGJXUCmiVAAg+cM6K0BzHAAAAAABgAAAD8/AD8AAIAAAAAAADwvwIRx7q4jQYnQAIAkX77OnAxwAAAAAAYAAAA/PwA/AACAAAAAAAA8L8CEce6uI0GJ0ACM1UwKqmTL8AAAAAAGAAAAPz8APwAAgAAAAAAAPC/AhdIUPwYcyhAAtxoAG+BNDDAAAAAABwAAAD8/AD8AAIAAAAAAADwvwIT8kHPZnUoQAIRWDm0yAYxwAAAAAAYAAAA/PwA/AACAAAAAAAA8L8CoBov3SQGKkAC9GxWfa5GMcAAAAAAHAAAAPz8APwAAgAAAAAAAPC/AiWX/5B++ypAAgjOGVHamzDAAAAAABgAAAD8/AD8AAIAAAAAAADwvwIZldQJaAIqQAK/nxov3eQvwAAAAAAYAAAA/PwA/AACAAAAAAAA8L8CbVZ9rraCKkAC4E+Nl25SLsAAAAAAIAAAAPz8APwAAgAAAAAAAPC/Ald9rrZiHyxAArkehetR+C3AAAAAACAAAAD8/AD8AAIAAAAAAADwvwLZ8PRKWWYpQAKZu5aQDxotwAAAAAAYAAAA/PwA/AACAAAAAAAA8L8CtFn1udqKKkACHqfoSC4PMsAAAAAAGAAAAPz8APwAAgAAAAAAAPC/Aio6kst/KCxAAn3Qs1n1OTLAAAAAABgAAAD8/AD8AAIAAAAAAADwvwJSuB6F63EpQALpt68D56wywAAAAAABEAAEAWUEAAAAAAAAAAAADAFlCAgAAAAAAAAABAgBZQgIAAAAAAAAAAgUAWUEAAAAAAAAAAAQDAFlBAAAAAAAAAAAEBQBZQQAAAAAAAAAABQYAWUEAAAAAAAAAAAYHAFlCAgAAAAAAAAAHCABZQQAAAAAAAAAACAQAWUIDAAAAAAAAAAgJAFlBAAAAAAAAAAAJCgBZQQAAAAAAAAAACQsAWUIAAAAAAAAAAAYMAFlBAAAAAAAAAAAMDQBZQQAAAAAAAAAADA4AWUEAAAAAAAAAAAAAAAA</t>
        </r>
      </text>
    </comment>
    <comment ref="A1694" authorId="0" shapeId="0" xr:uid="{4CF5EA68-7D2D-40BA-BACA-52DEA6B9E71A}">
      <text>
        <r>
          <rPr>
            <sz val="9"/>
            <color indexed="81"/>
            <rFont val="MS P ゴシック"/>
            <family val="3"/>
            <charset val="128"/>
          </rPr>
          <t>Insight iXlW00001C0001694R0585476093S00003386P01196LAocjBAQBF1NjaVRlZ2ljLmRhdGEuTW9sZWN1bGUBbwF/ARJTY2lUZWdpYy5Nb2xlY3VsZQAAAQFkAv5qAQAAAAIAAjwYAAAA/PwA/AACAAAAAAAA8L8C1udqK/YXKEACEHo2qz4XL8AAAAAAGAAAAPz8APwAAgAAAAAAAPC/Atbnaiv2FyhAAgIrhxbZXjDAAAAAABgAAAD8/AD8AAIAAAAAAADwvwJq3nGKjoQpQALzH9JvX8cwwAAAAAAYAAAA/PwA/AACAAAAAAAA8L8Cat5xio6EKUACi/1l9+RBLsAAAAAAGAAAAPz8APwAAgAAAAAAAPC/AnBfB84Z8SpAAhB6Nqs+Fy/AAAAAABwAAAD8/AD8AAIAAAAAAADwvwJsCfmgZ/MqQAIE54wo7V0wwAAAAAAYAAAA/PwA/AACAAAAAAAA8L8C+THmriWELEAC6Pup8dKdMMAAAAAAHAAAAPz8APwAAgAAAAAAAPC/An6utmJ/eS1AAva52or95S/AAAAAABgAAAD8/AD8AAIAAAAAAADwvwJxrIvbaIAsQAKlvcEXJpMuwAAAAAAYAAAA/PwA/AACAAAAAAAA8L8Cxm00gLcALUACOPjCZKoALcAAAAAAIAAAAPz8APwAAgAAAAAAAPC/ArCUZYhjnS5AAp88LNSapizAAAAAACAAAAD8/AD8AAIAAAAAAADwvwIyCKwcWuQrQAKA2T15WMgrwAAAAAAYAAAA/PwA/AACAAAAAAAA8L8CDXGsi9sILUACETY8vVJmMcAAAAAAGAAAAPz8APwAAgAAAAAAAPC/Ak9AE2HDsyxAAvkx5q4lNDLAAAAAABgAAAD8/AD8AAIAAAAAAADwvwKjtDf4wkQuQAKoV8oyxPExwAAAAAABEQAEAWUEAAAAAAAAAAAADAFlCAgAAAAAAAAABAgBZQgIAAAAAAAAAAgUAWUEAAAAAAAAAAAQDAFlBAAAAAAAAAAAEBQBZQQAAAAAAAAAABQYAWUEAAAAAAAAAAAYHAFlCAgAAAAAAAAAHCABZQQAAAAAAAAAACAQAWUIDAAAAAAAAAAgJAFlBAAAAAAAAAAAJCgBZQQAAAAAAAAAACQsAWUIAAAAAAAAAAAYMAFlBAAAAAAAAAAANDABZQQAAAAAAAAAADg0AWUEAAAAAAAAAAAwOAFlBAAAAAAAAAAAAAAAAA==</t>
        </r>
      </text>
    </comment>
    <comment ref="A1695" authorId="0" shapeId="0" xr:uid="{0E6BDA7C-A718-40A1-9DCF-C718F93CEB4D}">
      <text>
        <r>
          <rPr>
            <sz val="9"/>
            <color indexed="81"/>
            <rFont val="MS P ゴシック"/>
            <family val="3"/>
            <charset val="128"/>
          </rPr>
          <t>Insight iXlW00001C0001695R0585476093S00003388P01320LAocjBAQBF1NjaVRlZ2ljLmRhdGEuTW9sZWN1bGUBbwF/ARJTY2lUZWdpYy5Nb2xlY3VsZQAAAQFkAv5qAQAAAAIAAgERGAAAAPz8APwAAgAAAAAAAPC/Aum3rwPnjChAApwzorQ3OCrAAAAAABgAAAD8/AD8AAIAAAAAAADwvwJANV66SYwoQALJBz2bVd8rwAAAAAAYAAAA/PwA/AACAAAAAAAA8L8CYeXQItv5KUACbsX+snuyLMAAAAAAGAAAAPz8APwAAgAAAAAAAPC/AmKh1jTv+ClAAvd14JwRZSnAAAAAABgAAAD8/AD8AAIAAAAAAADwvwLYEvJBz2YrQAKgq63YXzYqwAAAAAAYAAAA/PwA/AACAAAAAAAA8L8CDJOpglFpK0ACP+jZrPrcK8AAAAAAHAAAAPz8APwAAgAAAAAAAPC/ArIubqMB/CxAAgU0ETY8XSzAAAAAABgAAAD8/AD8AAIAAAAAAADwvwL8OnDOiPItQALZzvdT4wUrwAAAAAAYAAAA/PwA/AACAAAAAAAA8L8CZF3cRgP4LEACxSCwcmixKcAAAAAAGAAAAPz8APwAAgAAAAAAAPC/AlTjpZvEgC1AAuj7qfHS7S3AAAAAABgAAAD8/AD8AAIAAAAAAADwvwLVCWgibJgvQAKlTkATYQMrwAAAAAAYAAAA/PwA/AACAAAAAAAA8L8C8mPMXUtoLEACKVyPwvUoL8AAAAAAJAAAAPz8APwAAgAAAAAAAPC/AngtIR/07CxAAnicoiO5XDDAAAAAACQAAAD8/AD8AAIAAAAAAADwvwLtL7snD8sqQAIzVTAqqdMuwAAAAAAkAAAA/PwA/AACAAAAAAAA8L8C6+I2GsA7K0ACDQIrhxYpMMAAAAAAIAAAAPz8APwAAgAAAAAAAPC/AvXb14FzNjBAAszuycNCbSzAAAAAACAAAAD8/AD8AAIAAAAAAADwvwL5MeauJTQwQAKKsOHplZIpwAAAAAABEgAEAWUICAAAAAAAAAAECAFlBAAAAAAAAAAACBQBZQgIAAAAAAAAABAMAWUICAAAAAAAAAAMAAFlBAAAAAAAAAAAEBQBZQQAAAAAAAAAABQYAWUEAAAAAAAAAAAYHAFlBAAAAAAAAAAAHCABZQgIAAAAAAAAACAQAWUEAAAAAAAAAAAYJAFlBAAAAAAAAAAAHCgBZQQAAAAAAAAAACQsAWUEAAAAAAAAAAAsMAFlBAAAAAAAAAAALDQBZQQAAAAAAAAAACw4AWUEAAAAAAAAAAAoPAFlBAAAAAAAAAAAKAEQAWUIAAAAAAAAAAAAAAAA</t>
        </r>
      </text>
    </comment>
    <comment ref="A1696" authorId="0" shapeId="0" xr:uid="{B17DCF3A-BBAF-4EEC-B392-62D7253901DD}">
      <text>
        <r>
          <rPr>
            <sz val="9"/>
            <color indexed="81"/>
            <rFont val="MS P ゴシック"/>
            <family val="3"/>
            <charset val="128"/>
          </rPr>
          <t>Insight iXlW00001C0001696R0585476093S00003390P01340LAocjBAQBF1NjaVRlZ2ljLmRhdGEuTW9sZWN1bGUBbwF/ARJTY2lUZWdpYy5Nb2xlY3VsZQAAAQFkAv5qAQAAAAIAAgERGAAAAPz8APwAAgAAAAAAAPC/At21hHzQkyRAAuzAOSNKOyrAAAAAABgAAAD8/AD8AAIAAAAAAADwvwLCqKROQJMkQAKmLEMc6+IrwAAAAAAYAAAA/PwA/AACAAAAAAAA8L8CUwWjkjoBJkACg8DKoUW2LMAAAAAAGAAAAPz8APwAAgAAAAAAAPC/AlXBqKROACZAAg8tsp3vZynAAAAAABgAAAD8/AD8AAIAAAAAAADwvwI830+Nl24nQALwOEVHcjkqwAAAAAAYAAAA/PwA/AACAAAAAAAA8L8C4umVsgxxJ0ACHA3gLZDgK8AAAAAAHAAAAPz8APwAAgAAAAAAAPC/AhUdyeU/BClAAo25awn5YCzAAAAAABgAAAD8/AD8AAIAAAAAAADwvwKX/5B++/opQAJiMlUwKgkrwAAAAAAYAAAA/PwA/AACAAAAAAAA8L8Cx0s3iUEAKUAC+cJkqmC0KcAAAAAAGAAAAPz8APwAAgAAAAAAAPC/AtS84xQdiSlAAuAtkKD48S3AAAAAABgAAAD8/AD8AAIAAAAAAADwvwL+ZffkYaErQAK8Jw8LtQYrwAAAAAAYAAAA/PwA/AACAAAAAAAA8L8CjgbwFkhwKEACBcWPMXctL8AAAAAAGAAAAPz8APwAAgAAAAAAAPC/AkETYcPTyyZAAmhEaW/wRS/AAAAAABgAAAD8/AD8AAIAAAAAAADwvwLAfR04Z+QmQAKEns2qz3UwwAAAAAAYAAAA/PwA/AACAAAAAAAA8L8CYHZPHhaKKEACDCQofoxpMMAAAAAAIAAAAPz8APwAAgAAAAAAAPC/AmfV52ordixAAlR0JJf/cCzAAAAAACAAAAD8/AD8AAIAAAAAAADwvwLhC5OpgnEsQAKhZ7Pqc5UpwAAAAAABEwAEAWUICAAAAAAAAAAECAFlBAAAAAAAAAAACBQBZQgIAAAAAAAAABAMAWUICAAAAAAAAAAMAAFlBAAAAAAAAAAAEBQBZQQAAAAAAAAAABQYAWUEAAAAAAAAAAAYHAFlBAAAAAAAAAAAHCABZQgIAAAAAAAAACAQAWUEAAAAAAAAAAAYJAFlBAAAAAAAAAAAHCgBZQQAAAAAAAAAACQsAWUEAAAAAAAAAAAsMAFlBAAAAAAAAAAAMDQBZQQAAAAAAAAAADQ4AWUEAAAAAAAAAAA4LAFlBAAAAAAAAAAAKDwBZQQAAAAAAAAAACgBEAFlCAAAAAAAAAAAAAAAAA==</t>
        </r>
      </text>
    </comment>
    <comment ref="A1697" authorId="0" shapeId="0" xr:uid="{60A8B480-8A4A-4C0F-8753-27F0857F76B1}">
      <text>
        <r>
          <rPr>
            <sz val="9"/>
            <color indexed="81"/>
            <rFont val="MS P ゴシック"/>
            <family val="3"/>
            <charset val="128"/>
          </rPr>
          <t>Insight iXlW00001C0001697R0585476093S00003392P01176LAocjBAQBF1NjaVRlZ2ljLmRhdGEuTW9sZWN1bGUBbwF/ARJTY2lUZWdpYy5Nb2xlY3VsZQAAAQFkAv5qAQAAAAIAAjwYAAAA/PwA/AACAAAAAAAA8L8C6Gor9peNOUACEOm3rwPHL8AAAAAAGAAAAPz8APwAAgAAAAAAAPC/AuhqK/aXjTlAArsnDwu1tjDAAAAAABgAAAD8/AD8AAIAAAAAAADwvwLcaABvgUQ6QAJVwaikTiAxwAAAAAAYAAAA/PwA/AACAAAAAAAA8L8CCawcWmT7OkACuycPC7W2MMAAAAAAGAAAAPz8APwAAgAAAAAAAPC/AgmsHFpk+zpAAhDpt68Dxy/AAAAAABgAAAD8/AD8AAIAAAAAAADwvwLcaABvgUQ6QALdtYR80PMuwAAAAAAcAAAA/PwA/AACAAAAAAAA8L8C3NeBc0bEO0ACnaIjufz3MMAAAAAAGAAAAPz8APwAAgAAAAAAAPC/AnGsi9toQDxAAiKOdXEbTTDAAAAAABgAAAD8/AD8AAIAAAAAAADwvwLc14FzRsQ7QALcaABvgUQvwAAAAAAYAAAA/PwA/AACAAAAAAAA8L8Cpd++DpwTPUACIo51cRtNMMAAAAAAIAAAAPz8APwAAgAAAAAAAPC/Aj55WKg1fT1AAuqVsgxxLC/AAAAAACAAAAD8/AD8AAIAAAAAAADwvwI+eVioNX09QAIWjErqBAQxwAAAAAAYAAAA/PwA/AACAAAAAAAA8L8C3NeBc0bEO0AC0NVW7C/LMcAAAAAAGAAAAPz8APwAAgAAAAAAAPC/Agkbnl4pezxAAmpv8IXJNDLAAAAAABgAAAD8/AD8AAIAAAAAAADwvwLp2az6XA07QAJqb/CFyTQywAAAAAABEAAEAWUICAAAAAAAAAAECAFlBAAAAAAAAAAACAwBZQgIAAAAAAAAAAwQAWUEAAAAAAAAAAAQFAFlCAgAAAAAAAAAFAABZQQAAAAAAAAAAAwYAWUEAAAAAAAAAAAYHAFlBAAAAAAAAAAAHCABZQgIAAAAAAAAACAQAWUEAAAAAAAAAAAcJAFlBAAAAAAAAAAAJCgBZQQAAAAAAAAAACQsAWUIAAAAAAAAAAAYMAFlBAAAAAAAAAAAMDQBZQQAAAAAAAAAADA4AWUEAAAAAAAAAAAAAAAA</t>
        </r>
      </text>
    </comment>
    <comment ref="A1698" authorId="0" shapeId="0" xr:uid="{012817AA-C6EB-4DE1-BE7E-5964306053AD}">
      <text>
        <r>
          <rPr>
            <sz val="9"/>
            <color indexed="81"/>
            <rFont val="MS P ゴシック"/>
            <family val="3"/>
            <charset val="128"/>
          </rPr>
          <t>Insight iXlW00001C0001698R0585476093S00003394P01160LAocjBAQBF1NjaVRlZ2ljLmRhdGEuTW9sZWN1bGUBbwF/ARJTY2lUZWdpYy5Nb2xlY3VsZQAAAQFkAv5qAQAAAAIAAjwcAAAA/PwA/AACAAAAAAAA8L8Cmggbnl7pJkACINJvXweOKsAAAAAAGAAAAPz8APwAAgAAAAAAAPC/AgFvgQTFjyhAAiDSb18HjirAAAAAABgAAAD8/AD8AAIAAAAAAADwvwLCqKROQBMpQAI/xty1hPwowAAAAAAcAAAA/PwA/AACAAAAAAAA8L8CzjtO0ZG8J0ACF9nO91MDKMAAAAAAGAAAAPz8APwAAgAAAAAAAPC/AisYldQJaCZAAj/G3LWE/CjAAAAAABgAAAD8/AD8AAIAAAAAAADwvwKDwMqhRdYkQAJEHOviNnoowAAAAAAcAAAA/PwA/AACAAAAAAAA8L8CP8bctYScI0ACokW28/2UKcAAAAAAGAAAAPz8APwAAgAAAAAAAPC/ApZDi2znuydAArByaJHtXCbAAAAAABgAAAD8/AD8AAIAAAAAAADwvwIL16NwPSopQALT3uALk4klwAAAAAAYAAAA/PwA/AACAAAAAAAA8L8CC7WmeccpKUACT6+UZYjjI8AAAAAAGAAAAPz8APwAAgAAAAAAAPC/AgmsHFpkuydAAsfctYR8ECPAAAAAABgAAAD8/AD8AAIAAAAAAADwvwKx4emVskwmQAKDUUmdgOYjwAAAAAAYAAAA/PwA/AACAAAAAAAA8L8CHxZqTfNOJkACQRNhw9OLJcAAAAAAJAAAAPz8APwAAgAAAAAAAPC/AmfV52orlipAAl8pyxDHWibAAAAAAAERAAAA/PwA/AACAAAAAAAA8L8Cn82qz9X2KkAC/Knx0k3iJ8AAAAAAPAAEAWUEAAAAAAAAAAAECAFlCAgAAAAAAAAACAwBZQQAAAAAAAAAAAwQAWUEAAAAAAAAAAAQAAFlCAgAAAAAAAAAEBQBZQQAAAAAAAAAABQYAWUEAAAAAAAAAAAMHAFlBAAAAAAAAAAAHCABZQgMAAAAAAAAACAkAWUEAAAAAAAAAAAkKAFlCAgAAAAAAAAAKCwBZQQAAAAAAAAAACwwAWUICAAAAAAAAAAwHAFlBAAAAAAAAAAAIDQBZQQAAAAAAAAAAAAAAAA=</t>
        </r>
      </text>
    </comment>
    <comment ref="A1699" authorId="0" shapeId="0" xr:uid="{191314EF-13E7-4C34-85F7-43A197C0DB92}">
      <text>
        <r>
          <rPr>
            <sz val="9"/>
            <color indexed="81"/>
            <rFont val="MS P ゴシック"/>
            <family val="3"/>
            <charset val="128"/>
          </rPr>
          <t>Insight iXlW00001C0001699R0585476093S00003396P00860LAocjBAQBF1NjaVRlZ2ljLmRhdGEuTW9sZWN1bGUBbwF/ARJTY2lUZWdpYy5Nb2xlY3VsZQAAAQFkAv5qAQAAAAIAAiwYAAAA/PwA/AACAAAAAAAA8L8Cz4jS3uBrLUAC9UpZhjhGMcAAAAAAGAAAAPz8APwAAgAAAAAAAPC/AjWAt0CCIilAApoIG55eCTDAAAAAABgAAAD8/AD8AAIAAAAAAADwvwKL/WX35CEpQAJ3vp8aL90wwAAAAAAcAAAA/PwA/AACAAAAAAAA8L8Cq8/VVuyPKkAC9P3UeOlGMcAAAAAAGAAAAPz8APwAAgAAAAAAAPC/Aq36XG3F/itAApQYBFYO3TDAAAAAABgAAAD8/AD8AAIAAAAAAADwvwKTqYJRSf0rQAKcxCCwcggwwAAAAAAYAAAA/PwA/AACAAAAAAAA8L8CrYvbaACPKkACV32utmI/L8AAAAAAHAAAAPz8APwAAgAAAAAAAPC/ApxVn6ut2C5AAuxRuB6F2zDAAAAAABgAAAD8/AD8AAIAAAAAAADwvwKkcD0K1yMwQAIydy0hH0QxwAAAAAAkAAAA/PwA/AACAAAAAAAA8L8C+aBns+qzJ0ACLbKd76dGMcAAAAAAAREAAAD8/AD8AAIAAAAAAADwvwLQZtXnaosmQAIxmSoYlTQvwAAAAAAoBAgBZQgIAAAAAAAAAAgMAWUEAAAAAAAAAAAMEAFlCAgAAAAAAAAAEBQBZQQAAAAAAAAAABQYAWUICAAAAAAAAAAYBAFlBAAAAAAAAAAAEAABZQQAAAAAAAAAAAAcAWUEAAAAAAAAAAAcIAFlBAAAAAAAAAAACCQBZQQAAAAAAAAAAAAAAAA=</t>
        </r>
      </text>
    </comment>
    <comment ref="A1700" authorId="0" shapeId="0" xr:uid="{30636F26-32CF-4FC9-AE08-B2E91BD8C9A9}">
      <text>
        <r>
          <rPr>
            <sz val="9"/>
            <color indexed="81"/>
            <rFont val="MS P ゴシック"/>
            <family val="3"/>
            <charset val="128"/>
          </rPr>
          <t>Insight iXlW00001C0001700R0585476093S00003398P00860LAocjBAQBF1NjaVRlZ2ljLmRhdGEuTW9sZWN1bGUBbwF/ARJTY2lUZWdpYy5Nb2xlY3VsZQAAAQFkAv5qAQAAAAIAAiwYAAAA/PwA/AACAAAAAAAA8L8CY3/ZPXmYLEACUyegibCBKcAAAAAAGAAAAPz8APwAAgAAAAAAAPC/AnPXEvJBTyhAArmNBvAWCCfAAAAAABgAAAD8/AD8AAIAAAAAAADwvwLKVMGopE4oQAJz+Q/pt68owAAAAAAcAAAA/PwA/AACAAAAAAAA8L8CXLG/7J68KUACUI2XbhKDKcAAAAAAGAAAAPz8APwAAgAAAAAAAPC/AtBm1edqKytAAqyt2F92ryjAAAAAABgAAAD8/AD8AAIAAAAAAADwvwJEi2zn+ykrQAK8BRIUPwYnwAAAAAAYAAAA/PwA/AACAAAAAAAA8L8CXW3F/rK7KUACam/whck0JsAAAAAAHAAAAPz8APwAAgAAAAAAAPC/AqLWNO84BS5AAlwgQfFjrCjAAAAAABgAAAD8/AD8AAIAAAAAAADwvwJOYhBYOXQvQALMf0i/fX0pwAAAAAABEQAAAPz8APwAAgAAAAAAAPC/Alhbsb/s3iZAAgHeAgmKfynAAAAAAAERAAAA/PwA/AACAAAAAAAA8L8C/Knx0k0CJkAClyGOdXGbJcAAAAAAKAQIAWUICAAAAAAAAAAIDAFlBAAAAAAAAAAADBABZQgIAAAAAAAAABAUAWUEAAAAAAAAAAAUGAFlCAgAAAAAAAAAGAQBZQQAAAAAAAAAABAAAWUEAAAAAAAAAAAAHAFlBAAAAAAAAAAAHCABZQQAAAAAAAAAAAgkAWUEAAAAAAAAAAAAAAAA</t>
        </r>
      </text>
    </comment>
    <comment ref="A1701" authorId="0" shapeId="0" xr:uid="{DBDDE88F-F553-45DB-86A9-6B735490D9BD}">
      <text>
        <r>
          <rPr>
            <sz val="9"/>
            <color indexed="81"/>
            <rFont val="MS P ゴシック"/>
            <family val="3"/>
            <charset val="128"/>
          </rPr>
          <t>Insight iXlW00001C0001701R0585476093S00003400P00916LAocjBAQBF1NjaVRlZ2ljLmRhdGEuTW9sZWN1bGUBbwF/ARJTY2lUZWdpYy5Nb2xlY3VsZQAAAQFkAv5qAQAAAAIAAjAYAAAA/PwA/AACAAAAAAAA8L8CF9nO91ODKEACumsJ+aDnMsAAAAAAGAAAAPz8APwAAgAAAAAAAPC/ArWmeccpOiRAArRZ9bnaqjHAAAAAABgAAAD8/AD8AAIAAAAAAADwvwKamZmZmTkkQALKVMGopH4ywAAAAAAcAAAA/PwA/AACAAAAAAAA8L8CnoAmwoanJUACuR6F61HoMsAAAAAAGAAAAPz8APwAAgAAAAAAAPC/AoPAyqFFFidAAuauJeSDfjLAAAAAABgAAAD8/AD8AAIAAAAAAADwvwL45GGh1hQnQAK2FfvL7qkxwAAAAAAYAAAA/PwA/AACAAAAAAAA8L8Cnzws1JqmJUACjErqBDRBMcAAAAAAHAAAAPz8APwAAgAAAAAAAPC/AuSlm8Qg8ClAAj/o2az6fDLAAAAAABgAAAD8/AD8AAIAAAAAAADwvwICvAUSFF8rQAK9UpYhjuUywAAAAAAYAAAA/PwA/AACAAAAAAAA8L8CCD2bVZ/LIkACuY0G8BboMsAAAAAAAREAAAD8/AD8AAIAAAAAAADwvwJiMlUwKokpQAL+1HjpJpExwAAAAAABEQAAAPz8APwAAgAAAAAAAPC/AgAAAAAAICJAAjXvOEVHAjHAAAAAACgECAFlCAgAAAAAAAAACAwBZQQAAAAAAAAAAAwQAWUICAAAAAAAAAAQFAFlBAAAAAAAAAAAFBgBZQgIAAAAAAAAABgEAWUEAAAAAAAAAAAQAAFlBAAAAAAAAAAAABwBZQQAAAAAAAAAABwgAWUEAAAAAAAAAAAIJAFlBAAAAAAAAAAAAAAAAA==</t>
        </r>
      </text>
    </comment>
    <comment ref="A1702" authorId="0" shapeId="0" xr:uid="{264BCD47-AD49-4D20-946D-1EE8C5498B28}">
      <text>
        <r>
          <rPr>
            <sz val="9"/>
            <color indexed="81"/>
            <rFont val="MS P ゴシック"/>
            <family val="3"/>
            <charset val="128"/>
          </rPr>
          <t>Insight iXlW00001C0001702R0585476093S00003402P00984LAocjBAQBF1NjaVRlZ2ljLmRhdGEuTW9sZWN1bGUBbwF/ARJTY2lUZWdpYy5Nb2xlY3VsZQAAAQFkAv5qAQAAAAIAAjQYAAAA/PwA/AACAAAAAAAA8L8Cayv2l93zJUACQRNhw9PbMcAAAAAAGAAAAPz8APwAAgAAAAAAAPC/Au0NvjCZqiFAAq2L22gAnzDAAAAAABgAAAD8/AD8AAIAAAAAAADwvwLSAN4CCaohQAKJQWDl0HIxwAAAAAAcAAAA/PwA/AACAAAAAAAA8L8CZF3cRgMYI0ACP8bctYTcMcAAAAAAGAAAAPz8APwAAgAAAAAAAPC/AtgS8kHPhiRAAqabxCCwcjHAAAAAABgAAAD8/AD8AAIAAAAAAADwvwJMN4lBYIUkQAKuR+F6FJ4wwAAAAAAYAAAA/PwA/AACAAAAAAAA8L8CZRniWBcXI0ACvsEXJlM1MMAAAAAAHAAAAPz8APwAAgAAAAAAAPC/Ajj4wmSqYCdAAv7UeOkmcTHAAAAAABgAAAD8/AD8AAIAAAAAAADwvwLkg57Nqs8oQAJ9PzVeutkxwAAAAAAgAAAA/PwA/AACAAAAAAAA8L8CQKTfvg48IEACeXqlLEPcMcAAAAAAGAAAAPz8APwAAgAAAAAAAPC/AgYSFD/GnB1AAvw6cM6IcjHAAAAAAAERAAAA/PwA/AACAAAAAAAA8L8CYjJVMCopIEACAAAAAACgLsAAAAAAAREAAAD8/AD8AAIAAAAAAADwvwLQZtXnakslQALHuriNBpAvwAAAAAAsBAgBZQgIAAAAAAAAAAgMAWUEAAAAAAAAAAAMEAFlCAgAAAAAAAAAEBQBZQQAAAAAAAAAABQYAWUICAAAAAAAAAAYBAFlBAAAAAAAAAAAEAABZQQAAAAAAAAAAAAcAWUEAAAAAAAAAAAcIAFlBAAAAAAAAAAACCQBZQQAAAAAAAAAACQoAWUEAAAAAAAAAAAAAAAA</t>
        </r>
      </text>
    </comment>
    <comment ref="A1703" authorId="0" shapeId="0" xr:uid="{7B9D5CEF-4E82-403F-AAFB-221FD5BFB9B5}">
      <text>
        <r>
          <rPr>
            <sz val="9"/>
            <color indexed="81"/>
            <rFont val="MS P ゴシック"/>
            <family val="3"/>
            <charset val="128"/>
          </rPr>
          <t>Insight iXlW00001C0001703R0585476093S00003404P01248LAocjBAQBF1NjaVRlZ2ljLmRhdGEuTW9sZWN1bGUBbwF/ARJTY2lUZWdpYy5Nb2xlY3VsZQAAAQFkAv5qAQAAAAIAAgEQGAAAAPz8APwAAgAAAAAAAPC/ArRZ9bna6ihAAmTMXUvIJzDAAAAAABgAAAD8/AD8AAIAAAAAAADwvwKZTBWMSuooQAJe3EYDePswwAAAAAAYAAAA/PwA/AACAAAAAAAA8L8C8tJNYhBYKkAChetRuB5lMcAAAAAAGAAAAPz8APwAAgAAAAAAAPC/ArwnDwu1xitAAno2qz5X+zDAAAAAABgAAAD8/AD8AAIAAAAAAADwvwKi1jTvOMUrQAKfzarP1SYwwAAAAAAYAAAA/PwA/AACAAAAAAAA8L8C9I5TdCRXKkACB/AWSFB8L8AAAAAAGAAAAPz8APwAAgAAAAAAAPC/AtGzWfW5eidAAu58PzVeei/AAAAAACAAAAD8/AD8AAIAAAAAAADwvwJb07zjFH0nQAIa4lgXt9EtwAAAAAAgAAAA/PwA/AACAAAAAAAA8L8CldQJaCIMJkAC1lbsL7snMMAAAAAAHAAAAPz8APwAAgAAAAAAAPC/Ak2EDU+vNC1AAvhT46WbZDHAAAAAABgAAAD8/AD8AAIAAAAAAADwvwLhnBGlvWEtQALZzvdT4zUywAAAAAAYAAAA/PwA/AACAAAAAAAA8L8CyuU/pN/+LkACjNtoAG9hMsAAAAAAHAAAAPz8APwAAgAAAAAAAPC/AsUgsHJo0S9AAkOtad5xqjHAAAAAABgAAAD8/AD8AAIAAAAAAADwvwKgq63YX7YuQALo+6nx0g0xwAAAAAAgAAAA/PwA/AACAAAAAAAA8L8CeC0hH/QML0AC5WGh1jQ/MMAAAAAAGAAAAPz8APwAAgAAAAAAAPC/Au0NvjCZujBAAt1GA3gLlDHAAAAAAAERAAQBZQgIAAAAAAAAAAQIAWUEAAAAAAAAAAAIDAFlCAgAAAAAAAAADBABZQQAAAAAAAAAABAUAWUICAAAAAAAAAAUAAFlBAAAAAAAAAAAABgBZQQAAAAAAAAAABgcAWUEAAAAAAAAAAAYIAFlCAAAAAAAAAAADCQBZQQAAAAAAAAAACQoAWUEAAAAAAAAAAAoLAFlBAAAAAAAAAAALDABZQQAAAAAAAAAADA0AWUEAAAAAAAAAAA0JAFlBAAAAAAAAAAANDgBZQgAAAAAAAAAADA8AWUEAAAAAAAAAAAAAAAA</t>
        </r>
      </text>
    </comment>
    <comment ref="A1704" authorId="0" shapeId="0" xr:uid="{8178B241-D969-47DF-B186-A7E739D4CE60}">
      <text>
        <r>
          <rPr>
            <sz val="9"/>
            <color indexed="81"/>
            <rFont val="MS P ゴシック"/>
            <family val="3"/>
            <charset val="128"/>
          </rPr>
          <t>Insight iXlW00001C0001704R0585476093S00003406P01248LAocjBAQBF1NjaVRlZ2ljLmRhdGEuTW9sZWN1bGUBbwF/ARJTY2lUZWdpYy5Nb2xlY3VsZQAAAQFkAv5qAQAAAAIAAgEQGAAAAPz8APwAAgAAAAAAAPC/Ak0VjErqJCNAAqfoSC7/gSjAAAAAABgAAAD8/AD8AAIAAAAAAADwvwKjkjoBTSQjQAJhVFInoCkqwAAAAAAYAAAA/PwA/AACAAAAAAAA8L8CNe84RUeSJEACP+jZrPr8KsAAAAAAGAAAAPz8APwAAgAAAAAAAPC/AjcawFsgASZAApoIG55eKSrAAAAAABgAAAD8/AD8AAIAAAAAAADwvwIdyeU/pP8lQAKrYFRSJ4AowAAAAAAYAAAA/PwA/AACAAAAAAAA8L8CN6s+V1uRJEACylTBqKSuJ8AAAAAAHAAAAPz8APwAAgAAAAAAAPC/AnPXEvJBbydAArIubqMB/CrAAAAAABgAAAD8/AD8AAIAAAAAAADwvwIH8BZIUJwnQAKt+lxtxZ4swAAAAAAYAAAA/PwA/AACAAAAAAAA8L8CKA8LtaY5KUACoYmw4en1LMAAAAAAHAAAAPz8APwAAgAAAAAAAPC/AkA1XrpJDCpAAmTMXUvIhyvAAAAAABgAAAD8/AD8AAIAAAAAAADwvwJwXwfOGfEoQAJ1kxgEVk4qwAAAAAAgAAAA/PwA/AACAAAAAAAA8L8C1lbsL7tHKUACxv6ye/KwKMAAAAAAGAAAAPz8APwAAgAAAAAAAPC/AhE2PL1StiFAAj/G3LWE/CrAAAAAACAAAAD8/AD8AAIAAAAAAADwvwK2FfvL7kkgQAJCz2bV5yoqwAAAAAAgAAAA/PwA/AACAAAAAAAA8L8C1sVtNIC3IUACat5xio6kLMAAAAAAGAAAAPz8APwAAgAAAAAAAPC/Ao4G8BZIsCtAAgmKH2PuWivAAAAAAAERAAQBZQgIAAAAAAAAAAQIAWUEAAAAAAAAAAAIDAFlCAgAAAAAAAAADBABZQQAAAAAAAAAABAUAWUICAAAAAAAAAAUAAFlBAAAAAAAAAAADBgBZQQAAAAAAAAAABgcAWUEAAAAAAAAAAAcIAFlBAAAAAAAAAAAICQBZQQAAAAAAAAAACQoAWUEAAAAAAAAAAAoGAFlBAAAAAAAAAAAKCwBZQgAAAAAAAAAAAQwAWUEAAAAAAAAAAAwNAFlBAAAAAAAAAAAMDgBZQgAAAAAAAAAACQ8AWUEAAAAAAAAAAAAAAAA</t>
        </r>
      </text>
    </comment>
    <comment ref="A1705" authorId="0" shapeId="0" xr:uid="{08CAE4A2-4CDC-48A5-A2D0-ABA1B5185AE7}">
      <text>
        <r>
          <rPr>
            <sz val="9"/>
            <color indexed="81"/>
            <rFont val="MS P ゴシック"/>
            <family val="3"/>
            <charset val="128"/>
          </rPr>
          <t>Insight iXlW00001C0001705R0585476093S00003408P01248LAocjBAQBF1NjaVRlZ2ljLmRhdGEuTW9sZWN1bGUBbwF/ARJTY2lUZWdpYy5Nb2xlY3VsZQAAAQFkAv5qAQAAAAIAAgEQGAAAAPz8APwAAgAAAAAAAPC/AiUGgZVDSyRAAkVpb/CFSS7AAAAAABgAAAD8/AD8AAIAAAAAAADwvwJ8gy9MpkokQAL+1HjpJvEvwAAAAAAYAAAA/PwA/AACAAAAAAAA8L8CDeAtkKC4JUACNe84RUdiMMAAAAAAGAAAAPz8APwAAgAAAAAAAPC/Ag8LtaZ5JydAAjiJQWDl8C/AAAAAABgAAAD8/AD8AAIAAAAAAADwvwL2udqK/SUnQAJI4XoUrkcuwAAAAAAYAAAA/PwA/AACAAAAAAAA8L8CD5wzorS3JUAC9UpZhjh2LcAAAAAAHAAAAPz8APwAAgAAAAAAAPC/AkzIBz2blShAAqhXyjLEYTDAAAAAABgAAAD8/AD8AAIAAAAAAADwvwJtVn2utsIoQAKlvcEXJjMxwAAAAAAYAAAA/PwA/AACAAAAAAAA8L8CAAAAAABgKkAC5j+k375eMcAAAAAAHAAAAPz8APwAAgAAAAAAAPC/AhgmUwWjMitAAoEmwoanpzDAAAAAABgAAAD8/AD8AAIAAAAAAADwvwJIUPwYcxcqQALQRNjw9AowwAAAAAAgAAAA/PwA/AACAAAAAAAA8L8CPb1SliFuKkACY3/ZPXl4LsAAAAAAGAAAAPz8APwAAgAAAAAAAPC/AvH0SlmGuCVAAmgibHh6NTHAAAAAACAAAAD8/AD8AAIAAAAAAADwvwJ6xyk6kkskQAIf9GxWfZ4xwAAAAAAgAAAA/PwA/AACAAAAAAAA8L8Cnl4pyxAnJ0ACysNCrWmeMcAAAAAAGAAAAPz8APwAAgAAAAAAAPC/AvVsVn2u1ixAAlMFo5I6kTDAAAAAAAERAAQBZQgIAAAAAAAAAAQIAWUEAAAAAAAAAAAIDAFlCAgAAAAAAAAADBABZQQAAAAAAAAAABAUAWUICAAAAAAAAAAUAAFlBAAAAAAAAAAADBgBZQQAAAAAAAAAABgcAWUEAAAAAAAAAAAcIAFlBAAAAAAAAAAAICQBZQQAAAAAAAAAACQoAWUEAAAAAAAAAAAoGAFlBAAAAAAAAAAAKCwBZQgAAAAAAAAAAAgwAWUEAAAAAAAAAAAwNAFlBAAAAAAAAAAAMDgBZQgAAAAAAAAAACQ8AWUEAAAAAAAAAAAAAAAA</t>
        </r>
      </text>
    </comment>
    <comment ref="A1706" authorId="0" shapeId="0" xr:uid="{307D549C-7638-43D7-BE1C-57876CCEC672}">
      <text>
        <r>
          <rPr>
            <sz val="9"/>
            <color indexed="81"/>
            <rFont val="MS P ゴシック"/>
            <family val="3"/>
            <charset val="128"/>
          </rPr>
          <t>Insight iXlW00001C0001706R0585476093S00003410P01268LAocjBAQBF1NjaVRlZ2ljLmRhdGEuTW9sZWN1bGUBbwF/ARJTY2lUZWdpYy5Nb2xlY3VsZQAAAQFkAv5qAQAAAAIAAgEQGAAAAPz8APwAAgAAAAAAAPC/AsuhRbbz/SFAAuELk6mCMTHAAAAAABgAAAD8/AD8AAIAAAAAAADwvwLLoUW28/0hQAIUP8bctQQywAAAAAAYAAAA/PwA/AACAAAAAAAA8L8CX5hMFYxqI0ACBTQRNjxtMsAAAAAAGAAAAPz8APwAAgAAAAAAAPC/Al+YTBWMaiNAAp/Nqs/VxjDAAAAAABgAAAD8/AD8AAIAAAAAAADwvwJlGeJYF9ckQALhC5OpgjExwAAAAAAcAAAA/PwA/AACAAAAAAAA8L8CYcPTK2XZJEACFvvL7skDMsAAAAAAGAAAAPz8APwAAgAAAAAAAPC/Au7rwDkjaiZAAvoP6bevQzLAAAAAABwAAAD8/AD8AAIAAAAAAADwvwJzaJHtfF8nQAINcayL25gxwAAAAAAYAAAA/PwA/AACAAAAAAAA8L8CZ2ZmZmZmJkAC5fIf0m/vMMAAAAAAGAAAAPz8APwAAgAAAAAAAPC/ArsnDwu15iZAAvVKWYY4JjDAAAAAACAAAAD8/AD8AAIAAAAAAADwvwIzxLEuboMoQALDZKpgVPIvwAAAAAAgAAAA/PwA/AACAAAAAAAA8L8CJ8KGp1fKJUACpAG8BRIUL8AAAAAAGAAAAPz8APwAAgAAAAAAAPC/AgIrhxbZ7iZAAusENBE2DDPAAAAAABgAAAD8/AD8AAIAAAAAAADwvwJz1xLyQS8mQAIOT6+UZcgzwAAAAAAYAAAA/PwA/AACAAAAAAAA8L8CYxBYObSoJ0AC1zTvOEUnNMAAAAAAGAAAAPz8APwAAgAAAAAAAPC/AmdmZmZmZihAAl+YTBWMajPAAAAAAAESAAQBZQQAAAAAAAAAAAAMAWUICAAAAAAAAAAECAFlCAgAAAAAAAAACBQBZQQAAAAAAAAAABAMAWUEAAAAAAAAAAAQFAFlBAAAAAAAAAAAFBgBZQQAAAAAAAAAABgcAWUICAAAAAAAAAAcIAFlBAAAAAAAAAAAIBABZQgMAAAAAAAAACAkAWUEAAAAAAAAAAAkKAFlBAAAAAAAAAAAJCwBZQgAAAAAAAAAABgwAWUEAAAAAAAAAAAwNAFlBAAAAAAAAAAANDgBZQQAAAAAAAAAADg8AWUEAAAAAAAAAAA8MAFlBAAAAAAAAAAAAAAAAA==</t>
        </r>
      </text>
    </comment>
    <comment ref="A1707" authorId="0" shapeId="0" xr:uid="{4E41B947-7964-4059-8ACE-142121F0A736}">
      <text>
        <r>
          <rPr>
            <sz val="9"/>
            <color indexed="81"/>
            <rFont val="MS P ゴシック"/>
            <family val="3"/>
            <charset val="128"/>
          </rPr>
          <t>Insight iXlW00001C0001707R0585476093S00003412P01412LAocjBAQBF1NjaVRlZ2ljLmRhdGEuTW9sZWN1bGUBbwF/ARJTY2lUZWdpYy5Nb2xlY3VsZQAAAQFkAv5qAQAAAAIAAgESGAAAAPz8APwAAgAAAAAAAPC/AlkXt9EAXiNAAk7RkVz+ozDAAAAAABgAAAD8/AD8AAIAAAAAAADwvwJZF7fRAF4jQAKCBMWPMXcxwAAAAAAYAAAA/PwA/AACAAAAAAAA8L8CX5hMFYzKJEACc/kP6bffMcAAAAAAGAAAAPz8APwAAgAAAAAAAPC/Al+YTBWMyiRAAgyTqYJROTDAAAAAABgAAAD8/AD8AAIAAAAAAADwvwJlGeJYFzcmQAJO0ZFc/qMwwAAAAAAcAAAA/PwA/AACAAAAAAAA8L8CYcPTK2U5JkACg8DKoUV2McAAAAAAGAAAAPz8APwAAgAAAAAAAPC/Au7rwDkjyidAAmfV52ortjHAAAAAABwAAAD8/AD8AAIAAAAAAADwvwJzaJHtfL8oQAJB8WPMXQsxwAAAAAAYAAAA/PwA/AACAAAAAAAA8L8CZ2ZmZmbGJ0ACUrgehethMMAAAAAAGAAAAPz8APwAAgAAAAAAAPC/ArwnDwu1RihAAsUgsHJoMS/AAAAAACAAAAD8/AD8AAIAAAAAAADwvwKlTkATYeMpQAKe76fGS9cuwAAAAAAgAAAA/PwA/AACAAAAAAAA8L8CJ8KGp1cqJ0ACDQIrhxb5LcAAAAAAGAAAAPz8APwAAgAAAAAAAPC/AgIrhxbZTihAApEPejarfjLAAAAAABgAAAD8/AD8AAIAAAAAAADwvwJQHhZqTTMnQALsUbgehRszwAAAAAAYAAAA/PwA/AACAAAAAAAA8L8CvJaQD3q2J0ACF9nO91PjM8AAAAAAIAAAAPz8APwAAgAAAAAAAPC/Amsr9pfdUylAAh6n6EguDzTAAAAAABgAAAD8/AD8AAIAAAAAAADwvwJ2cRsN4G0qQAL99nXgnHEzwAAAAAAYAAAA/PwA/AACAAAAAAAA8L8C0SLb+X7qKUAC1XjpJjGoMsAAAAAAARQABAFlBAAAAAAAAAAAAAwBZQgIAAAAAAAAAAQIAWUICAAAAAAAAAAIFAFlBAAAAAAAAAAAEAwBZQQAAAAAAAAAABAUAWUEAAAAAAAAAAAUGAFlBAAAAAAAAAAAGBwBZQgIAAAAAAAAABwgAWUEAAAAAAAAAAAgEAFlCAwAAAAAAAAAICQBZQQAAAAAAAAAACQoAWUEAAAAAAAAAAAkLAFlCAAAAAAAAAAAGDABZQQAAAAAAAAAADA0AWUEAAAAAAAAAAAwAREBZQQAAAAAAAAAADQ4AWUEAAAAAAAAAAA4PAFlBAAAAAAAAAAAPAEQAWUEAAAAAAAAAAABEAERAWUEAAAAAAAAAAAAAAAA</t>
        </r>
      </text>
    </comment>
    <comment ref="A1708" authorId="0" shapeId="0" xr:uid="{DAD3D850-5867-4D64-B313-5DB22E2E22FF}">
      <text>
        <r>
          <rPr>
            <sz val="9"/>
            <color indexed="81"/>
            <rFont val="MS P ゴシック"/>
            <family val="3"/>
            <charset val="128"/>
          </rPr>
          <t>Insight iXlW00001C0001708R0585476093S00003414P01412LAocjBAQBF1NjaVRlZ2ljLmRhdGEuTW9sZWN1bGUBbwF/ARJTY2lUZWdpYy5Nb2xlY3VsZQAAAQFkAv5qAQAAAAIAAgESGAAAAPz8APwAAgAAAAAAAPC/AkGC4seYWyJAAv8h/fZ1MDHAAAAAABgAAAD8/AD8AAIAAAAAAADwvwImdQKaCFsiQAL5MeauJQQywAAAAAAYAAAA/PwA/AACAAAAAAAA8L8Cf/s6cM7II0ACWoY41sVtMsAAAAAAGAAAAPz8APwAAgAAAAAAAPC/AoC3QILixyNAAi1DHOvixjDAAAAAABgAAAD8/AD8AAIAAAAAAADwvwKgibDh6TUlQAIB3gIJii8xwAAAAAAYAAAA/PwA/AACAAAAAAAA8L8CR5T2Bl84JUAC+1xtxf4CMsAAAAAAHAAAAPz8APwAAgAAAAAAAPC/ArN78rBQyyZAAqW9wRcmQzLAAAAAABgAAAD8/AD8AAIAAAAAAADwvwIZc9cS8sEnQALzH9JvX5cxwAAAAAAYAAAA/PwA/AACAAAAAAAA8L8CZapgVFLHJkAClBgEVg7tMMAAAAAAGAAAAPz8APwAAgAAAAAAAPC/AuSlm8QgUCdAAuxRuB6FCzPAAAAAABgAAAD8/AD8AAIAAAAAAADwvwIrGJXUCWgpQAKgGi/dJJYxwAAAAAAYAAAA/PwA/AACAAAAAAAA8L8Cg8DKoUU2JkACZF3cRgOoM8AAAAAAGAAAAPz8APwAAgAAAAAAAPC/An6utmJ/uSZAAh3J5T+kbzTAAAAAACAAAAD8/AD8AAIAAAAAAADwvwL0bFZ9rlYoQALQZtXnaps0wAAAAAAYAAAA/PwA/AACAAAAAAAA8L8CqvHSTWJwKUACPSzUmub9M8AAAAAAGAAAAPz8APwAAgAAAAAAAPC/Aum3rwPn7ChAAr8OnDOiNDPAAAAAACAAAAD8/AD8AAIAAAAAAADwvwJ4nKIjuTwqQAIJG55eKUsywAAAAAAgAAAA/PwA/AACAAAAAAAA8L8C8tJNYhA4KkACryXkg57dMMAAAAAAARQABAFlCAgAAAAAAAAABAgBZQQAAAAAAAAAAAgUAWUICAAAAAAAAAAQDAFlCAgAAAAAAAAADAABZQQAAAAAAAAAABAUAWUEAAAAAAAAAAAUGAFlBAAAAAAAAAAAGBwBZQQAAAAAAAAAABwgAWUICAAAAAAAAAAgEAFlBAAAAAAAAAAAGCQBZQQAAAAAAAAAABwoAWUEAAAAAAAAAAAkLAFlBAAAAAAAAAAAJDwBZQQAAAAAAAAAACwwAWUEAAAAAAAAAAAwNAFlBAAAAAAAAAAANDgBZQQAAAAAAAAAADg8AWUEAAAAAAAAAAAoARABZQQAAAAAAAAAACgBEQFlCAAAAAAAAAAAAAAAAA==</t>
        </r>
      </text>
    </comment>
    <comment ref="A1709" authorId="0" shapeId="0" xr:uid="{D1D0F8A7-051C-4349-982D-E2F44D7892EB}">
      <text>
        <r>
          <rPr>
            <sz val="9"/>
            <color indexed="81"/>
            <rFont val="MS P ゴシック"/>
            <family val="3"/>
            <charset val="128"/>
          </rPr>
          <t>Insight iXlW00001C0001709R0585476093S00003416P01412LAocjBAQBF1NjaVRlZ2ljLmRhdGEuTW9sZWN1bGUBbwF/ARJTY2lUZWdpYy5Nb2xlY3VsZQAAAQFkAv5qAQAAAAIAAgESGAAAAPz8APwAAgAAAAAAAPC/AklQ/Bhz9y5AAn0/NV66STLAAAAAABgAAAD8/AD8AAIAAAAAAADwvwJJUPwYc/cuQAKwA+eMKB0zwAAAAAAYAAAA/PwA/AACAAAAAAAA8L8Cp3nHKToyMEACveMUHcmFM8AAAAAAGAAAAPz8APwAAgAAAAAAAPC/Aqd5xyk6MjBAAh8Wak3z3jHAAAAAABgAAAD8/AD8AAIAAAAAAADwvwKbVZ+rregwQAJ9PzVeukkywAAAAAAYAAAA/PwA/AACAAAAAAAA8L8Cm1Wfq63oMEACsr/snjwcM8AAAAAAHAAAAPz8APwAAgAAAAAAAPC/AnDOiNLesDFAAiEf9GxWXTPAAAAAABgAAAD8/AD8AAIAAAAAAADwvwIjbHh6pSwyQALCFyZTBbMywAAAAAAcAAAA/PwA/AACAAAAAAAA8L8COIlBYOWwMUACYxBYObQIMsAAAAAAGAAAAPz8APwAAgAAAAAAAPC/AuC+Dpwz8jFAAmdmZmZmJjTAAAAAABgAAAD8/AD8AAIAAAAAAADwvwKneccpOjIwQALsUbgehQsxwAAAAAAgAAAA/PwA/AACAAAAAAAA8L8CDJOpglHpMEACbxKDwMqhMMAAAAAAIAAAAPz8APwAAgAAAAAAAPC/AvVKWYY49i5AAm8Sg8DKoTDAAAAAABgAAAD8/AD8AAIAAAAAAADwvwIydy0hH2QxQALf4AuTqcI0wAAAAAAYAAAA/PwA/AACAAAAAAAA8L8CTYQNT6+kMUACJnUCmgiLNcAAAAAAIAAAAPz8APwAAgAAAAAAAPC/AhfZzvdTczJAArmNBvAWuDXAAAAAABgAAAD8/AD8AAIAAAAAAADwvwI3qz5XWwEzQAJCYOXQIhs1wAAAAAAYAAAA/PwA/AACAAAAAAAA8L8Cxm00gLfAMkACcF8HzhlRNMAAAAAAARQABAFlBAAAAAAAAAAAAAwBZQgIAAAAAAAAAAQIAWUICAAAAAAAAAAIFAFlBAAAAAAAAAAAEAwBZQQAAAAAAAAAABAUAWUICAAAAAAAAAAUGAFlBAAAAAAAAAAAGBwBZQQAAAAAAAAAABwgAWUICAAAAAAAAAAgEAFlBAAAAAAAAAAAGCQBZQQAAAAAAAAAAAwoAWUEAAAAAAAAAAAoLAFlBAAAAAAAAAAAKDABZQgAAAAAAAAAACQ0AWUEAAAAAAAAAAAkAREBZQQAAAAAAAAAADQ4AWUEAAAAAAAAAAA4PAFlBAAAAAAAAAAAPAEQAWUEAAAAAAAAAAABEAERAWUEAAAAAAAAAAAAAAAA</t>
        </r>
      </text>
    </comment>
    <comment ref="A1710" authorId="0" shapeId="0" xr:uid="{7FB56C9B-9714-4940-A1C0-402E3CCE5CD0}">
      <text>
        <r>
          <rPr>
            <sz val="9"/>
            <color indexed="81"/>
            <rFont val="MS P ゴシック"/>
            <family val="3"/>
            <charset val="128"/>
          </rPr>
          <t>Insight iXlW00001C0001710R0585476093S00003418P01176LAocjBAQBF1NjaVRlZ2ljLmRhdGEuTW9sZWN1bGUBbwF/ARJTY2lUZWdpYy5Nb2xlY3VsZQAAAQFkAv5qAQAAAAIAAjwYAAAA/PwA/AACAAAAAAAA8L8CRWlv8IUpJUACvw6cM6KUK8AAAAAAGAAAAPz8APwAAgAAAAAAAPC/AkVpb/CFKSVAAiZ1ApoIOy3AAAAAABgAAAD8/AD8AAIAAAAAAADwvwJL6gQ0EZYmQAIHX5hMFQwuwAAAAAAYAAAA/PwA/AACAAAAAAAA8L8CS+oENBGWJkACO5LLf0i/KsAAAAAAGAAAAPz8APwAAgAAAAAAAPC/At/gC5OpAihAAr8OnDOilCvAAAAAABgAAAD8/AD8AAIAAAAAAADwvwJRa5p3nAIoQAIp7Q2+MDktwAAAAAAcAAAA/PwA/AACAAAAAAAA8L8CGCZTBaOSKUACXkvIBz27LcAAAAAAGAAAAPz8APwAAgAAAAAAAPC/ArYV+8vuiSpAAoJzRpT2ZizAAAAAABwAAAD8/AD8AAIAAAAAAADwvwKmm8QgsJIpQAKmm8QgsBIrwAAAAAAYAAAA/PwA/AACAAAAAAAA8L8CTaYKRiUVKkACeC0hH/RML8AAAAAAGAAAAPz8APwAAgAAAAAAAPC/AkvqBDQRliZAAtQrZRniGCnAAAAAACAAAAD8/AD8AAIAAAAAAADwvwIy5q4l5AMoQAITg8DKoUUowAAAAAAgAAAA/PwA/AACAAAAAAAA8L8CY+5aQj4oJUACE4PAyqFFKMAAAAAAGAAAAPz8APwAAgAAAAAAAPC/AgpoImx4+ihAAjPEsS5uQzDAAAAAABgAAAD8/AD8AAIAAAAAAADwvwIcfGEyVTAsQAKCc0aU9mYswAAAAAABEAAEAWUEAAAAAAAAAAAADAFlCAgAAAAAAAAABAgBZQgIAAAAAAAAAAgUAWUEAAAAAAAAAAAQDAFlBAAAAAAAAAAAEBQBZQgIAAAAAAAAABQYAWUEAAAAAAAAAAAYHAFlBAAAAAAAAAAAHCABZQgIAAAAAAAAACAQAWUEAAAAAAAAAAAYJAFlBAAAAAAAAAAADCgBZQQAAAAAAAAAACgsAWUEAAAAAAAAAAAoMAFlCAAAAAAAAAAAJDQBZQQAAAAAAAAAABw4AWUEAAAAAAAAAAAAAAAA</t>
        </r>
      </text>
    </comment>
    <comment ref="A1711" authorId="0" shapeId="0" xr:uid="{FF60B40D-835C-425D-8BD0-7C38DDF369CC}">
      <text>
        <r>
          <rPr>
            <sz val="9"/>
            <color indexed="81"/>
            <rFont val="MS P ゴシック"/>
            <family val="3"/>
            <charset val="128"/>
          </rPr>
          <t>Insight iXlW00001C0001711R0585476093S00003420P00860LAocjBAQBF1NjaVRlZ2ljLmRhdGEuTW9sZWN1bGUBbwF/ARJTY2lUZWdpYy5Nb2xlY3VsZQAAAQFkAv5qAQAAAAIAAiwYAAAA/PwA/AACAAAAAAAA8L8C2c73U+OlGUAC0bNZ9bm6NMAAAAAAGAAAAPz8APwAAgAAAAAAAPC/At6Th4VaExFAAj0s1JrmfTPAAAAAABgAAAD8/AD8AAIAAAAAAADwvwKneccpOhIRQAIa4lgXt1E0wAAAAAAcAAAA/PwA/AACAAAAAAAA8L8CrkfhehTuE0AC0GbV52q7NMAAAAAAGAAAAPz8APwAAgAAAAAAAPC/ArKd76fGyxZAAv32deCcUTTAAAAAABgAAAD8/AD8AAIAAAAAAADwvwKb5h2n6MgWQAJ3LSEf9HwzwAAAAAAYAAAA/PwA/AACAAAAAAAA8L8Csr/snjzsE0ACTmIQWDkUM8AAAAAAHAAAAPz8APwAAgAAAAAAAPC/Ao9TdCSXfxxAAlUwKqkTUDTAAAAAABgAAAD8/AD8AAIAAAAAAADwvwLoaiv2l10fQALUmuYdp7g0wAAAAAAkAAAA/PwA/AACAAAAAAAA8L8C5WGh1jRvDEACak3zjlMUM8AAAAAAAREAAAD8/AD8AAIAAAAAAADwvwKXIY51cZsAQAKdoiO5/Hc0wAAAAAAoBAgBZQgIAAAAAAAAAAgMAWUEAAAAAAAAAAAMEAFlCAgAAAAAAAAAEBQBZQQAAAAAAAAAABQYAWUICAAAAAAAAAAYBAFlBAAAAAAAAAAAEAABZQQAAAAAAAAAAAAcAWUEAAAAAAAAAAAcIAFlBAAAAAAAAAAABCQBZQQAAAAAAAAAAAAAAAA=</t>
        </r>
      </text>
    </comment>
    <comment ref="A1712" authorId="0" shapeId="0" xr:uid="{6DAC97C3-61F8-40DE-B3AC-7374F7ECC47C}">
      <text>
        <r>
          <rPr>
            <sz val="9"/>
            <color indexed="81"/>
            <rFont val="MS P ゴシック"/>
            <family val="3"/>
            <charset val="128"/>
          </rPr>
          <t>Insight iXlW00001C0001712R0585476093S00003422P00860LAocjBAQBF1NjaVRlZ2ljLmRhdGEuTW9sZWN1bGUBbwF/ARJTY2lUZWdpYy5Nb2xlY3VsZQAAAQFkAv5qAQAAAAIAAiwYAAAA/PwA/AACAAAAAAAA8L8CRUdy+Q/pI0AC1JrmHafIM8AAAAAAGAAAAPz8APwAAgAAAAAAAPC/AjuSy39IPx9AAkETYcPTizLAAAAAABgAAAD8/AD8AAIAAAAAAADwvwIEeAskKD4fQAJWDi2ynV8zwAAAAAAcAAAA/PwA/AACAAAAAAAA8L8CIo51cRsNIUAC001iEFjJM8AAAAAAGAAAAPz8APwAAgAAAAAAAPC/AiS5/If0eyJAAjojSnuDXzPAAAAAABgAAAD8/AD8AAIAAAAAAADwvwKY3ZOHhXoiQAJ7FK5H4YoywAAAAAAYAAAA/PwA/AACAAAAAAAA8L8CI0p7gy8MIUACUkmdgCYiMsAAAAAAHAAAAPz8APwAAgAAAAAAAPC/AqCJsOHpVSVAApJc/kP6XTPAAAAAABgAAAD8/AD8AAIAAAAAAADwvwJNFYxK6sQmQALYgXNGlMYzwAAAAAABEQAAAPz8APwAAgAAAAAAAPC/Amyad5yiYxxAAm40gLdAIjLAAAAAAAERAAAA/PwA/AACAAAAAAAA8L8CjnVxGw3gGkACNe84RUeCM8AAAAAAKAQIAWUICAAAAAAAAAAIDAFlBAAAAAAAAAAADBABZQgIAAAAAAAAABAUAWUEAAAAAAAAAAAUGAFlCAgAAAAAAAAAGAQBZQQAAAAAAAAAABAAAWUEAAAAAAAAAAAAHAFlBAAAAAAAAAAAHCABZQQAAAAAAAAAAAQkAWUEAAAAAAAAAAAAAAAA</t>
        </r>
      </text>
    </comment>
    <comment ref="A1713" authorId="0" shapeId="0" xr:uid="{74E20701-3CD7-443C-B89D-60364ED34039}">
      <text>
        <r>
          <rPr>
            <sz val="9"/>
            <color indexed="81"/>
            <rFont val="MS P ゴシック"/>
            <family val="3"/>
            <charset val="128"/>
          </rPr>
          <t>Insight iXlW00001C0001713R0585476093S00003424P00984LAocjBAQBF1NjaVRlZ2ljLmRhdGEuTW9sZWN1bGUBbwF/ARJTY2lUZWdpYy5Nb2xlY3VsZQAAAQFkAv5qAQAAAAIAAjQcAAAA/PwA/AACAAAAAAAA8L8Cd76fGi+NPEACt2J/2T0ZL8AAAAAAGAAAAPz8APwAAgAAAAAAAPC/AoPAyqFF1jtAAoQvTKYKRi7AAAAAABgAAAD8/AD8AAIAAAAAAADwvwKQwvUoXB87QAK3Yn/ZPRkvwAAAAAAYAAAA/PwA/AACAAAAAAAA8L8CnMQgsHJoOkAChC9MpgpGLsAAAAAAGAAAAPz8APwAAgAAAAAAAPC/Am+BBMWPsTlAArdif9k9GS/AAAAAABgAAAD8/AD8AAIAAAAAAADwvwJvgQTFj7E5QAKP5PIf0l8wwAAAAAAYAAAA/PwA/AACAAAAAAAA8L8CnMQgsHJoOkACKH6MuWvJMMAAAAAAHAAAAPz8APwAAgAAAAAAAPC/ApDC9ShcHztAAo/k8h/SXzDAAAAAACAAAAD8/AD8AAIAAAAAAADwvwJ8gy9Mpvo4QAIofoy5a8kwwAAAAAAYAAAA/PwA/AACAAAAAAAA8L8Cd76fGi+NPEACj+TyH9JfMMAAAAAAGAAAAPz8APwAAgAAAAAAAPC/AnyDL0ym+jhAAlyxv+yenDHAAAAAAAERAAAA/PwA/AACAAAAAAAA8L8CmUwVjErKO0ACx7q4jQbQK8AAAAAAAREAAAD8/AD8AAIAAAAAAADwvwLLEMe6uD04QAJmiGNd3GYuwAAAAAAsBAgBZQQAAAAAAAAAAAgMAWUEAAAAAAAAAAAMEAFlCAgAAAAAAAAAEBQBZQQAAAAAAAAAABQYAWUICAAAAAAAAAAYHAFlBAAAAAAAAAAACBwBZQgMAAAAAAAAABQgAWUEAAAAAAAAAAAABAFlBAAAAAAAAAAAACQBZQQAAAAAAAAAACAoAWUEAAAAAAAAAAAAAAAA</t>
        </r>
      </text>
    </comment>
    <comment ref="A1714" authorId="0" shapeId="0" xr:uid="{42BBB4B6-E055-4C02-B5F2-5265C4151A74}">
      <text>
        <r>
          <rPr>
            <sz val="9"/>
            <color indexed="81"/>
            <rFont val="MS P ゴシック"/>
            <family val="3"/>
            <charset val="128"/>
          </rPr>
          <t>Insight iXlW00001C0001714R0585476093S00003426P01248LAocjBAQBF1NjaVRlZ2ljLmRhdGEuTW9sZWN1bGUBbwF/ARJTY2lUZWdpYy5Nb2xlY3VsZQAAAQFkAv5qAQAAAAIAAgEQGAAAAPz8APwAAgAAAAAAAPC/AiKOdXEbPTJAAgIrhxbZ/jDAAAAAABgAAAD8/AD8AAIAAAAAAADwvwLNzMzMzDwyQAIYJlMFo9IxwAAAAAAYAAAA/PwA/AACAAAAAAAA8L8CT0ATYcPzMkACB/AWSFA8MsAAAAAAGAAAAPz8APwAAgAAAAAAAPC/AtDVVuwvqzNAAjWAt0CC0jHAAAAAABgAAAD8/AD8AAIAAAAAAADwvwJDrWnecaozQAI9LNSa5v0wwAAAAAAYAAAA/PwA/AACAAAAAAAA8L8CUB4Wak3zMkAC2xt8YTKVMMAAAAAAGAAAAPz8APwAAgAAAAAAAPC/AtuK/WX3hDFAAoenV8oylDDAAAAAACAAAAD8/AD8AAIAAAAAAADwvwJn1edqK4YxQAIeyeU/pH8vwAAAAAAgAAAA/PwA/AACAAAAAAAA8L8CryXkg57NMEACdLUV+8v+MMAAAAAAHAAAAPz8APwAAgAAAAAAAPC/Av9D+u3rYDRAAmyad5yikzDAAAAAABgAAAD8/AD8AAIAAAAAAADwvwI2PL1SliE1QALwp8ZLN+kwwAAAAAAYAAAA/PwA/AACAAAAAAAA8L8Crthfdk+uNUAC6+I2GsBLMMAAAAAAHAAAAPz8APwAAgAAAAAAAPC/AhaMSuoERDVAAl+YTBWMKi/AAAAAABgAAAD8/AD8AAIAAAAAAADwvwITg8DKoXU0QAJP0ZFc/oMvwAAAAAAYAAAA/PwA/AACAAAAAAAA8L8CnaIjufzXM0AC0ETY8PRqLsAAAAAAGAAAAPz8APwAAgAAAAAAAPC/AlH8GHPXAjRAAunZrPpczSzAAAAAAAERAAQBZQgIAAAAAAAAAAQIAWUEAAAAAAAAAAAIDAFlCAgAAAAAAAAADBABZQQAAAAAAAAAABAUAWUICAAAAAAAAAAUAAFlBAAAAAAAAAAAABgBZQQAAAAAAAAAABgcAWUEAAAAAAAAAAAYIAFlCAAAAAAAAAAAECQBZQQAAAAAAAAAACQoAWUEAAAAAAAAAAAoLAFlCAgAAAAAAAAALDABZQQAAAAAAAAAADA0AWUICAAAAAAAAAA0JAFlBAAAAAAAAAAANDgBZQQAAAAAAAAAADg8AWUEAAAAAAAAAAAAAAAA</t>
        </r>
      </text>
    </comment>
    <comment ref="A1715" authorId="0" shapeId="0" xr:uid="{7F3111F2-8D7C-4534-B003-85D72E0A57A3}">
      <text>
        <r>
          <rPr>
            <sz val="9"/>
            <color indexed="81"/>
            <rFont val="MS P ゴシック"/>
            <family val="3"/>
            <charset val="128"/>
          </rPr>
          <t>Insight iXlW00001C0001715R0585476093S00003428P01248LAocjBAQBF1NjaVRlZ2ljLmRhdGEuTW9sZWN1bGUBbwF/ARJTY2lUZWdpYy5Nb2xlY3VsZQAAAQFkAv5qAQAAAAIAAgEQGAAAAPz8APwAAgAAAAAAAPC/AlR0JJf/ADBAAoV80LNZVTDAAAAAABgAAAD8/AD8AAIAAAAAAADwvwLGbTSAtwAwQAKbd5yiIykxwAAAAAAYAAAA/PwA/AACAAAAAAAA8L8CSOF6FK63MEACiUFg5dCSMcAAAAAAGAAAAPz8APwAAgAAAAAAAPC/AgK8BRIUbzFAArfRAN4CKTHAAAAAABgAAAD8/AD8AAIAAAAAAADwvwI8TtGRXG4xQALAfR04Z1QwwAAAAAAYAAAA/PwA/AACAAAAAAAA8L8CSb99HTi3MEACLGUZ4ljXL8AAAAAAGAAAAPz8APwAAgAAAAAAAPC/AhriWBe3kS5AAhPyQc9m1S/AAAAAACAAAAD8/AD8AAIAAAAAAADwvwIydy0hH5QuQAKV9gZfmCwuwAAAAAAgAAAA/PwA/AACAAAAAAAA8L8CwhcmUwUjLUACvsEXJlNVMMAAAAAAHAAAAPz8APwAAgAAAAAAAPC/Ap88LNSatjBAAlR0JJf/MC7AAAAAABgAAAD8/AD8AAIAAAAAAADwvwLHSzeJQWAxQAKbd5yiIzktwAAAAAAcAAAA/PwA/AACAAAAAAAA8L8CysNCrWkeMUAC8kHPZtWnK8AAAAAAGAAAAPz8APwAAgAAAAAAAPC/ApeQD3o2SzBAAkZHcvkPqSvAAAAAABgAAAD8/AD8AAIAAAAAAADwvwImUwWjkgowQALQ1VbsLzstwAAAAAAYAAAA/PwA/AACAAAAAAAA8L8CRdjw9EopMkACmN2Th4W6LcAAAAAAGAAAAPz8APwAAgAAAAAAAPC/AktZhjjWxTJAAnRGlPYGnyzAAAAAAAERAAQBZQgIAAAAAAAAAAQIAWUEAAAAAAAAAAAIDAFlCAgAAAAAAAAADBABZQQAAAAAAAAAABAUAWUICAAAAAAAAAAUAAFlBAAAAAAAAAAAABgBZQQAAAAAAAAAABgcAWUEAAAAAAAAAAAYIAFlCAAAAAAAAAAAFCQBZQQAAAAAAAAAACQoAWUEAAAAAAAAAAAoLAFlCAgAAAAAAAAALDABZQQAAAAAAAAAADA0AWUICAAAAAAAAAA0JAFlBAAAAAAAAAAAKDgBZQQAAAAAAAAAADg8AWUEAAAAAAAAAAAAAAAA</t>
        </r>
      </text>
    </comment>
    <comment ref="A1716" authorId="0" shapeId="0" xr:uid="{FD845B68-BB95-407A-AE2C-A4584B6EA068}">
      <text>
        <r>
          <rPr>
            <sz val="9"/>
            <color indexed="81"/>
            <rFont val="MS P ゴシック"/>
            <family val="3"/>
            <charset val="128"/>
          </rPr>
          <t>Insight iXlW00001C0001716R0585476093S00003430P01340LAocjBAQBF1NjaVRlZ2ljLmRhdGEuTW9sZWN1bGUBbwF/ARJTY2lUZWdpYy5Nb2xlY3VsZQAAAQFkAv5qAQAAAAIAAgERGAAAAPz8APwAAgAAAAAAAPC/AnS1FfvLzidAAhIUP8bcNTPAAAAAABgAAAD8/AD8AAIAAAAAAADwvwLLMsSxLs4nQAIoDwu1pgk0wAAAAAAYAAAA/PwA/AACAAAAAAAA8L8CzhlR2hs8KUAC3pOHhVpzNMAAAAAAGAAAAPz8APwAAgAAAAAAAPC/AtBE2PD0qipAAkVpb/CFCTTAAAAAABgAAAD8/AD8AAIAAAAAAADwvwK38/3UeKkqQAIU0ETY8DQzwAAAAAAYAAAA/PwA/AACAAAAAAAA8L8C0NVW7C87KUAC6wQ0ETbMMsAAAAAAGAAAAPz8APwAAgAAAAAAAPC/AuauJeSDXiZAApeQD3o2yzLAAAAAACAAAAD8/AD8AAIAAAAAAADwvwL/Q/rt62AmQAKfzarP1fYxwAAAAAAgAAAA/PwA/AACAAAAAAAA8L8Cj+TyH9LvJEACS1mGONY1M8AAAAAAHAAAAPz8APwAAgAAAAAAAPC/An3Qs1n1OSlAAn6MuWsJ+THAAAAAABgAAAD8/AD8AAIAAAAAAADwvwJaZDvfT40qQAIijnVxG30xwAAAAAAcAAAA/PwA/AACAAAAAAAA8L8C097gC5MJKkACTvOOU3S0MMAAAAAAGAAAAPz8APwAAgAAAAAAAPC/Amx4eqUsYyhAAvd14JwRtTDAAAAAABgAAAD8/AD8AAIAAAAAAADwvwIZc9cS8uEnQAI8vVKWIX4xwAAAAAAYAAAA/PwA/AACAAAAAAAA8L8CyQc9m1UfLEACIUHxY8y9McAAAAAAGAAAAPz8APwAAgAAAAAAAPC/AvAWSFD8OC1AAkOtad5xWjLAAAAAABgAAAD8/AD8AAIAAAAAAADwvwJ88rBQa7otQAL+ZffkYZExwAAAAAABEwAEAWUICAAAAAAAAAAECAFlBAAAAAAAAAAACAwBZQgIAAAAAAAAAAwQAWUEAAAAAAAAAAAQFAFlCAgAAAAAAAAAFAABZQQAAAAAAAAAAAAYAWUEAAAAAAAAAAAYHAFlBAAAAAAAAAAAGCABZQgAAAAAAAAAABQkAWUEAAAAAAAAAAAkKAFlBAAAAAAAAAAAKCwBZQgIAAAAAAAAACwwAWUEAAAAAAAAAAAwNAFlCAgAAAAAAAAANCQBZQQAAAAAAAAAACg4AWUEAAAAAAAAAAA8OAFlBAAAAAAAAAAAARA8AWUEAAAAAAAAAAA4ARABZQQAAAAAAAAAAAAAAAA=</t>
        </r>
      </text>
    </comment>
    <comment ref="A1717" authorId="0" shapeId="0" xr:uid="{081931F0-F09B-4253-B16A-33DC0927CC74}">
      <text>
        <r>
          <rPr>
            <sz val="9"/>
            <color indexed="81"/>
            <rFont val="MS P ゴシック"/>
            <family val="3"/>
            <charset val="128"/>
          </rPr>
          <t>Insight iXlW00001C0001717R0585476093S00003432P01176LAocjBAQBF1NjaVRlZ2ljLmRhdGEuTW9sZWN1bGUBbwF/ARJTY2lUZWdpYy5Nb2xlY3VsZQAAAQFkAv5qAQAAAAIAAjwYAAAA/PwA/AACAAAAAAAA8L8CrBxaZDvfFkACotY07zhFH8AAAAAAGAAAAPz8APwAAgAAAAAAAPC/AqwcWmQ73xZAArfRAN4CSSHAAAAAABgAAAD8/AD8AAIAAAAAAADwvwK5HoXrUbgZQAInMQisHBoiwAAAAAAYAAAA/PwA/AACAAAAAAAA8L8CuR6F61G4GUACmN2Th4WaHcAAAAAAGAAAAPz8APwAAgAAAAAAAPC/AuELk6mCkRxAAqLWNO84RR/AAAAAABgAAAD8/AD8AAIAAAAAAADwvwLFILByaJEcQAJJv30dOEchwAAAAAAcAAAA/PwA/AACAAAAAAAA8L8CU5YhjnWxH0AC8KfGSzfJIcAAAAAAGAAAAPz8APwAAgAAAAAAAPC/Ase6uI0G0CBAAhTQRNjwdCDAAAAAABwAAAD8/AD8AAIAAAAAAADwvwJvgQTFj7EfQAKM22gAb0EewAAAAAAYAAAA/PwA/AACAAAAAAAA8L8CXkvIBz1bIEACl/+QfvtaI8AAAAAAGAAAAPz8APwAAgAAAAAAAPC/ArkehetRuBlAAswQx7q4TRrAAAAAACAAAAD8/AD8AAIAAAAAAADwvwKIFtnO95McQAJlqmBUUqcYwAAAAAAgAAAA/PwA/AACAAAAAAAA8L8C6iYxCKzcFkACZapgVFKnGMAAAAAAGAAAAPz8APwAAgAAAAAAAPC/AjcawFsggR5AAvjkYaHWlCTAAAAAABgAAAD8/AD8AAIAAAAAAADwvwLVCWgibPghQAJR/Bhz17IjwAAAAAABEAAEAWUEAAAAAAAAAAAADAFlCAgAAAAAAAAABAgBZQgIAAAAAAAAAAgUAWUEAAAAAAAAAAAQDAFlBAAAAAAAAAAAEBQBZQgIAAAAAAAAABQYAWUEAAAAAAAAAAAYHAFlBAAAAAAAAAAAHCABZQgIAAAAAAAAACAQAWUEAAAAAAAAAAAYJAFlBAAAAAAAAAAADCgBZQQAAAAAAAAAACgsAWUEAAAAAAAAAAAoMAFlCAAAAAAAAAAAJDQBZQQAAAAAAAAAACQ4AWUEAAAAAAAAAAAAAAAA</t>
        </r>
      </text>
    </comment>
    <comment ref="A1718" authorId="0" shapeId="0" xr:uid="{4FAE16F4-1A4D-4914-A951-3510D62E3EA5}">
      <text>
        <r>
          <rPr>
            <sz val="9"/>
            <color indexed="81"/>
            <rFont val="MS P ゴシック"/>
            <family val="3"/>
            <charset val="128"/>
          </rPr>
          <t>Insight iXlW00001C0001718R0585476093S00003434P01320LAocjBAQBF1NjaVRlZ2ljLmRhdGEuTW9sZWN1bGUBbwF/ARJTY2lUZWdpYy5Nb2xlY3VsZQAAAQFkAv5qAQAAAAIAAgERGAAAAPz8APwAAgAAAAAAAPC/AnDwhclUgSRAApM6AU2EbSXAAAAAABgAAAD8/AD8AAIAAAAAAADwvwJw8IXJVIEkQAL5oGez6hMnwAAAAAAYAAAA/PwA/AACAAAAAAAA8L8CdnEbDeDtJUAC24r9ZffkJ8AAAAAAGAAAAPz8APwAAgAAAAAAAPC/AnZxGw3g7SVAAg6+MJkqmCTAAAAAABgAAAD8/AD8AAIAAAAAAADwvwJ88rBQa1onQAKTOgFNhG0lwAAAAAAYAAAA/PwA/AACAAAAAAAA8L8CfPKwUGtaJ0AC/Rhz1xISJ8AAAAAAHAAAAPz8APwAAgAAAAAAAPC/ArU3+MJk6ihAAqQBvAUSlCfAAAAAABgAAAD8/AD8AAIAAAAAAADwvwLFsS5uo+EpQALIKTqSyz8mwAAAAAAcAAAA/PwA/AACAAAAAAAA8L8CQ61p3nHqKEACescpOpLrJMAAAAAAGAAAAPz8APwAAgAAAAAAAPC/Aum3rwPnbClAAktZhjjWJSnAAAAAABgAAAD8/AD8AAIAAAAAAADwvwJ2cRsN4O0lQAKoV8oyxPEiwAAAAAAgAAAA/PwA/AACAAAAAAAA8L8Cz/dT46VbJ0ACdSSX/5AeIsAAAAAAIAAAAPz8APwAAgAAAAAAAPC/Ao51cRsNgCRAAnUkl/+QHiLAAAAAABgAAAD8/AD8AAIAAAAAAADwvwKneccpOlIoQAKsPldbsV8qwAAAAAAkAAAA/PwA/AACAAAAAAAA8L8CMLsnDwu1JkAC8kHPZtUHKsAAAAAAJAAAAPz8APwAAgAAAAAAAPC/Atv5fmq81ChAAlOWIY518SvAAAAAACQAAAD8/AD8AAIAAAAAAADwvwIzxLEubiMnQALwp8ZLN4krwAAAAAABEgAEAWUEAAAAAAAAAAAADAFlCAgAAAAAAAAABAgBZQgIAAAAAAAAAAgUAWUEAAAAAAAAAAAQDAFlBAAAAAAAAAAAEBQBZQgIAAAAAAAAABQYAWUEAAAAAAAAAAAYHAFlBAAAAAAAAAAAHCABZQgIAAAAAAAAACAQAWUEAAAAAAAAAAAYJAFlBAAAAAAAAAAADCgBZQQAAAAAAAAAACgsAWUEAAAAAAAAAAAoMAFlCAAAAAAAAAAAJDQBZQQAAAAAAAAAADQ4AWUEAAAAAAAAAAA0PAFlBAAAAAAAAAAANAEQAWUEAAAAAAAAAAAAAAAA</t>
        </r>
      </text>
    </comment>
    <comment ref="A1719" authorId="0" shapeId="0" xr:uid="{7B5606A8-38D7-4CE0-AB32-CEFCFD3161E2}">
      <text>
        <r>
          <rPr>
            <sz val="9"/>
            <color indexed="81"/>
            <rFont val="MS P ゴシック"/>
            <family val="3"/>
            <charset val="128"/>
          </rPr>
          <t>Insight iXlW00001C0001719R0585476093S00003436P01340LAocjBAQBF1NjaVRlZ2ljLmRhdGEuTW9sZWN1bGUBbwF/ARJTY2lUZWdpYy5Nb2xlY3VsZQAAAQFkAv5qAQAAAAIAAgERGAAAAPz8APwAAgAAAAAAAPC/AvSOU3QkVxhAAi2yne+nRifAAAAAABgAAAD8/AD8AAIAAAAAAADwvwL0jlN0JFcYQAIijnVxG+0owAAAAAAYAAAA/PwA/AACAAAAAAAA8L8CHHxhMlUwG0ACku18PzW+KcAAAAAAGAAAAPz8APwAAgAAAAAAAPC/Ahx8YTJVMBtAAqk1zTtOcSbAAAAAABgAAAD8/AD8AAIAAAAAAADwvwJFaW/whQkeQAItsp3vp0YnwAAAAAAYAAAA/PwA/AACAAAAAAAA8L8CRWlv8IUJHkACJQaBlUPrKMAAAAAAHAAAAPz8APwAAgAAAAAAAPC/AvjkYaHWlCBAAlpkO99PbSnAAAAAABgAAAD8/AD8AAIAAAAAAADwvwIHX5hMFYwhQALwFkhQ/BgowAAAAAAcAAAA/PwA/AACAAAAAAAA8L8C+ORhodaUIEACFD/G3LXEJsAAAAAAGAAAAPz8APwAAgAAAAAAAPC/Ap7vp8ZLFyFAAgK8BRIU/yrAAAAAABgAAAD8/AD8AAIAAAAAAADwvwIcfGEyVTAbQAK0WfW52sokwAAAAAAgAAAA/PwA/AACAAAAAAAA8L8CB1+YTBUMHkAC87BQa5r3I8AAAAAAIAAAAPz8APwAAgAAAAAAAPC/Ak2EDU+vVBhAAvOwUGua9yPAAAAAABgAAAD8/AD8AAIAAAAAAADwvwKbd5yiI/kfQAJ/jLlrCTkswAAAAAAYAAAA/PwA/AACAAAAAAAA8L8Cj+TyH9KvHEACW0I+6NlMLMAAAAAAGAAAAPz8APwAAgAAAAAAAPC/AiS5/If02xxAAjQRNjy98i3AAAAAABgAAAD8/AD8AAIAAAAAAADwvwLdtYR80BMgQALqJjEIrNwtwAAAAAABEwAEAWUEAAAAAAAAAAAADAFlCAgAAAAAAAAABAgBZQgIAAAAAAAAAAgUAWUEAAAAAAAAAAAQDAFlBAAAAAAAAAAAEBQBZQgIAAAAAAAAABQYAWUEAAAAAAAAAAAYHAFlBAAAAAAAAAAAHCABZQgIAAAAAAAAACAQAWUEAAAAAAAAAAAYJAFlBAAAAAAAAAAADCgBZQQAAAAAAAAAACgsAWUEAAAAAAAAAAAoMAFlCAAAAAAAAAAAJDQBZQQAAAAAAAAAADQ4AWUEAAAAAAAAAAA4PAFlBAAAAAAAAAAAPAEQAWUEAAAAAAAAAAABEDQBZQQAAAAAAAAAAAAAAAA=</t>
        </r>
      </text>
    </comment>
    <comment ref="A1720" authorId="0" shapeId="0" xr:uid="{ECEDFAA6-3AFB-4AF7-8252-E959FE1055E7}">
      <text>
        <r>
          <rPr>
            <sz val="9"/>
            <color indexed="81"/>
            <rFont val="MS P ゴシック"/>
            <family val="3"/>
            <charset val="128"/>
          </rPr>
          <t>Insight iXlW00001C0001720R0585476093S00003438P01104LAocjBAQBF1NjaVRlZ2ljLmRhdGEuTW9sZWN1bGUBbwF/ARJTY2lUZWdpYy5Nb2xlY3VsZQAAAQFkAv5qAQAAAAIAAjgYAAAA/PwA/AACAAAAAAAA8L8C7FG4HoXLJkACm3ecoiN5J8AAAAAAGAAAAPz8APwAAgAAAAAAAPC/AuxRuB6FyyZAAgHeAgmKHynAAAAAABgAAAD8/AD8AAIAAAAAAADwvwLy0k1iEDgoQAJxPQrXo/ApwAAAAAAYAAAA/PwA/AACAAAAAAAA8L8C8tJNYhA4KEACFvvL7smjJsAAAAAAGAAAAPz8APwAAgAAAAAAAPC/AobJVMGopClAApt3nKIjeSfAAAAAABgAAAD8/AD8AAIAAAAAAADwvwL4U+Olm6QpQAKTy39Ivx0pwAAAAAAcAAAA/PwA/AACAAAAAAAA8L8Cvw6cM6I0K0ACOrTIdr6fKcAAAAAAGAAAAPz8APwAAgAAAAAAAPC/Al3+Q/rtKyxAAl7cRgN4SyjAAAAAABwAAAD8/AD8AAIAAAAAAADwvwJNhA1PrzQrQAIQejarPvcmwAAAAAAYAAAA/PwA/AACAAAAAAAA8L8C9I5TdCS3K0AC4QuTqYIxK8AAAAAAGAAAAPz8APwAAgAAAAAAAPC/AvLSTWIQOChAArCUZYhj/STAAAAAACAAAAD8/AD8AAIAAAAAAADwvwLZzvdT46UpQAJ8YTJVMCokwAAAAAAgAAAA/PwA/AACAAAAAAAA8L8CC9ejcD3KJkACfGEyVTAqJMAAAAAAGAAAAPz8APwAAgAAAAAAAPC/AsNkqmBU0i1AAl7cRgN4SyjAAAAAADwABAFlBAAAAAAAAAAAAAwBZQgIAAAAAAAAAAQIAWUICAAAAAAAAAAIFAFlBAAAAAAAAAAAEAwBZQQAAAAAAAAAABAUAWUICAAAAAAAAAAUGAFlBAAAAAAAAAAAGBwBZQQAAAAAAAAAABwgAWUICAAAAAAAAAAgEAFlBAAAAAAAAAAAGCQBZQQAAAAAAAAAAAwoAWUEAAAAAAAAAAAoLAFlBAAAAAAAAAAAKDABZQgAAAAAAAAAABw0AWUEAAAAAAAAAAAAAAAA</t>
        </r>
      </text>
    </comment>
    <comment ref="A1721" authorId="0" shapeId="0" xr:uid="{415D74C3-933C-462E-A77A-DA9FE44BD148}">
      <text>
        <r>
          <rPr>
            <sz val="9"/>
            <color indexed="81"/>
            <rFont val="MS P ゴシック"/>
            <family val="3"/>
            <charset val="128"/>
          </rPr>
          <t>Insight iXlW00001C0001721R0585476093S00003440P01248LAocjBAQBF1NjaVRlZ2ljLmRhdGEuTW9sZWN1bGUBbwF/ARJTY2lUZWdpYy5Nb2xlY3VsZQAAAQFkAv5qAQAAAAIAAgEQGAAAAPz8APwAAgAAAAAAAPC/AkVpb/CFCSFAAvhT46WbRCzAAAAAABgAAAD8/AD8AAIAAAAAAADwvwJFaW/whQkhQAJfukkMAustwAAAAAAYAAAA/PwA/AACAAAAAAAA8L8CS+oENBF2IkACzhlR2hu8LsAAAAAAGAAAAPz8APwAAgAAAAAAAPC/AkvqBDQRdiJAAnPXEvJBbyvAAAAAABgAAAD8/AD8AAIAAAAAAADwvwLf4AuTqeIjQAL4U+Olm0QswAAAAAAYAAAA/PwA/AACAAAAAAAA8L8CUWuad5ziI0AC8KfGSzfpLcAAAAAAHAAAAPz8APwAAgAAAAAAAPC/AhgmUwWjciVAApeQD3o2ay7AAAAAABgAAAD8/AD8AAIAAAAAAADwvwK2FfvL7mkmQAK7uI0G8BYtwAAAAAAcAAAA/PwA/AACAAAAAAAA8L8CppvEILByJUACbVZ9rrbCK8AAAAAAGAAAAPz8APwAAgAAAAAAAPC/AkymCkYl9SVAAj/o2az6/C/AAAAAABgAAAD8/AD8AAIAAAAAAADwvwJL6gQ0EXYiQAINcayL28gpwAAAAAAgAAAA/PwA/AACAAAAAAAA8L8CMuauJeTjI0AC2j15WKj1KMAAAAAAIAAAAPz8APwAAgAAAAAAAPC/AmPuWkI+CCFAAto9eVio9SjAAAAAABgAAAD8/AD8AAIAAAAAAADwvwIKaCJseNokQAKXIY51cZswwAAAAAAYAAAA/PwA/AACAAAAAAAA8L8Cw2SqYFSSJ0ACfPKwUGsqMMAAAAAAGAAAAPz8APwAAgAAAAAAAPC/Ahx8YTJVEChAAru4jQbwFi3AAAAAAAERAAQBZQQAAAAAAAAAAAAMAWUICAAAAAAAAAAECAFlCAgAAAAAAAAACBQBZQQAAAAAAAAAABAMAWUEAAAAAAAAAAAQFAFlCAgAAAAAAAAAFBgBZQQAAAAAAAAAABgcAWUEAAAAAAAAAAAcIAFlCAgAAAAAAAAAIBABZQQAAAAAAAAAABgkAWUEAAAAAAAAAAAMKAFlBAAAAAAAAAAAKCwBZQQAAAAAAAAAACgwAWUIAAAAAAAAAAAkNAFlBAAAAAAAAAAAJDgBZQQAAAAAAAAAABw8AWUEAAAAAAAAAAAAAAAA</t>
        </r>
      </text>
    </comment>
    <comment ref="A1722" authorId="0" shapeId="0" xr:uid="{A3C75C42-3FD7-4EC3-8490-959CEE085843}">
      <text>
        <r>
          <rPr>
            <sz val="9"/>
            <color indexed="81"/>
            <rFont val="MS P ゴシック"/>
            <family val="3"/>
            <charset val="128"/>
          </rPr>
          <t>Insight iXlW00001C0001722R0585476093S00003442P01412LAocjBAQBF1NjaVRlZ2ljLmRhdGEuTW9sZWN1bGUBbwF/ARJTY2lUZWdpYy5Nb2xlY3VsZQAAAQFkAv5qAQAAAAIAAgESGAAAAPz8APwAAgAAAAAAAPC/AqjGSzeJYSFAAj29UpYhTijAAAAAABgAAAD8/AD8AAIAAAAAAADwvwKoxks3iWEhQAKjI7n8h/QpwAAAAAAYAAAA/PwA/AACAAAAAAAA8L8CrkfhehTOIkAChQ1Pr5TFKsAAAAAAGAAAAPz8APwAAgAAAAAAAPC/Aq5H4XoUziJAArhAguLHeCfAAAAAABgAAAD8/AD8AAIAAAAAAADwvwK0yHa+nzokQAI9vVKWIU4owAAAAAAYAAAA/PwA/AACAAAAAAAA8L8CtMh2vp86JEACppvEILDyKcAAAAAAHAAAAPz8APwAAgAAAAAAAPC/AnyDL0ymyiVAAtv5fmq8dCrAAAAAABgAAAD8/AD8AAIAAAAAAADwvwKL/WX35MEmQAIAIv32dSApwAAAAAAcAAAA/PwA/AACAAAAAAAA8L8CfIMvTKbKJUACJEp7gy/MJ8AAAAAAGAAAAPz8APwAAgAAAAAAAPC/ArAD54woTSZAAvXb14FzBizAAAAAABgAAAD8/AD8AAIAAAAAAADwvwKuR+F6FM4iQAJR2ht8YdIlwAAAAAAgAAAA/PwA/AACAAAAAAAA8L8ClkOLbOc7JEACkDF3LSH/JMAAAAAAIAAAAPz8APwAAgAAAAAAAPC/AsdLN4lBYCFAApAxdy0h/yTAAAAAABgAAAD8/AD8AAIAAAAAAADwvwJuxf6yezIlQALjNhrAW0AtwAAAAAAYAAAA/PwA/AACAAAAAAAA8L8CWoY41sWNI0ACwOyePCxULcAAAAAAGAAAAPz8APwAAgAAAAAAAPC/AqRwPQrXoyNAAgtGJXUC+i7AAAAAABgAAAD8/AD8AAIAAAAAAADwvwLvycNCrUklQALBWyBB8eMuwAAAAAAYAAAA/PwA/AACAAAAAAAA8L8CgNk9eVhoKEACACL99nUgKcAAAAAAARQABAFlBAAAAAAAAAAAAAwBZQgIAAAAAAAAAAQIAWUICAAAAAAAAAAIFAFlBAAAAAAAAAAAEAwBZQQAAAAAAAAAABAUAWUICAAAAAAAAAAUGAFlBAAAAAAAAAAAGBwBZQQAAAAAAAAAABwgAWUICAAAAAAAAAAgEAFlBAAAAAAAAAAAGCQBZQQAAAAAAAAAAAwoAWUEAAAAAAAAAAAoLAFlBAAAAAAAAAAAKDABZQgAAAAAAAAAACQ0AWUEAAAAAAAAAAA0OAFlBAAAAAAAAAAAODwBZQQAAAAAAAAAADwBEAFlBAAAAAAAAAAAARA0AWUEAAAAAAAAAAAcAREBZQQAAAAAAAAAAAAAAAA=</t>
        </r>
      </text>
    </comment>
    <comment ref="A1723" authorId="0" shapeId="0" xr:uid="{BC6D6D15-EFFF-425A-AAE7-E9FDEA1EE2E6}">
      <text>
        <r>
          <rPr>
            <sz val="9"/>
            <color indexed="81"/>
            <rFont val="MS P ゴシック"/>
            <family val="3"/>
            <charset val="128"/>
          </rPr>
          <t>Insight iXlW00001C0001723R0585476093S00003444P01072LAocjBAQBF1NjaVRlZ2ljLmRhdGEuTW9sZWN1bGUBbwF/ARJTY2lUZWdpYy5Nb2xlY3VsZQAAAQFkAv5qAQAAAAIAAjgYAAAA/PwA/AACAAAAAAAA8L8C+THmriUkLkACpwpGJXUyMsAAAAAAGAAAAPz8APwAAgAAAAAAAPC/AkM+6Nms2ilAAto9eVio9TDAAAAAABgAAAD8/AD8AAIAAAAAAADwvwKZu5aQD9opQALvOEVHcskxwAAAAAAcAAAA/PwA/AACAAAAAAAA8L8CY+5aQj5IK0ACpb3BFyYzMsAAAAAAGAAAAPz8APwAAgAAAAAAAPC/AmYZ4lgXtyxAAtNNYhBYyTHAAAAAABgAAAD8/AD8AAIAAAAAAADwvwLaPXlYqLUsQAIUP8bctfQwwAAAAAAYAAAA/PwA/AACAAAAAAAA8L8CZapgVFJHK0ACz4jS3uCLMMAAAAAAHAAAAPz8APwAAgAAAAAAAPC/Av7UeOkmkS9AAiuHFtnOxzHAAAAAABgAAAD8/AD8AAIAAAAAAADwvwKOdXEbDYAwQAKq8dJNYjAywAAAAAAYAAAA/PwA/AACAAAAAAAA8L8CldQJaCJsKEACpixDHOsyMsAAAAAAJAAAAPz8APwAAgAAAAAAAPC/AgU0ETY8/SZAApoIG55eyTHAAAAAACQAAAD8/AD8AAIAAAAAAADwvwKcxCCwcmgoQAL1SlmGOAYzwAAAAAAkAAAA/PwA/AACAAAAAAAA8L8CPgrXo3D9JkACBqOSOgGdMsAAAAAAAREAAAD8/AD8AAIAAAAAAADwvwJh5dAi2xkmQAJZqDXNO74wwAAAAAA0BAgBZQgIAAAAAAAAAAgMAWUEAAAAAAAAAAAMEAFlCAgAAAAAAAAAEBQBZQQAAAAAAAAAABQYAWUICAAAAAAAAAAYBAFlBAAAAAAAAAAAEAABZQQAAAAAAAAAAAAcAWUEAAAAAAAAAAAcIAFlBAAAAAAAAAAACCQBZQQAAAAAAAAAACQoAWUEAAAAAAAAAAAkLAFlBAAAAAAAAAAAJDABZQQAAAAAAAAAAAAAAAA=</t>
        </r>
      </text>
    </comment>
    <comment ref="A1724" authorId="0" shapeId="0" xr:uid="{8E7135A3-E561-402C-B39E-32E2F589DAFE}">
      <text>
        <r>
          <rPr>
            <sz val="9"/>
            <color indexed="81"/>
            <rFont val="MS P ゴシック"/>
            <family val="3"/>
            <charset val="128"/>
          </rPr>
          <t>Insight iXlW00001C0001724R0585476093S00003446P01072LAocjBAQBF1NjaVRlZ2ljLmRhdGEuTW9sZWN1bGUBbwF/ARJTY2lUZWdpYy5Nb2xlY3VsZQAAAQFkAv5qAQAAAAIAAjgYAAAA/PwA/AACAAAAAAAA8L8CzczMzMycM0AC1lbsL7unK8AAAAAAGAAAAPz8APwAAgAAAAAAAPC/Ag6+MJkqeDFAAq5H4XoULinAAAAAABgAAAD8/AD8AAIAAAAAAADwvwK5/If023cxQAJos+pztdUqwAAAAAAcAAAA/PwA/AACAAAAAAAA8L8CAiuHFtkuMkAC1LzjFB2pK8AAAAAAGAAAAPz8APwAAgAAAAAAAPC/AoPAyqFF5jJAAqFns+pz1SrAAAAAABgAAAD8/AD8AAIAAAAAAADwvwL2l92Th+UyQAKyv+yePCwpwAAAAAAYAAAA/PwA/AACAAAAAAAA8L8CAwmKH2MuMkACXynLEMdaKMAAAAAAHAAAAPz8APwAAgAAAAAAAPC/AjMzMzMzUzRAAlHaG3xh0irAAAAAABgAAAD8/AD8AAIAAAAAAADwvwJDPujZrAo1QAJPr5RliKMrwAAAAAAYAAAA/PwA/AACAAAAAAAA8L8CUwWjkjrBMEACl/+QfvtaKMAAAAAAJAAAAPz8APwAAgAAAAAAAPC/AlHaG3xhwjBAAjJ3LSEftCbAAAAAACQAAAD8/AD8AAIAAAAAAADwvwJ7pSxDHAswQAIIPZtVnyspwAAAAAAkAAAA/PwA/AACAAAAAAAA8L8Cs3vysFALMEACY+5aQj6IJ8AAAAAAAREAAAD8/AD8AAIAAAAAAADwvwKfzarP1fYvQAKXIY51cRstwAAAAAA0BAgBZQgIAAAAAAAAAAgMAWUEAAAAAAAAAAAMEAFlCAgAAAAAAAAAEBQBZQQAAAAAAAAAABQYAWUICAAAAAAAAAAYBAFlBAAAAAAAAAAAEAABZQQAAAAAAAAAAAAcAWUEAAAAAAAAAAAcIAFlBAAAAAAAAAAABCQBZQQAAAAAAAAAACQoAWUEAAAAAAAAAAAkLAFlBAAAAAAAAAAAJDABZQQAAAAAAAAAAAAAAAA=</t>
        </r>
      </text>
    </comment>
    <comment ref="A1725" authorId="0" shapeId="0" xr:uid="{502279E4-4558-4ABA-A937-2FB548923D55}">
      <text>
        <r>
          <rPr>
            <sz val="9"/>
            <color indexed="81"/>
            <rFont val="MS P ゴシック"/>
            <family val="3"/>
            <charset val="128"/>
          </rPr>
          <t>Insight iXlW00001C0001725R0585476093S00003448P01320LAocjBAQBF1NjaVRlZ2ljLmRhdGEuTW9sZWN1bGUBbwF/ARJTY2lUZWdpYy5Nb2xlY3VsZQAAAQFkAv5qAQAAAAIAAgERGAAAAPz8APwAAgAAAAAAAPC/AtzXgXNG9CtAAsBbIEHxEzjAAAAAABgAAAD8/AD8AAIAAAAAAADwvwIzVTAqqfMrQALzsFBrmuc4wAAAAAAYAAAA/PwA/AACAAAAAAAA8L8CjNtoAG9hLUACG8BbIEFROcAAAAAAGAAAAPz8APwAAgAAAAAAAPC/Ao6XbhKDYC1AAifChqdXqjfAAAAAABgAAAD8/AD8AAIAAAAAAADwvwKuad5xis4uQALCFyZTBRM4wAAAAAAYAAAA/PwA/AACAAAAAAAA8L8C4umVsgzRLkAC9dvXgXPmOMAAAAAAHAAAAPz8APwAAgAAAAAAAPC/AqfoSC7/MTBAAmb35GGhJjnAAAAAABgAAAD8/AD8AAIAAAAAAADwvwKTqYJRSa0wQALtnjws1Ho4wAAAAAAcAAAA/PwA/AACAAAAAAAA8L8CAAAAAAAwMEACjpduEoPQN8AAAAAAGAAAAPz8APwAAgAAAAAAAPC/AuM2GsBbgDFAApqZmZmZeTjAAAAAABgAAAD8/AD8AAIAAAAAAADwvwJ88rBQa+oxQALkFB3J5S85wAAAAAAcAAAA/PwA/AACAAAAAAAA8L8ClfYGX5i8MkACV+wvuycvOcAAAAAAGAAAAPz8APwAAgAAAAAAAPC/AoQvTKYKJjNAApwzorQ3eDjAAAAAABgAAAD8/AD8AAIAAAAAAADwvwLr4jYawLsyQAJvgQTFj8E3wAAAAAAYAAAA/PwA/AACAAAAAAAA8L8CnaIjufznMUACi/1l9+TBN8AAAAAAGAAAAPz8APwAAgAAAAAAAPC/AvjCZKpgdDBAAubQItv57jnAAAAAAAERAAAA/PwA/AACAAAAAAAA8L8CzTtO0ZHcMkACzjtO0ZGsOsAAAAAAARIABAFlCAgAAAAAAAAABAgBZQQAAAAAAAAAAAgUAWUICAAAAAAAAAAQDAFlCAgAAAAAAAAADAABZQQAAAAAAAAAABAUAWUEAAAAAAAAAAAUGAFlBAAAAAAAAAAAGBwBZQQAAAAAAAAAABwgAWUICAAAAAAAAAAgEAFlBAAAAAAAAAAAHCQBZQQAAAAAAAAAACQoAWUEAAAAAAAAAAAkOAFlBAAAAAAAAAAAKCwBZQQAAAAAAAAAACwwAWUEAAAAAAAAAAAwNAFlBAAAAAAAAAAANDgBZQQAAAAAAAAAABg8AWUEAAAAAAAAAAAAAAAA</t>
        </r>
      </text>
    </comment>
    <comment ref="A1726" authorId="0" shapeId="0" xr:uid="{491DCA60-0A53-4FC3-A00D-421BA919159B}">
      <text>
        <r>
          <rPr>
            <sz val="9"/>
            <color indexed="81"/>
            <rFont val="MS P ゴシック"/>
            <family val="3"/>
            <charset val="128"/>
          </rPr>
          <t>Insight iXlW00001C0001726R0585476093S00003450P00792LAocjBAQBF1NjaVRlZ2ljLmRhdGEuTW9sZWN1bGUBbwF/ARJTY2lUZWdpYy5Nb2xlY3VsZQAAAQFkAv5qAQAAAAIAAigcAAAA/PwA/AACAAAAAAAA8L8CZO5aQj4IPUACutqK/WUXQ8AAAAAAGAAAAPz8APwAAgAAAAAAAPC/AkoMAiuHxj1AAt4CCYof60LAAAAAABgAAAD8/AD8AAIAAAAAAADwvwIWjErqBIQ+QAJSuB6F6xlDwAAAAAAYAAAA/PwA/AACAAAAAAAA8L8CgnNGlPbWPEACoBov3SR+Q8AAAAAAARAAAAD8/AD8AAIAAAAAAADwvwL+9nXgnLE+QAKcVZ+rrYBDwAAAAAAYAAAA/PwA/AACAAAAAAAA8L8Cf4y5awlZPUAC001iEFjRQ8AAAAAAHAAAAPz8APwAAgAAAAAAAPC/ApbUCWgiLD5AAsTTK2UZ0kPAAAAAACAAAAD8/AD8AAIAAAAAAADwvwJm9+RhoUY/QALCFyZTBctDwAAAAAAgAAAA/PwA/AACAAAAAAAA8L8CZvfkYaFGP0ACE/JBz2Y1Q8AAAAAAAREAAAD8/AD8AAIAAAAAAADwvwIxmSoYldQ/QAJos+pztQVEwAAAAAAkAAQBZQQAAAAAAAAAAAQIAWUEAAAAAAAAAAAADAFlBAAAAAAAAAAACBABZQQAAAAAAAAAAAwUAWUEAAAAAAAAAAAQGAFlBAAAAAAAAAAAFBgBZQQAAAAAAAAAABAcAWUIAAAAAAAAAAAQIAFlCAAAAAAAAAAAAAAAAA==</t>
        </r>
      </text>
    </comment>
    <comment ref="A1727" authorId="0" shapeId="0" xr:uid="{9B262224-3EA0-4951-B64A-5B0302218402}">
      <text>
        <r>
          <rPr>
            <sz val="9"/>
            <color indexed="81"/>
            <rFont val="MS P ゴシック"/>
            <family val="3"/>
            <charset val="128"/>
          </rPr>
          <t>Insight iXlW00001C0001727R0585476093S00003452P01232LAocjBAQBF1NjaVRlZ2ljLmRhdGEuTW9sZWN1bGUBbwF/ARJTY2lUZWdpYy5Nb2xlY3VsZQAAAQFkAv5qAQAAAAIAAgEQGAAAAPz8APwAAgAAAAAAAPC/Aq5p3nGKDiZAApwzorQ3yDHAAAAAABgAAAD8/AD8AAIAAAAAAADwvwIE54wo7Q0mQAJ56SYxCJwywAAAAAAcAAAA/PwA/AACAAAAAAAA8L8ClkOLbOd7J0ACL26jAbwFM8AAAAAAGAAAAPz8APwAAgAAAAAAAPC/AphuEoPA6ihAAl3+Q/rtmzLAAAAAABgAAAD8/AD8AAIAAAAAAADwvwJ+HThnROkoQAKe76fGS8cxwAAAAAAYAAAA/PwA/AACAAAAAAAA8L8Cl/+Qfvt6J0ACdSSX/5BeMcAAAAAAIAAAAPz8APwAAgAAAAAAAPC/AtQrZRniWCpAAmmR7Xw/BTPAAAAAABgAAAD8/AD8AAIAAAAAAADwvwL4U+Olm8QrQALufD81XpoywAAAAAAYAAAA/PwA/AACAAAAAAAA8L8CFoxK6gQ0LUACirDh6ZUCM8AAAAAAGAAAAPz8APwAAgAAAAAAAPC/Ato9eVioNS1AAmmR7Xw/1TPAAAAAABgAAAD8/AD8AAIAAAAAAADwvwLCFyZTBaMuQAJ3Tx4Waj00wAAAAAAcAAAA/PwA/AACAAAAAAAA8L8CY+5aQj4IMEACUB4Wak3TM8AAAAAAGAAAAPz8APwAAgAAAAAAAPC/AvSOU3QkBzBAAh1aZDvf/zLAAAAAABgAAAD8/AD8AAIAAAAAAADwvwIDmggbnp4uQAJKDAIrh5YywAAAAAAkAAAA/PwA/AACAAAAAAAA8L8CBHgLJCieJEAC6Gor9pddMcAAAAAAAREAAAD8/AD8AAIAAAAAAADwvwJmiGNd3KYwQAJmiGNd3AY1wAAAAAABEAAEAWUICAAAAAAAAAAECAFlBAAAAAAAAAAACAwBZQgIAAAAAAAAAAwQAWUEAAAAAAAAAAAQFAFlCAgAAAAAAAAAFAABZQQAAAAAAAAAAAwYAWUEAAAAAAAAAAAYHAFlBAAAAAAAAAAAHCABZQQAAAAAAAAAACAkAWUEAAAAAAAAAAAgNAFlBAAAAAAAAAAAJCgBZQQAAAAAAAAAACgsAWUEAAAAAAAAAAAsMAFlBAAAAAAAAAAAMDQBZQQAAAAAAAAAAAA4AWUEAAAAAAAAAAAAAAAA</t>
        </r>
      </text>
    </comment>
    <comment ref="A1728" authorId="0" shapeId="0" xr:uid="{7A8F594A-DD85-442D-BA18-09A86064027B}">
      <text>
        <r>
          <rPr>
            <sz val="9"/>
            <color indexed="81"/>
            <rFont val="MS P ゴシック"/>
            <family val="3"/>
            <charset val="128"/>
          </rPr>
          <t>Insight iXlW00001C0001728R0585476093S00003454P01688LAocjBAQBF1NjaVRlZ2ljLmRhdGEuTW9sZWN1bGUBbwF/ARJTY2lUZWdpYy5Nb2xlY3VsZQAAAQFkAv5qAQAAAAIAAgEWGAAAAPz8APwAAgAAAAAAAPC/AuJ6FK5HYSxAAkZHcvkPaQfAAAAAABwAAAD8/AD8AAIAAAAAAADwvwLiehSuR2EsQALf4AuTqQIOwAAAAAAYAAAA/PwA/AACAAAAAAAA8L8CSOF6FK4HLkAC3+ALk6kCDsAAAAAAGAAAAPz8APwAAgAAAAAAAPC/AkjhehSuBy5AAkZHcvkPaQfAAAAAABgAAAD8/AD8AAIAAAAAAADwvwLYgXNGlDYrQAKC4seYu1YRwAAAAAAgAAAA/PwA/AACAAAAAAAA8L8CLdSa5h2nK0ACkzoBTYSNFMAAAAAAIAAAAPz8APwAAgAAAAAAAPC/AsBbIEHxoylAAv9D+u3rgBDAAAAAABgAAAD8/AD8AAIAAAAAAADwvwIrqRPQRHgoQAI2zTtO0dESwAAAAAAYAAAA/PwA/AACAAAAAAAA8L8C9pfdk4flJkACfoy5awn5EcAAAAAAGAAAAPz8APwAAgAAAAAAAPC/AjPEsS5uAy5AAp5eKcsQxwDAAAAAABgAAAD8/AD8AAIAAAAAAADwvwJd/kP67asvQAI4+MJkqmAHwAAAAAAgAAAA/PwA/AACAAAAAAAA8L8CyXa+nxpvL0AC16NwPQrX+r8AAAAAIAAAAPz8APwAAgAAAAAAAPC/Aoj029eBkyxAAv32deCcEfu/AAAAABgAAAD8/AD8AAIAAAAAAADwvwLG3LWEfEAwQAIzVTAqqRMNwAAAAAAYAAAA/PwA/AACAAAAAAAA8L8CHjhnRGmvL0ACiIVa07xjEcAAAAAAGAAAAPz8APwAAgAAAAAAAPC/AjVeukkMQjBAAnicoiO5PBTAAAAAABgAAAD8/AD8AAIAAAAAAADwvwJoImx4ehUxQAJiodY07zgUwAAAAAAYAAAA/PwA/AACAAAAAAAA8L8CdQKaCBt+MUACvXSTGARWEcAAAAAAGAAAAPz8APwAAgAAAAAAAPC/AqW9wRcmEzFAAjnWxW00AA3AAAAAABgAAAD8/AD8AAIAAAAAAADwvwKjkjoBTeQoQAKnCkYldQIWwAAAAAAYAAAA/PwA/AACAAAAAAAA8L8CmioYldRJJ0ACT6+UZYgjFcAAAAAAJAAAAPz8APwAAgAAAAAAAPC/AnsUrkfhejFAAo6XbhKDQAfAAAAAAAEXAAQBZQQAAAAAAAAAAAQIAWUEAAAAAAAAAAAIDAFlBAAAAAAAAAAADAABZQQAAAAAAAAAAAQQAWUEAAAAAAAAAAAQFAFlCAAAAAAAAAAAEBgBZQQAAAAAAAAAABgcAWUEAAAAAAAAAAAcIAFlBAAAAAAAAAAADCQBZQQAAAAAAAAAAAwoAWUEAAAAAAAAAAAkLAFlBAAAAAAAAAAAJDABZQgAAAAAAAAAACg0AWUEAAAAAAAAAAA0OAFlCAwAAAAAAAAAODwBZQQAAAAAAAAAADwBEAFlCAgAAAAAAAAAARABEQFlBAAAAAAAAAAAAREBEgFlCAgAAAAAAAAAARI0AWUEAAAAAAAAAAAcARMBZQQAAAAAAAAAABwBFAFlBAAAAAAAAAAAARIBFQFlBAAAAAAAAAAAAAAAAA==</t>
        </r>
      </text>
    </comment>
    <comment ref="A1729" authorId="0" shapeId="0" xr:uid="{C0019F29-8E48-435D-93B6-C3E8C9BACD72}">
      <text>
        <r>
          <rPr>
            <sz val="9"/>
            <color indexed="81"/>
            <rFont val="MS P ゴシック"/>
            <family val="3"/>
            <charset val="128"/>
          </rPr>
          <t>Insight iXlW00001C0001729R0585476093S00003456P01216LAocjBAQBF1NjaVRlZ2ljLmRhdGEuTW9sZWN1bGUBbwF/ARJTY2lUZWdpYy5Nb2xlY3VsZQAAAQFkAv5qAQAAAAIAAgEQGAAAAPz8APwAAgAAAAAAAPC/ArkehetReBNAAmkAb4EExSrAAAAAABgAAAD8/AD8AAIAAAAAAADwvwKCBMWPMXcTQALNzMzMzGwswAAAAAAcAAAA/PwA/AACAAAAAAAA8L8C3pOHhVpTFkACVcGopE5ALcAAAAAAGAAAAPz8APwAAgAAAAAAAPC/AjerPldbMRlAAgeBlUOLbCzAAAAAABgAAAD8/AD8AAIAAAAAAADwvwIf9GxWfS4ZQAJseHqlLMMqwAAAAAAYAAAA/PwA/AACAAAAAAAA8L8C4QuTqYJRFkACjGzn+6nxKcAAAAAAIAAAAPz8APwAAgAAAAAAAPC/AgTnjCjtDRxAAjuSy39IPy3AAAAAABgAAAD8/AD8AAIAAAAAAADwvwKh+DHmruUeQAK38/3UeGkswAAAAAAYAAAA/PwA/AACAAAAAAAA8L8Cih9j7lriIEACfdCzWfU5LcAAAAAAGAAAAPz8APwAAgAAAAAAAPC/At1GA3gL5CBAAuXyH9Jv3y7AAAAAABgAAAD8/AD8AAIAAAAAAADwvwLhC5OpglEiQAIdWmQ7368vwAAAAAAcAAAA/PwA/AACAAAAAAAA8L8CkDF3LSG/I0ACQYLix5jbLsAAAAAAGAAAAPz8APwAAgAAAAAAAPC/ArByaJHtvCNAAqMjufyHNC3AAAAAABgAAAD8/AD8AAIAAAAAAADwvwIijnVxG00iQALhnBGlvWEswAAAAAABEQAAAPz8APwAAgAAAAAAAPC/AmrecYqOxCZAAgRWDi2yPS3AAAAAAAERAAAA/PwA/AACAAAAAAAA8L8CAAAAAACgJEACAiuHFtl+MMAAAAAAPAAEAWUICAAAAAAAAAAECAFlBAAAAAAAAAAACAwBZQgIAAAAAAAAAAwQAWUEAAAAAAAAAAAQFAFlCAgAAAAAAAAAFAABZQQAAAAAAAAAAAwYAWUEAAAAAAAAAAAYHAFlBAAAAAAAAAAAHCABZQQAAAAAAAAAACAkAWUEAAAAAAAAAAAgNAFlBAAAAAAAAAAAJCgBZQQAAAAAAAAAACgsAWUEAAAAAAAAAAAsMAFlBAAAAAAAAAAAMDQBZQQAAAAAAAAAAAAAAAA=</t>
        </r>
      </text>
    </comment>
    <comment ref="A1730" authorId="0" shapeId="0" xr:uid="{1E7BDC4A-D69A-4F30-89F6-18FD4A8BE1AE}">
      <text>
        <r>
          <rPr>
            <sz val="9"/>
            <color indexed="81"/>
            <rFont val="MS P ゴシック"/>
            <family val="3"/>
            <charset val="128"/>
          </rPr>
          <t>Insight iXlW00001C0001730R0585476093S00003458P01272LAocjBAQBF1NjaVRlZ2ljLmRhdGEuTW9sZWN1bGUBbwF/ARJTY2lUZWdpYy5Nb2xlY3VsZQAAAQFkAv5qAQAAAAIAAgERGAAAAPz8APwAAgAAAAAAAPC/Avd14JwR5RtAAhvAWyBBcSvAAAAAABgAAAD8/AD8AAIAAAAAAADwvwLAWyBB8eMbQAINAiuHFhktwAAAAAAcAAAA/PwA/AACAAAAAAAA8L8CHeviNhrAHkACB4GVQ4vsLcAAAAAAGAAAAPz8APwAAgAAAAAAAPC/Aq2L22gAzyBAAka28/3UGC3AAAAAABgAAAD8/AD8AAIAAAAAAADwvwIhsHJokc0gQAIeOGdEaW8rwAAAAAAYAAAA/PwA/AACAAAAAAAA8L8CIGPuWkK+HkACPSzUmuadKsAAAAAAHAAAAPz8APwAAgAAAAAAAPC/ApOpglFJPSJAAuxRuB6F6y3AAAAAABgAAAD8/AD8AAIAAAAAAADwvwJiMlUwKqkjQAL2KFyPwhUtwAAAAAAYAAAA/PwA/AACAAAAAAAA8L8CKssQx7oYJUACLpCg+DHmLcAAAAAAGAAAAPz8APwAAgAAAAAAAPC/AnzysFBrGiVAAgg9m1Wfiy/AAAAAABgAAAD8/AD8AAIAAAAAAADwvwKBt0CC4ocmQALnjCjtDS4wwAAAAAAcAAAA/PwA/AACAAAAAAAA8L8CE/JBz2b1J0AC8kHPZtWHL8AAAAAAGAAAAPz8APwAAgAAAAAAAPC/AjQzMzMz8ydAAlTjpZvE4C3AAAAAABgAAAD8/AD8AAIAAAAAAADwvwIzxLEuboMmQAIg0m9fBw4twAAAAAABEQAAAPz8APwAAgAAAAAAAPC/AtBm1edqqylAAv7UeOkmATDAAAAAAAERAAAA/PwA/AACAAAAAAAA8L8Cat5xio4EI0ACzBDHurhtL8AAAAAAAREAAAD8/AD8AAIAAAAAAADwvwIAAAAAAEAfQAI17zhFRxIvwAAAAAA8AAQBZQgIAAAAAAAAAAQIAWUEAAAAAAAAAAAIDAFlCAgAAAAAAAAADBABZQQAAAAAAAAAABAUAWUICAAAAAAAAAAUAAFlBAAAAAAAAAAADBgBZQQAAAAAAAAAABgcAWUEAAAAAAAAAAAcIAFlBAAAAAAAAAAAICQBZQQAAAAAAAAAACA0AWUEAAAAAAAAAAAkKAFlBAAAAAAAAAAAKCwBZQQAAAAAAAAAACwwAWUEAAAAAAAAAAAwNAFlBAAAAAAAAAAAAAAAAA==</t>
        </r>
      </text>
    </comment>
    <comment ref="A1731" authorId="0" shapeId="0" xr:uid="{2B4E96A4-F8BB-497A-973F-4C5430BC9672}">
      <text>
        <r>
          <rPr>
            <sz val="9"/>
            <color indexed="81"/>
            <rFont val="MS P ゴシック"/>
            <family val="3"/>
            <charset val="128"/>
          </rPr>
          <t>Insight iXlW00001C0001731R0585476093S00003460P01504LAocjBAQBF1NjaVRlZ2ljLmRhdGEuTW9sZWN1bGUBbwF/ARJTY2lUZWdpYy5Nb2xlY3VsZQAAAQFkAv5qAQAAAAIAAgEUHAAAAPz8APwAAgAAAAAAAPC/Atbnaiv2VyVAAtJvXwfOCTLAAAAAABgAAAD8/AD8AAIAAAAAAADwvwK62or9ZVclQAKvJeSDnt0ywAAAAAAcAAAA/PwA/AACAAAAAAAA8L8CTDeJQWDFJkACZapgVFJHM8AAAAAAGAAAAPz8APwAAgAAAAAAAPC/AsDsnjwsNChAAsx/SL993TLAAAAAABgAAAD8/AD8AAIAAAAAAADwvwI0ETY8vTIoQALUK2UZ4ggywAAAAAAYAAAA/PwA/AACAAAAAAAA8L8CTvOOU3TEJkAC5KWbxCCgMcAAAAAAHAAAAPz8APwAAgAAAAAAAPC/Avyp8dJNoilAAtgS8kHPRjPAAAAAABgAAAD8/AD8AAIAAAAAAADwvwIg0m9fBw4rQAIkufyH9NsywAAAAAAYAAAA/PwA/AACAAAAAAAA8L8CPgrXo3B9LEAC+THmriVEM8AAAAAAGAAAAPz8APwAAgAAAAAAAPC/ApAxdy0hfyxAAhFYObTIFjTAAAAAABgAAAD8/AD8AAIAAAAAAADwvwLqlbIMcewtQALm0CLb+X40wAAAAAAcAAAA/PwA/AACAAAAAAAA8L8C71pCPuhZL0AChlrTvOMUNMAAAAAAGAAAAPz8APwAAgAAAAAAAPC/AoEmwoanVy9AAozbaABvQTPAAAAAABgAAAD8/AD8AAIAAAAAAADwvwIrGJXUCegtQAK5jQbwFtgywAAAAAAYAAAA/PwA/AACAAAAAAAA8L8CbHh6pSzDJkACsHJoke3MMMAAAAAAJAAAAPz8APwAAgAAAAAAAPC/AlmoNc07LihAAvvL7snDYjDAAAAAACQAAAD8/AD8AAIAAAAAAADwvwKkAbwFElQlQAJt5/up8WIwwAAAAAAkAAAA/PwA/AACAAAAAAAA8L8CWFuxv+y+JkACiPTb14HzL8AAAAAAAREAAAD8/AD8AAIAAAAAAADwvwICK4cW2c4wQAKbd5yiIzk0wAAAAAABEQAAAPz8APwAAgAAAAAAAPC/Apt3nKIj2SlAAjXvOEVHIjTAAAAAAAETAAQBZQgIAAAAAAAAAAQIAWUEAAAAAAAAAAAIDAFlCAgAAAAAAAAADBABZQQAAAAAAAAAABAUAWUICAAAAAAAAAAUAAFlBAAAAAAAAAAADBgBZQQAAAAAAAAAABgcAWUEAAAAAAAAAAAcIAFlBAAAAAAAAAAAICQBZQQAAAAAAAAAACA0AWUEAAAAAAAAAAAkKAFlBAAAAAAAAAAAKCwBZQQAAAAAAAAAACwwAWUEAAAAAAAAAAAwNAFlBAAAAAAAAAAAFDgBZQQAAAAAAAAAADg8AWUEAAAAAAAAAAA4ARABZQQAAAAAAAAAADgBEQFlBAAAAAAAAAAAAAAAAA==</t>
        </r>
      </text>
    </comment>
    <comment ref="A1732" authorId="0" shapeId="0" xr:uid="{057E065A-01E0-4D2A-8766-9EA2450C7DEE}">
      <text>
        <r>
          <rPr>
            <sz val="9"/>
            <color indexed="81"/>
            <rFont val="MS P ゴシック"/>
            <family val="3"/>
            <charset val="128"/>
          </rPr>
          <t>Insight iXlW00001C0001732R0585476093S00003462P01448LAocjBAQBF1NjaVRlZ2ljLmRhdGEuTW9sZWN1bGUBbwF/ARJTY2lUZWdpYy5Nb2xlY3VsZQAAAQFkAv5qAQAAAAIAAgETHAAAAPz8APwAAgAAAAAAAPC/AnKKjuTynyNAAuhqK/aXHS3AAAAAABgAAAD8/AD8AAIAAAAAAADwvwJXfa62Yp8jQAKi1jTvOMUuwAAAAAAcAAAA/PwA/AACAAAAAAAA8L8C6dms+lwNJUACDuAtkKCYL8AAAAAAGAAAAPz8APwAAgAAAAAAAPC/AlyPwvUofCZAAtuK/WX3xC7AAAAAABgAAAD8/AD8AAIAAAAAAADwvwLRs1n1uXomQALs4jYawBstwAAAAAAYAAAA/PwA/AACAAAAAAAA8L8C6pWyDHEMJUACmUwVjEpKLMAAAAAAIAAAAPz8APwAAgAAAAAAAPC/AifChqdX6idAAvOwUGualy/AAAAAABgAAAD8/AD8AAIAAAAAAADwvwK9dJMYBFYpQAKL/WX35MEuwAAAAAAYAAAA/PwA/AACAAAAAAAA8L8C2qz6XG3FKkACw2SqYFSSL8AAAAAAGAAAAPz8APwAAgAAAAAAAPC/Ai3UmuYdxypAAnlYqDXNmzDAAAAAABgAAAD8/AD8AAIAAAAAAADwvwKHONbFbTQsQAKHFtnO9wMxwAAAAAAcAAAA/PwA/AACAAAAAAAA8L8Ci/1l9+ShLUACKKCJsOGZMMAAAAAAGAAAAPz8APwAAgAAAAAAAPC/Aqw+V1uxny1AAum3rwPnjC/AAAAAABgAAAD8/AD8AAIAAAAAAADwvwLHuriNBjAsQAK1pnnHKbouwAAAAAAYAAAA/PwA/AACAAAAAAAA8L8CCRueXikLJUACMuauJeSjKsAAAAAAJAAAAPz8APwAAgAAAAAAAPC/AvVKWYY4diZAAsiYu5aQzynAAAAAACQAAAD8/AD8AAIAAAAAAADwvwJApN++DpwjQAIdWmQ7388pwAAAAAAkAAAA/PwA/AACAAAAAAAA8L8C9P3UeOkGJUACWvW52or9KMAAAAAAAREAAAD8/AD8AAIAAAAAAADwvwJmiGNd3AYwQAIzxLEubhMxwAAAAAABEwAEAWUICAAAAAAAAAAECAFlBAAAAAAAAAAACAwBZQgIAAAAAAAAAAwQAWUEAAAAAAAAAAAQFAFlCAgAAAAAAAAAFAABZQQAAAAAAAAAAAwYAWUEAAAAAAAAAAAYHAFlBAAAAAAAAAAAHCABZQQAAAAAAAAAACAkAWUEAAAAAAAAAAAgNAFlBAAAAAAAAAAAJCgBZQQAAAAAAAAAACgsAWUEAAAAAAAAAAAsMAFlBAAAAAAAAAAAMDQBZQQAAAAAAAAAABQ4AWUEAAAAAAAAAAA4PAFlBAAAAAAAAAAAOAEQAWUEAAAAAAAAAAA4AREBZQQAAAAAAAAAAAAAAAA=</t>
        </r>
      </text>
    </comment>
    <comment ref="A1733" authorId="0" shapeId="0" xr:uid="{2FB49B09-CEA0-4214-A65E-6D37D6176C0C}">
      <text>
        <r>
          <rPr>
            <sz val="9"/>
            <color indexed="81"/>
            <rFont val="MS P ゴシック"/>
            <family val="3"/>
            <charset val="128"/>
          </rPr>
          <t>Insight iXlW00001C0001733R0585476093S00003464P01288LAocjBAQBF1NjaVRlZ2ljLmRhdGEuTW9sZWN1bGUBbwF/ARJTY2lUZWdpYy5Nb2xlY3VsZQAAAQFkAv5qAQAAAAIAAgERGAAAAPz8APwAAgAAAAAAAPC/Aq2L22gALypAAl5LyAc9SzPAAAAAABgAAAD8/AD8AAIAAAAAAADwvwIDCYofYy4qQAI7AU2EDR80wAAAAAAcAAAA/PwA/AACAAAAAAAA8L8ClWWIY12cK0AC8YXJVMGINMAAAAAAGAAAAPz8APwAAgAAAAAAAPC/ApeQD3o2Cy1AAlhbsb/sHjTAAAAAABgAAAD8/AD8AAIAAAAAAADwvwJ9PzVeugktQAJgB84ZUUozwAAAAAAYAAAA/PwA/AACAAAAAAAA8L8ClyGOdXGbK0ACb4EExY/hMsAAAAAAHAAAAPz8APwAAgAAAAAAAPC/AtNNYhBYeS5AAmPuWkI+iDTAAAAAABgAAAD8/AD8AAIAAAAAAADwvwL3deCcEeUvQAKwlGWIYx00wAAAAAAYAAAA/PwA/AACAAAAAAAA8L8C0pFc/kOqMEACTMgHPZuFNMAAAAAAGAAAAPz8APwAAgAAAAAAAPC/ArTqc7UVqzBAApwzorQ3WDXAAAAAABgAAAD8/AD8AAIAAAAAAADwvwLhnBGlvWExQAJxrIvbaMA1wAAAAAAcAAAA/PwA/AACAAAAAAAA8L8CY3/ZPXkYMkACETY8vVJWNcAAAAAAGAAAAPz8APwAAgAAAAAAAPC/AvMf0m9fFzJAAt9xio7kgjTAAAAAABgAAAD8/AD8AAIAAAAAAADwvwIB3gIJil8xQAJFaW/whRk0wAAAAAAkAAAA/PwA/AACAAAAAAAA8L8CkQ96Nqu+KEACHA3gLZDgMsAAAAAAAREAAAD8/AD8AAIAAAAAAADwvwJmiGNd3CYzQAKdoiO5/Fc2wAAAAAABEQAAAPz8APwAAgAAAAAAAPC/AmaIY13cZi5AAtBm1edqOzbAAAAAAAEQAAQBZQgIAAAAAAAAAAQIAWUEAAAAAAAAAAAIDAFlCAgAAAAAAAAADBABZQQAAAAAAAAAABAUAWUICAAAAAAAAAAUAAFlBAAAAAAAAAAADBgBZQQAAAAAAAAAABgcAWUEAAAAAAAAAAAcIAFlBAAAAAAAAAAAICQBZQQAAAAAAAAAACA0AWUEAAAAAAAAAAAkKAFlBAAAAAAAAAAAKCwBZQQAAAAAAAAAACwwAWUEAAAAAAAAAAAwNAFlBAAAAAAAAAAAADgBZQQAAAAAAAAAAAAAAAA=</t>
        </r>
      </text>
    </comment>
    <comment ref="A1734" authorId="0" shapeId="0" xr:uid="{5FDC1435-7E6D-494D-94C4-8A82696C7132}">
      <text>
        <r>
          <rPr>
            <sz val="9"/>
            <color indexed="81"/>
            <rFont val="MS P ゴシック"/>
            <family val="3"/>
            <charset val="128"/>
          </rPr>
          <t>Insight iXlW00001C0001734R0585476093S00003466P01504LAocjBAQBF1NjaVRlZ2ljLmRhdGEuTW9sZWN1bGUBbwF/ARJTY2lUZWdpYy5Nb2xlY3VsZQAAAQFkAv5qAQAAAAIAAgEUGAAAAPz8APwAAgAAAAAAAPC/AkvqBDQRNhhAAmUZ4lgXBzXAAAAAABgAAAD8/AD8AAIAAAAAAADwvwL45GGh1jQYQAJ7FK5H4do1wAAAAAAcAAAA/PwA/AACAAAAAAAA8L8CG55eKcsQG0ACMZkqGJVENsAAAAAAGAAAAPz8APwAAgAAAAAAAPC/AiD0bFZ97h1AAl8pyxDH2jXAAAAAABgAAAD8/AD8AAIAAAAAAADwvwLsUbgehesdQAKgGi/dJAY1wAAAAAAYAAAA/PwA/AACAAAAAAAA8L8CHxZqTfMOG0ACd08eFmqdNMAAAAAAHAAAAPz8APwAAgAAAAAAAPC/Akw3iUFgZSBAAqQBvAUSRDbAAAAAABgAAAD8/AD8AAIAAAAAAADwvwJwXwfOGdEhQALwp8ZLN9k1wAAAAAAYAAAA/PwA/AACAAAAAAAA8L8CjpduEoNAI0ACjNtoAG9BNsAAAAAAGAAAAPz8APwAAgAAAAAAAPC/AuC+DpwzQiNAAqQBvAUSFDfAAAAAABgAAAD8/AD8AAIAAAAAAADwvwI6I0p7g68kQAJ5eqUsQ3w3wAAAAAAcAAAA/PwA/AACAAAAAAAA8L8CsHJoke0cJkACUkmdgCYSN8AAAAAAGAAAAPz8APwAAgAAAAAAAPC/AtGzWfW5GiZAAh+F61G4PjbAAAAAABgAAAD8/AD8AAIAAAAAAADwvwLtL7snD6skQAJMN4lBYNU1wAAAAAAYAAAA/PwA/AACAAAAAAAA8L8C1CtlGeJYFUACMQisHFpENsAAAAAAJAAAAPz8APwAAgAAAAAAAPC/AnbgnBGlfRJAAu0NvjCZ2jXAAAAAACQAAAD8/AD8AAIAAAAAAADwvwIqqRPQRFgVQAJlO99PjRc3wAAAAAAkAAAA/PwA/AACAAAAAAAA8L8C1sVtNIB3EkACI9v5fmqsNsAAAAAAAREAAAD8/AD8AAIAAAAAAADwvwKXIY51cdsmQALOO07RkYw3wAAAAAABEQAAAPz8APwAAgAAAAAAAPC/Ao91cRsN4B9AAssQx7q4nTfAAAAAAAETAAQBZQgIAAAAAAAAAAQIAWUEAAAAAAAAAAAIDAFlCAgAAAAAAAAADBABZQQAAAAAAAAAABAUAWUICAAAAAAAAAAUAAFlBAAAAAAAAAAADBgBZQQAAAAAAAAAABgcAWUEAAAAAAAAAAAcIAFlBAAAAAAAAAAAICQBZQQAAAAAAAAAACA0AWUEAAAAAAAAAAAkKAFlBAAAAAAAAAAAKCwBZQQAAAAAAAAAACwwAWUEAAAAAAAAAAAwNAFlBAAAAAAAAAAABDgBZQQAAAAAAAAAADg8AWUEAAAAAAAAAAA4ARABZQQAAAAAAAAAADgBEQFlBAAAAAAAAAAAAAAAAA==</t>
        </r>
      </text>
    </comment>
    <comment ref="A1735" authorId="0" shapeId="0" xr:uid="{25D97427-E0C7-4AEE-B1B3-3D59DDD4C1C9}">
      <text>
        <r>
          <rPr>
            <sz val="9"/>
            <color indexed="81"/>
            <rFont val="MS P ゴシック"/>
            <family val="3"/>
            <charset val="128"/>
          </rPr>
          <t>Insight iXlW00001C0001735R0585476093S00003468P01448LAocjBAQBF1NjaVRlZ2ljLmRhdGEuTW9sZWN1bGUBbwF/ARJTY2lUZWdpYy5Nb2xlY3VsZQAAAQFkAv5qAQAAAAIAAgETGAAAAPz8APwAAgAAAAAAAPC/AiDSb18HThtAAmPuWkI+mDDAAAAAABgAAAD8/AD8AAIAAAAAAADwvwLpt68D50wbQAJApN++DmwxwAAAAAAcAAAA/PwA/AACAAAAAAAA8L8CDXGsi9soHkAC9ihcj8LVMcAAAAAAGAAAAPz8APwAAgAAAAAAAPC/Avrt68A5gyBAAl3+Q/rtazHAAAAAABgAAAD8/AD8AAIAAAAAAADwvwJvEoPAyoEgQAJlqmBUUpcwwAAAAAAYAAAA/PwA/AACAAAAAAAA8L8CEOm3rwMnHkACPN9PjZcuMMAAAAAAIAAAAPz8APwAAgAAAAAAAPC/AjerPldb8SFAAmmR7Xw/1THAAAAAABgAAAD8/AD8AAIAAAAAAADwvwJb07zjFF0jQAK1N/jCZGoxwAAAAAAYAAAA/PwA/AACAAAAAAAA8L8CeAskKH7MJEACirDh6ZXSMcAAAAAAGAAAAPz8APwAAgAAAAAAAPC/AssyxLEuziRAAmmR7Xw/pTLAAAAAABgAAAD8/AD8AAIAAAAAAADwvwIll/+QfjsmQAJ3Tx4Wag0zwAAAAAAcAAAA/PwA/AACAAAAAAAA8L8Cm+Ydp+ioJ0ACF9nO91OjMsAAAAAAGAAAAPz8APwAAgAAAAAAAPC/ArwnDwu1pidAAh1aZDvfzzHAAAAAABgAAAD8/AD8AAIAAAAAAADwvwLXo3A9CjcmQAJKDAIrh2YxwAAAAAAYAAAA/PwA/AACAAAAAAAA8L8Cxv6ye/JwGEACL90kBoHVMcAAAAAAJAAAAPz8APwAAgAAAAAAAPC/AkzIBz2blRVAArKd76fGazHAAAAAACQAAAD8/AD8AAIAAAAAAADwvwIAkX77OnAYQAJjEFg5tKgywAAAAAAkAAAA/PwA/AACAAAAAAAA8L8CrK3YX3aPFUAC6Gor9pc9MsAAAAAAAREAAAD8/AD8AAIAAAAAAADwvwIEVg4tsj0oQAIAAAAAAGAzwAAAAAABEwAEAWUICAAAAAAAAAAECAFlBAAAAAAAAAAACAwBZQgIAAAAAAAAAAwQAWUEAAAAAAAAAAAQFAFlCAgAAAAAAAAAFAABZQQAAAAAAAAAAAwYAWUEAAAAAAAAAAAYHAFlBAAAAAAAAAAAHCABZQQAAAAAAAAAACAkAWUEAAAAAAAAAAAgNAFlBAAAAAAAAAAAJCgBZQQAAAAAAAAAACgsAWUEAAAAAAAAAAAsMAFlBAAAAAAAAAAAMDQBZQQAAAAAAAAAAAQ4AWUEAAAAAAAAAAA4PAFlBAAAAAAAAAAAOAEQAWUEAAAAAAAAAAA4AREBZQQAAAAAAAAAAAAAAAA=</t>
        </r>
      </text>
    </comment>
    <comment ref="A1736" authorId="0" shapeId="0" xr:uid="{2908ED5A-BB58-4622-B6AA-426688151E5E}">
      <text>
        <r>
          <rPr>
            <sz val="9"/>
            <color indexed="81"/>
            <rFont val="MS P ゴシック"/>
            <family val="3"/>
            <charset val="128"/>
          </rPr>
          <t>Insight iXlW00001C0001736R0585476093S00003470P01216LAocjBAQBF1NjaVRlZ2ljLmRhdGEuTW9sZWN1bGUBbwF/ARJTY2lUZWdpYy5Nb2xlY3VsZQAAAQFkAv5qAQAAAAIAAgEQHAAAAPz8APwAAgAAAAAAAPC/AvYoXI/CdSNAAk9AE2HDUzLAAAAAABgAAAD8/AD8AAIAAAAAAADwvwLbG3xhMnUjQAKBJsKGpyczwAAAAAAcAAAA/PwA/AACAAAAAAAA8L8CiWNd3EbjJEAC/mX35GGRM8AAAAAAGAAAAPz8APwAAgAAAAAAAPC/Aqd5xyk6UiZAAp6AJsKGJzPAAAAAABgAAAD8/AD8AAIAAAAAAADwvwIbnl4py1AmQAJR/Bhz11IywAAAAAAYAAAA/PwA/AACAAAAAAAA8L8Cih9j7lriJEACmbuWkA/qMcAAAAAAHAAAAPz8APwAAgAAAAAAAPC/AgAi/fZ1wCdAAnDOiNLekDPAAAAAABgAAAD8/AD8AAIAAAAAAADwvwLOqs/VViwpQAIv/yH99iUzwAAAAAAYAAAA/PwA/AACAAAAAAAA8L8ClkOLbOebKkACWag1zTuOM8AAAAAAGAAAAPz8APwAAgAAAAAAAPC/AuhqK/aXnSpAAsb+snvyYDTAAAAAABgAAAD8/AD8AAIAAAAAAADwvwJfukkMAgssQAKbd5yiI8k0wAAAAAAcAAAA/PwA/AACAAAAAAAA8L8Cf2q8dJN4LUACdEaU9gZfNMAAAAAAGAAAAPz8APwAAgAAAAAAAPC/AqCrrdhfdi1AAuxRuB6FizPAAAAAABgAAAD8/AD8AAIAAAAAAADwvwIRx7q4jQYsQALE0ytlGSIzwAAAAAABEQAAAPz8APwAAgAAAAAAAPC/Apt3nKIjeS9AAplMFYxKijXAAAAAAAERAAAA/PwA/AACAAAAAAAA8L8Cm3ecoiNZJ0ACzTtO0ZFcNcAAAAAAPAAEAWUICAAAAAAAAAAECAFlBAAAAAAAAAAACAwBZQgIAAAAAAAAAAwQAWUEAAAAAAAAAAAQFAFlCAgAAAAAAAAAFAABZQQAAAAAAAAAAAwYAWUEAAAAAAAAAAAYHAFlBAAAAAAAAAAAHCABZQQAAAAAAAAAACAkAWUEAAAAAAAAAAAgNAFlBAAAAAAAAAAAJCgBZQQAAAAAAAAAACgsAWUEAAAAAAAAAAAsMAFlBAAAAAAAAAAAMDQBZQQAAAAAAAAAAAAAAAA=</t>
        </r>
      </text>
    </comment>
    <comment ref="A1737" authorId="0" shapeId="0" xr:uid="{BE937F7A-2320-48CD-BDC0-6D1808C58376}">
      <text>
        <r>
          <rPr>
            <sz val="9"/>
            <color indexed="81"/>
            <rFont val="MS P ゴシック"/>
            <family val="3"/>
            <charset val="128"/>
          </rPr>
          <t>Insight iXlW00001C0001737R0585476093S00003472P01288LAocjBAQBF1NjaVRlZ2ljLmRhdGEuTW9sZWN1bGUBbwF/ARJTY2lUZWdpYy5Nb2xlY3VsZQAAAQFkAv5qAQAAAAIAAgERGAAAAPz8APwAAgAAAAAAAPC/ArTqc7UVmyBAAtc07zhFpy7AAAAAABgAAAD8/AD8AAIAAAAAAADwvwKY3ZOHhZogQAJIUPwYcycwwAAAAAAcAAAA/PwA/AACAAAAAAAA8L8CKjqSy38IIkAC/tR46SaRMMAAAAAAGAAAAPz8APwAAgAAAAAAAPC/Ap7vp8ZLdyNAAmWqYFRSJzDAAAAAABgAAAD8/AD8AAIAAAAAAADwvwISFD/G3HUjQALarPpcbaUuwAAAAAAYAAAA/PwA/AACAAAAAAAA8L8CLPaX3ZMHIkACiBbZzvfTLcAAAAAAHAAAAPz8APwAAgAAAAAAAPC/AmgibHh65SRAAnE9CtejkDDAAAAAABgAAAD8/AD8AAIAAAAAAADwvwL+1HjpJlEmQAK94xQdySUwwAAAAAAYAAAA/PwA/AACAAAAAAAA8L8CHA3gLZDAJ0ACWRe30QCOMMAAAAAAGAAAAPz8APwAAgAAAAAAAPC/Am40gLdAwidAAnE9CtejYDHAAAAAABgAAAD8/AD8AAIAAAAAAADwvwLImLuWkC8pQAJ/+zpwzsgxwAAAAAAcAAAA/PwA/AACAAAAAAAA8L8CzV1LyAedKkACH4XrUbheMcAAAAAAGAAAAPz8APwAAgAAAAAAAPC/Au2ePCzUmipAAiUGgZVDizDAAAAAABgAAAD8/AD8AAIAAAAAAADwvwIJG55eKSspQAJSuB6F6yEwwAAAAAAkAAAA/PwA/AACAAAAAAAA8L8CbjSAt0DiJEACj+TyH9LPLcAAAAAAAREAAAD8/AD8AAIAAAAAAADwvwJTliGOdXEvQAJHlPYGX/gwwAAAAAABEQAAAPz8APwAAgAAAAAAAPC/AhpR2ht8ASJAAnyDL0ymajHAAAAAAAEQAAQBZQgIAAAAAAAAAAQIAWUEAAAAAAAAAAAIDAFlCAgAAAAAAAAADBABZQQAAAAAAAAAABAUAWUICAAAAAAAAAAUAAFlBAAAAAAAAAAADBgBZQQAAAAAAAAAABgcAWUEAAAAAAAAAAAcIAFlBAAAAAAAAAAAICQBZQQAAAAAAAAAACA0AWUEAAAAAAAAAAAkKAFlBAAAAAAAAAAAKCwBZQQAAAAAAAAAACwwAWUEAAAAAAAAAAAwNAFlBAAAAAAAAAAAEDgBZQQAAAAAAAAAAAAAAAA=</t>
        </r>
      </text>
    </comment>
    <comment ref="A1738" authorId="0" shapeId="0" xr:uid="{AC68991C-E6A5-49D3-B880-95EC80733070}">
      <text>
        <r>
          <rPr>
            <sz val="9"/>
            <color indexed="81"/>
            <rFont val="MS P ゴシック"/>
            <family val="3"/>
            <charset val="128"/>
          </rPr>
          <t>Insight iXlW00001C0001738R0585476093S00003474P01360LAocjBAQBF1NjaVRlZ2ljLmRhdGEuTW9sZWN1bGUBbwF/ARJTY2lUZWdpYy5Nb2xlY3VsZQAAAQFkAv5qAQAAAAIAAgESHAAAAPz8APwAAgAAAAAAAPC/Am1Wfa62AidAAio6kst/aC3AAAAAABgAAAD8/AD8AAIAAAAAAADwvwJSSZ2AJgInQALkpZvEIBAvwAAAAAAYAAAA/PwA/AACAAAAAAAA8L8C5KWbxCBwKEACwTkjSnvjL8AAAAAAGAAAAPz8APwAAgAAAAAAAPC/Alhbsb/s3ilAAh1aZDvfDy/AAAAAABgAAAD8/AD8AAIAAAAAAADwvwLMf0i/fd0pQAItsp3vp2YtwAAAAAAYAAAA/PwA/AACAAAAAAAA8L8C5WGh1jRvKEACTaYKRiWVLMAAAAAAHAAAAPz8APwAAgAAAAAAAPC/ApQYBFYOTStAAjWAt0CC4i/AAAAAABgAAAD8/AD8AAIAAAAAAADwvwK4QILix7gsQALNzMzMzAwvwAAAAAAYAAAA/PwA/AACAAAAAAAA8L8C1XjpJjEoLkACd76fGi/dL8AAAAAAGAAAAPz8APwAAgAAAAAAAPC/AiigibDhKS5AAlMFo5I6wTDAAAAAABgAAAD8/AD8AAIAAAAAAADwvwKCBMWPMZcvQAIofoy5aykxwAAAAAAcAAAA/PwA/AACAAAAAAAA8L8C/Knx0k2CMEACyQc9m1W/MMAAAAAAGAAAAPz8APwAAgAAAAAAAPC/AoxK6gQ0gTBAAp0Rpb3B1y/AAAAAABgAAAD8/AD8AAIAAAAAAADwvwI0ETY8vZIvQAL3deCcEQUvwAAAAAAgAAAA/PwA/AACAAAAAAAA8L8CwOyePCyUJUACwhcmUwXjL8AAAAAAGAAAAPz8APwAAgAAAAAAAPC/AoNRSZ2AJiRAAjojSnuDDy/AAAAAAAERAAAA/PwA/AACAAAAAAAA8L8Cz2bV52rrMEAC0GbV52orMsAAAAAAAREAAAD8/AD8AAIAAAAAAADwvwLQZtXnaksqQALPZtXnatsxwAAAAAABEQAEAWUICAAAAAAAAAAECAFlBAAAAAAAAAAACAwBZQgIAAAAAAAAAAwQAWUEAAAAAAAAAAAQFAFlCAgAAAAAAAAAFAABZQQAAAAAAAAAAAwYAWUEAAAAAAAAAAAYHAFlBAAAAAAAAAAAHCABZQQAAAAAAAAAACAkAWUEAAAAAAAAAAAgNAFlBAAAAAAAAAAAJCgBZQQAAAAAAAAAACgsAWUEAAAAAAAAAAAsMAFlBAAAAAAAAAAAMDQBZQQAAAAAAAAAAAQ4AWUEAAAAAAAAAAA4PAFlBAAAAAAAAAAAAAAAAA==</t>
        </r>
      </text>
    </comment>
    <comment ref="A1739" authorId="0" shapeId="0" xr:uid="{984710F2-F701-447F-9210-BCF78C8B4437}">
      <text>
        <r>
          <rPr>
            <sz val="9"/>
            <color indexed="81"/>
            <rFont val="MS P ゴシック"/>
            <family val="3"/>
            <charset val="128"/>
          </rPr>
          <t>Insight iXlW00001C0001739R0585476093S00003476P01288LAocjBAQBF1NjaVRlZ2ljLmRhdGEuTW9sZWN1bGUBbwF/ARJTY2lUZWdpYy5Nb2xlY3VsZQAAAQFkAv5qAQAAAAIAAgERHAAAAPz8APwAAgAAAAAAAPC/AgAAAAAAEDJAAq5H4XoUzjLAAAAAABgAAAD8/AD8AAIAAAAAAADwvwKrPldbsQ8yQAKL/WX35KEzwAAAAAAYAAAA/PwA/AACAAAAAAAA8L8C9GxWfa7GMkACQYLix5gLNMAAAAAAGAAAAPz8APwAAgAAAAAAAPC/AnUCmggbfjNAAqhXyjLEoTPAAAAAABgAAAD8/AD8AAIAAAAAAADwvwLp2az6XH0zQAKwA+eMKM0ywAAAAAAYAAAA/PwA/AACAAAAAAAA8L8C9UpZhjjGMkAChzjWxW1kMsAAAAAAHAAAAPz8APwAAgAAAAAAAPC/AhRhw9MrNTRAArTqc7UVCzTAAAAAABgAAAD8/AD8AAIAAAAAAADwvwJeukkMAus0QAIAkX77OqAzwAAAAAAYAAAA/PwA/AACAAAAAAAA8L8CbVZ9rraiNUAC1QloImwINMAAAAAAGAAAAPz8APwAAgAAAAAAAPC/AhZqTfOOozVAArTqc7UV2zTAAAAAABgAAAD8/AD8AAIAAAAAAADwvwJDHOviNlo2QALCqKROQEM1wAAAAAAcAAAA/PwA/AACAAAAAAAA8L8Cxv6ye/IQN0ACYjJVMCrZNMAAAAAAGAAAAPz8APwAAgAAAAAAAPC/Alafq63YDzdAAmiz6nO1BTTAAAAAABgAAAD8/AD8AAIAAAAAAADwvwJkXdxGA1g2QAKVZYhjXZwzwAAAAAABEQAAAPz8APwAAgAAAAAAAPC/Amsr9pfdMzRAAhi30QDeYjLAAAAAAAERAAAA/PwA/AACAAAAAAAA8L8CM8SxLm7zN0ACm3ecoiMZNsAAAAAAAREAAAD8/AD8AAIAAAAAAADwvwJmiGNd3MYzQAJmiGNd3KY1wAAAAAABEAAEAWUICAAAAAAAAAAECAFlBAAAAAAAAAAACAwBZQgIAAAAAAAAAAwQAWUEAAAAAAAAAAAQFAFlCAgAAAAAAAAAFAABZQQAAAAAAAAAAAwYAWUEAAAAAAAAAAAYHAFlBAAAAAAAAAAAHCABZQQAAAAAAAAAACAkAWUEAAAAAAAAAAAgNAFlBAAAAAAAAAAAJCgBZQQAAAAAAAAAACgsAWUEAAAAAAAAAAAsMAFlBAAAAAAAAAAAMDQBZQQAAAAAAAAAABA4AWUEAAAAAAAAAAAAAAAA</t>
        </r>
      </text>
    </comment>
    <comment ref="A1740" authorId="0" shapeId="0" xr:uid="{89BD0D44-5343-429A-905E-B418AA56C950}">
      <text>
        <r>
          <rPr>
            <sz val="9"/>
            <color indexed="81"/>
            <rFont val="MS P ゴシック"/>
            <family val="3"/>
            <charset val="128"/>
          </rPr>
          <t>Insight iXlW00001C0001740R0585476093S00003478P01288LAocjBAQBF1NjaVRlZ2ljLmRhdGEuTW9sZWN1bGUBbwF/ARJTY2lUZWdpYy5Nb2xlY3VsZQAAAQFkAv5qAQAAAAIAAgERHAAAAPz8APwAAgAAAAAAAPC/AmkAb4EExRxAAgIrhxbZjjLAAAAAABgAAAD8/AD8AAIAAAAAAADwvwIW+8vuycMcQAKmm8QgsGIzwAAAAAAYAAAA/PwA/AACAAAAAAAA8L8COrTIdr6fH0ACXCBB8WPMM8AAAAAAGAAAAPz8APwAAgAAAAAAAPC/AjtwzojSPiFAAoqw4emVYjPAAAAAABgAAAD8/AD8AAIAAAAAAADwvwIhH/RsVj0hQAI9LNSa5o0ywAAAAAAYAAAA/PwA/AACAAAAAAAA8L8CPSzUmuadH0ACE2HD0yslMsAAAAAAHAAAAPz8APwAAgAAAAAAAPC/AnctIR/0rCJAAs+I0t7gyzPAAAAAABgAAAD8/AD8AAIAAAAAAADwvwK4QILixxgkQAIbL90kBmEzwAAAAAAYAAAA/PwA/AACAAAAAAAA8L8CRwN4CySIJUACt2J/2T3JM8AAAAAAGAAAAPz8APwAAgAAAAAAAPC/ApkqGJXUiSVAAs+I0t7gmzTAAAAAABgAAAD8/AD8AAIAAAAAAADwvwL0jlN0JPcmQAIydy0hHwQ1wAAAAAAcAAAA/PwA/AACAAAAAAAA8L8CFD/G3LVkKEACfdCzWfWZNMAAAAAAGAAAAPz8APwAAgAAAAAAAPC/AjWAt0CCYihAAkoMAiuHxjPAAAAAABgAAAD8/AD8AAIAAAAAAADwvwI0ETY8vfImQAJ3vp8aL10zwAAAAAAkAAAA/PwA/AACAAAAAAAA8L8CJ8KGp1eqIkACbJp3nKIjMsAAAAAAAREAAAD8/AD8AAIAAAAAAADwvwJq3nGKjgQsQAL/If32dfA0wAAAAAABEQAAAPz8APwAAgAAAAAAAPC/AtQrZRniGCBAAtGzWfW5mjTAAAAAAAEQAAQBZQgIAAAAAAAAAAQIAWUEAAAAAAAAAAAIDAFlCAgAAAAAAAAADBABZQQAAAAAAAAAABAUAWUICAAAAAAAAAAUAAFlBAAAAAAAAAAADBgBZQQAAAAAAAAAABgcAWUEAAAAAAAAAAAcIAFlBAAAAAAAAAAAICQBZQQAAAAAAAAAACA0AWUEAAAAAAAAAAAkKAFlBAAAAAAAAAAAKCwBZQQAAAAAAAAAACwwAWUEAAAAAAAAAAAwNAFlBAAAAAAAAAAAEDgBZQQAAAAAAAAAAAAAAAA=</t>
        </r>
      </text>
    </comment>
    <comment ref="A1741" authorId="0" shapeId="0" xr:uid="{CC933AA7-71B8-4ED3-A485-FCA8CCFF95CA}">
      <text>
        <r>
          <rPr>
            <sz val="9"/>
            <color indexed="81"/>
            <rFont val="MS P ゴシック"/>
            <family val="3"/>
            <charset val="128"/>
          </rPr>
          <t>Insight iXlW00001C0001741R0585476093S00003480P01288LAocjBAQBF1NjaVRlZ2ljLmRhdGEuTW9sZWN1bGUBbwF/ARJTY2lUZWdpYy5Nb2xlY3VsZQAAAQFkAv5qAQAAAAIAAgERGAAAAPz8APwAAgAAAAAAAPC/AoIExY8xFydAAiKOdXEbDTXAAAAAABgAAAD8/AD8AAIAAAAAAADwvwJm9+RhoRYnQALG/rJ78uA1wAAAAAAcAAAA/PwA/AACAAAAAAAA8L8ChslUwaiEKEACfIMvTKZKNsAAAAAAGAAAAPz8APwAAgAAAAAAAPC/Avp+arx08ylAAuJYF7fR4DXAAAAAABwAAAD8/AD8AAIAAAAAAADwvwLgLZCg+PEpQAIkSnuDLww1wAAAAAAYAAAA/PwA/AACAAAAAAAA8L8CiIVa07yDKEACbAn5oGejNMAAAAAAHAAAAPz8APwAAgAAAAAAAPC/AsWxLm6jYStAAu7rwDkjSjbAAAAAABgAAAD8/AD8AAIAAAAAAADwvwJ3Tx4Was0sQAI6kst/SN81wAAAAAAYAAAA/PwA/AACAAAAAAAA8L8CIv32deA8LkACDwu1pnlHNsAAAAAAGAAAAPz8APwAAgAAAAAAAPC/AnUkl/+QPi5AAu7rwDkjGjfAAAAAABgAAAD8/AD8AAIAAAAAAADwvwLPiNLe4KsvQAKKH2PuWoI3wAAAAAAcAAAA/PwA/AACAAAAAAAA8L8C6iYxCKyMMEACnDOitDcYN8AAAAAAGAAAAPz8APwAAgAAAAAAAPC/AnrHKTqSizBAAqO0N/jCRDbAAAAAABgAAAD8/AD8AAIAAAAAAADwvwIQC7WmeacvQAIIrBxaZNs1wAAAAAAkAAAA/PwA/AACAAAAAAAA8L8C2BLyQc+mJUAC4E+Nl26iNMAAAAAAAREAAAD8/AD8AAIAAAAAAADwvwKbVZ+rrSgyQALm0CLb+R43wAAAAAABEQAAAPz8APwAAgAAAAAAAPC/As47TtGRvClAAkku/yH9RjfAAAAAAAEQAAQBZQgIAAAAAAAAAAQIAWUEAAAAAAAAAAAIDAFlCAgAAAAAAAAADBABZQQAAAAAAAAAABAUAWUICAAAAAAAAAAUAAFlBAAAAAAAAAAADBgBZQQAAAAAAAAAABgcAWUEAAAAAAAAAAAcIAFlBAAAAAAAAAAAICQBZQQAAAAAAAAAACA0AWUEAAAAAAAAAAAkKAFlBAAAAAAAAAAAKCwBZQQAAAAAAAAAACwwAWUEAAAAAAAAAAAwNAFlBAAAAAAAAAAAADgBZQQAAAAAAAAAAAAAAAA=</t>
        </r>
      </text>
    </comment>
    <comment ref="A1742" authorId="0" shapeId="0" xr:uid="{F806297F-58AB-4703-86C1-37417D693105}">
      <text>
        <r>
          <rPr>
            <sz val="9"/>
            <color indexed="81"/>
            <rFont val="MS P ゴシック"/>
            <family val="3"/>
            <charset val="128"/>
          </rPr>
          <t>Insight iXlW00001C0001742R0585476093S00003482P01288LAocjBAQBF1NjaVRlZ2ljLmRhdGEuTW9sZWN1bGUBbwF/ARJTY2lUZWdpYy5Nb2xlY3VsZQAAAQFkAv5qAQAAAAIAAgERGAAAAPz8APwAAgAAAAAAAPC/An0/NV666SdAAqvP1VbsTzHAAAAAABgAAAD8/AD8AAIAAAAAAADwvwLUvOMUHeknQAKIhVrTvCMywAAAAAAcAAAA/PwA/AACAAAAAAAA8L8C9I5TdCRXKUACPgrXo3CNMsAAAAAAGAAAAPz8APwAAgAAAAAAAPC/Ava52or9xSpAAmyad5yiIzLAAAAAABgAAAD8/AD8AAIAAAAAAADwvwLcaABvgcQqQALm0CLb+U4xwAAAAAAYAAAA/PwA/AACAAAAAAAA8L8C9UpZhjhWKUACvAUSFD/mMMAAAAAAIAAAAPz8APwAAgAAAAAAAPC/AsDsnjwsNCxAArByaJHtjDLAAAAAABgAAAD8/AD8AAIAAAAAAADwvwJyio7k8p8tQAL9GHPXEiIywAAAAAAYAAAA/PwA/AACAAAAAAAA8L8CkML1KFwPL0ACmUwVjEqKMsAAAAAAGAAAAPz8APwAAgAAAAAAAPC/AuLplbIMES9AAnctIR/0XDPAAAAAABgAAAD8/AD8AAIAAAAAAADwvwLlYaHWND8wQAIUYcPTK8UzwAAAAAAcAAAA/PwA/AACAAAAAAAA8L8CZ0Rpb/D1MEACJnUCmghbM8AAAAAAGAAAAPz8APwAAgAAAAAAAPC/AvjkYaHW9DBAAiz2l92ThzLAAAAAABgAAAD8/AD8AAIAAAAAAADwvwI+6Nms+jwwQAJZqDXNOx4ywAAAAAAkAAAA/PwA/AACAAAAAAAA8L8Cxv6ye/IwLEACh6dXyjLkMMAAAAAAAREAAAD8/AD8AAIAAAAAAADwvwIzxLEubrMxQALQZtXnaqs0wAAAAAABEQAAAPz8APwAAgAAAAAAAPC/ApchjnVxWylAAtBm1edqCzTAAAAAAAEQAAQBZQgIAAAAAAAAAAQIAWUEAAAAAAAAAAAIDAFlCAgAAAAAAAAADBABZQQAAAAAAAAAABAUAWUICAAAAAAAAAAUAAFlBAAAAAAAAAAADBgBZQQAAAAAAAAAABgcAWUEAAAAAAAAAAAcIAFlBAAAAAAAAAAAICQBZQQAAAAAAAAAACA0AWUEAAAAAAAAAAAkKAFlBAAAAAAAAAAAKCwBZQQAAAAAAAAAACwwAWUEAAAAAAAAAAAwNAFlBAAAAAAAAAAAEDgBZQQAAAAAAAAAAAAAAAA=</t>
        </r>
      </text>
    </comment>
    <comment ref="A1743" authorId="0" shapeId="0" xr:uid="{FC94C8C7-ADCC-45D5-89C3-988D05EC916D}">
      <text>
        <r>
          <rPr>
            <sz val="9"/>
            <color indexed="81"/>
            <rFont val="MS P ゴシック"/>
            <family val="3"/>
            <charset val="128"/>
          </rPr>
          <t>Insight iXlW00001C0001743R0585476093S00003484P01360LAocjBAQBF1NjaVRlZ2ljLmRhdGEuTW9sZWN1bGUBbwF/ARJTY2lUZWdpYy5Nb2xlY3VsZQAAAQFkAv5qAQAAAAIAAgESGAAAAPz8APwAAgAAAAAAAPC/AnxhMlUw6hFAAucdp+hIPjLAAAAAABgAAAD8/AD8AAIAAAAAAADwvwJFR3L5D+kRQALE0ytlGRIzwAAAAAAcAAAA/PwA/AACAAAAAAAA8L8CaQBvgQTFFEACelioNc17M8AAAAAAGAAAAPz8APwAAgAAAAAAAPC/AlFrmnecohdAAuAtkKD4ETPAAAAAABgAAAD8/AD8AAIAAAAAAADwvwI6tMh2vp8XQALo2az6XD0ywAAAAAAYAAAA/PwA/AACAAAAAAAA8L8CbHh6pSzDFEAC+FPjpZvUMcAAAAAAIAAAAPz8APwAAgAAAAAAAPC/AsnlP6TffhpAAuzAOSNKezPAAAAAABgAAAD8/AD8AAIAAAAAAADwvwISNjy9UlYdQAI4Z0RpbxAzwAAAAAAYAAAA/PwA/AACAAAAAAAA8L8CJlMFo5IaIEACDeAtkKB4M8AAAAAAGAAAAPz8APwAAgAAAAAAAPC/Anl6pSxDHCBAAiUGgZVDSzTAAAAAABgAAAD8/AD8AAIAAAAAAADwvwLT3uALk4khQAL6fmq8dLM0wAAAAAAcAAAA/PwA/AACAAAAAAAA8L8C16NwPQr3IkACmggbnl5JNMAAAAAAGAAAAPz8APwAAgAAAAAAAPC/Ampv8IXJ9CJAAqCJsOHpdTPAAAAAABgAAAD8/AD8AAIAAAAAAADwvwITYcPTK4UhQALNO07RkQwzwAAAAAAgAAAA/PwA/AACAAAAAAAA8L8CqoJRSZ3AFEACxSCwcmgBMcAAAAAAGAAAAPz8APwAAgAAAAAAAPC/AiZ1ApoImxdAAtc07zhFlzDAAAAAAAERAAAA/PwA/AACAAAAAAAA8L8Cn82qz9W2JEACzTtO0ZEMNcAAAAAAAREAAAD8/AD8AAIAAAAAAADwvwLLEMe6uM0UQAJmiGNd3GY0wAAAAAABEQAEAWUICAAAAAAAAAAECAFlBAAAAAAAAAAACAwBZQgIAAAAAAAAAAwQAWUEAAAAAAAAAAAQFAFlCAgAAAAAAAAAFAABZQQAAAAAAAAAAAwYAWUEAAAAAAAAAAAYHAFlBAAAAAAAAAAAHCABZQQAAAAAAAAAACAkAWUEAAAAAAAAAAAgNAFlBAAAAAAAAAAAJCgBZQQAAAAAAAAAACgsAWUEAAAAAAAAAAAsMAFlBAAAAAAAAAAAMDQBZQQAAAAAAAAAABQ4AWUEAAAAAAAAAAA4PAFlBAAAAAAAAAAAAAAAAA==</t>
        </r>
      </text>
    </comment>
    <comment ref="A1744" authorId="0" shapeId="0" xr:uid="{DF24FC53-C7E4-4546-B0FF-DFBE96669DCC}">
      <text>
        <r>
          <rPr>
            <sz val="9"/>
            <color indexed="81"/>
            <rFont val="MS P ゴシック"/>
            <family val="3"/>
            <charset val="128"/>
          </rPr>
          <t>Insight iXlW00001C0001744R0585476093S00003486P01288LAocjBAQBF1NjaVRlZ2ljLmRhdGEuTW9sZWN1bGUBbwF/ARJTY2lUZWdpYy5Nb2xlY3VsZQAAAQFkAv5qAQAAAAIAAgERHAAAAPz8APwAAgAAAAAAAPC/AsuhRbbzXSNAAmHD0ytliTPAAAAAABgAAAD8/AD8AAIAAAAAAADwvwKwlGWIY10jQAI+eVioNV00wAAAAAAYAAAA/PwA/AACAAAAAAAA8L8CQfFjzF3LJEACLUMc6+LGNMAAAAAAGAAAAPz8APwAAgAAAAAAAPC/ArWmeccpOiZAAlvTvOMUXTTAAAAAABgAAAD8/AD8AAIAAAAAAADwvwIqyxDHujgmQAJjf9k9eYgzwAAAAAAYAAAA/PwA/AACAAAAAAAA8L8CQ61p3nHKJEACc/kP6bcfM8AAAAAAIAAAAPz8APwAAgAAAAAAAPC/AoDZPXlYqCdAAmdmZmZmxjTAAAAAABgAAAD8/AD8AAIAAAAAAADwvwIWjErqBBQpQAKzDHGsi1s0wAAAAAAYAAAA/PwA/AACAAAAAAAA8L8CM8SxLm6DKkACiIVa07zDNMAAAAAAGAAAAPz8APwAAgAAAAAAAPC/AoXrUbgehSpAAqCrrdhfljXAAAAAABgAAAD8/AD8AAIAAAAAAADwvwLgT42XbvIrQAJ1JJf/kP41wAAAAAAcAAAA/PwA/AACAAAAAAAA8L8C5BQdyeVfLUACFa5H4XqUNcAAAAAAGAAAAPz8APwAAgAAAAAAAPC/AnbgnBGlXS1AAhsv3SQGwTTAAAAAABgAAAD8/AD8AAIAAAAAAADwvwIg0m9fB+4rQAJI4XoUrlc0wAAAAAAkAAAA/PwA/AACAAAAAAAA8L8CL26jAbylJ0ACyzLEsS4eM8AAAAAAAREAAAD8/AD8AAIAAAAAAADwvwLQZtXnaqsuQAJos+pztdU2wAAAAAABEQAAAPz8APwAAgAAAAAAAPC/AjlFR3L5LyFAAmiz6nO1VTTAAAAAAAEQAAQBZQgIAAAAAAAAAAQIAWUEAAAAAAAAAAAIDAFlCAgAAAAAAAAADBABZQQAAAAAAAAAABAUAWUICAAAAAAAAAAUAAFlBAAAAAAAAAAADBgBZQQAAAAAAAAAABgcAWUEAAAAAAAAAAAcIAFlBAAAAAAAAAAAICQBZQQAAAAAAAAAACA0AWUEAAAAAAAAAAAkKAFlBAAAAAAAAAAAKCwBZQQAAAAAAAAAACwwAWUEAAAAAAAAAAAwNAFlBAAAAAAAAAAAEDgBZQQAAAAAAAAAAAAAAAA=</t>
        </r>
      </text>
    </comment>
    <comment ref="A1745" authorId="0" shapeId="0" xr:uid="{CF6C249C-5911-472F-99BD-68AA73BAC3FE}">
      <text>
        <r>
          <rPr>
            <sz val="9"/>
            <color indexed="81"/>
            <rFont val="MS P ゴシック"/>
            <family val="3"/>
            <charset val="128"/>
          </rPr>
          <t>Insight iXlW00001C0001745R0585476093S00003488P01232LAocjBAQBF1NjaVRlZ2ljLmRhdGEuTW9sZWN1bGUBbwF/ARJTY2lUZWdpYy5Nb2xlY3VsZQAAAQFkAv5qAQAAAAIAAgEQGAAAAPz8APwAAgAAAAAAAPC/ApF++zpwriRAAnl6pSxDnDHAAAAAABgAAAD8/AD8AAIAAAAAAADwvwLo+6nx0q0kQAId6+I2GnAywAAAAAAcAAAA/PwA/AACAAAAAAAA8L8CelioNc0bJkACC7WmecfZMsAAAAAAGAAAAPz8APwAAgAAAAAAAPC/Agr5oGeziidAAjlFR3L5bzLAAAAAABwAAAD8/AD8AAIAAAAAAADwvwLwp8ZLN4knQAJ6Nqs+V5sxwAAAAAAYAAAA/PwA/AACAAAAAAAA8L8CexSuR+EaJkACirDh6ZUyMcAAAAAAIAAAAPz8APwAAgAAAAAAAPC/Aka28/3U+ChAAkXY8PRK2TLAAAAAABgAAAD8/AD8AAIAAAAAAADwvwJq3nGKjmQqQAKRfvs6cG4ywAAAAAAYAAAA/PwA/AACAAAAAAAA8L8CiBbZzvfTK0ACZvfkYaHWMsAAAAAAGAAAAPz8APwAAgAAAAAAAPC/AkzIBz2b1StAAn4dOGdEqTPAAAAAABgAAAD8/AD8AAIAAAAAAADwvwI0orQ3+EItQAJTliGOdRE0wAAAAAAcAAAA/PwA/AACAAAAAAAA8L8COWdEaW+wLkACLGUZ4linM8AAAAAAGAAAAPz8APwAAgAAAAAAAPC/AlmoNc07ri5AAvmgZ7Pq0zLAAAAAABgAAAD8/AD8AAIAAAAAAADwvwJ1JJf/kD4tQAImUwWjkmoywAAAAAAkAAAA/PwA/AACAAAAAAAA8L8CdQKaCBs+I0AC/fZ14JwxMcAAAAAAAREAAAD8/AD8AAIAAAAAAADwvwKJ0t7gCzMxQAJz1xLyQb8zwAAAAAABEAAEAWUICAAAAAAAAAAECAFlBAAAAAAAAAAACAwBZQgIAAAAAAAAAAwQAWUEAAAAAAAAAAAQFAFlCAgAAAAAAAAAFAABZQQAAAAAAAAAAAwYAWUEAAAAAAAAAAAYHAFlBAAAAAAAAAAAHCABZQQAAAAAAAAAACAkAWUEAAAAAAAAAAAgNAFlBAAAAAAAAAAAJCgBZQQAAAAAAAAAACgsAWUEAAAAAAAAAAAsMAFlBAAAAAAAAAAAMDQBZQQAAAAAAAAAAAA4AWUEAAAAAAAAAAAAAAAA</t>
        </r>
      </text>
    </comment>
    <comment ref="A1746" authorId="0" shapeId="0" xr:uid="{BC1FA994-BF74-4D81-8E5B-5ACA63675FF5}">
      <text>
        <r>
          <rPr>
            <sz val="9"/>
            <color indexed="81"/>
            <rFont val="MS P ゴシック"/>
            <family val="3"/>
            <charset val="128"/>
          </rPr>
          <t>Insight iXlW00001C0001746R0585476093S00003490P01216LAocjBAQBF1NjaVRlZ2ljLmRhdGEuTW9sZWN1bGUBbwF/ARJTY2lUZWdpYy5Nb2xlY3VsZQAAAQFkAv5qAQAAAAIAAgEQGAAAAPz8APwAAgAAAAAAAPC/AmWqYFRSpw1AAoSezarPNTHAAAAAABgAAAD8/AD8AAIAAAAAAADwvwK/nxov3aQNQALvycNCrQkywAAAAAAcAAAA/PwA/AACAAAAAAAA8L8CWMoyxLGuEUACM8SxLm5zMsAAAAAAGAAAAPz8APwAAgAAAAAAAPC/ArHh6ZWyjBRAAgwkKH6MCTLAAAAAABwAAAD8/AD8AAIAAAAAAADwvwJ9PzVeuokUQAK/nxov3TQxwAAAAAAYAAAA/PwA/AACAAAAAAAA8L8CW0I+6NmsEUACB1+YTBXMMMAAAAAAHAAAAPz8APwAAgAAAAAAAPC/An4dOGdEaRdAAqYsQxzrcjLAAAAAABgAAAD8/AD8AAIAAAAAAADwvwIbL90kBkEaQAJkXdxGAwgywAAAAAAYAAAA/PwA/AACAAAAAAAA8L8Cj3VxGw0gHUACjgbwFkhwMsAAAAAAGAAAAPz8APwAAgAAAAAAAPC/AjPEsS5uIx1AAvtcbcX+QjPAAAAAABgAAAD8/AD8AAIAAAAAAADwvwI8TtGRXP4fQAKXkA96NqszwAAAAAAcAAAA/PwA/AACAAAAAAAA8L8CP1dbsb9sIUACqaROQBNBM8AAAAAAGAAAAPz8APwAAgAAAAAAAPC/Al+YTBWMaiFAAiGwcmiRbTLAAAAAABgAAAD8/AD8AAIAAAAAAADwvwKhZ7Pqc/UfQALA7J48LAQywAAAAAABEQAAAPz8APwAAgAAAAAAAPC/AmaIY13cxiNAApt3nKIjiTTAAAAAAAERAAAA/PwA/AACAAAAAAAA8L8CYjJVMCppFkACm3ecoiPpM8AAAAAAPAAEAWUICAAAAAAAAAAECAFlBAAAAAAAAAAACAwBZQgIAAAAAAAAAAwQAWUEAAAAAAAAAAAQFAFlCAgAAAAAAAAAFAABZQQAAAAAAAAAAAwYAWUEAAAAAAAAAAAYHAFlBAAAAAAAAAAAHCABZQQAAAAAAAAAACAkAWUEAAAAAAAAAAAgNAFlBAAAAAAAAAAAJCgBZQQAAAAAAAAAACgsAWUEAAAAAAAAAAAsMAFlBAAAAAAAAAAAMDQBZQQAAAAAAAAAAAAAAAA=</t>
        </r>
      </text>
    </comment>
    <comment ref="A1747" authorId="0" shapeId="0" xr:uid="{BD5FDAB4-C7B3-497F-ACF2-D43BD3B6A30E}">
      <text>
        <r>
          <rPr>
            <sz val="9"/>
            <color indexed="81"/>
            <rFont val="MS P ゴシック"/>
            <family val="3"/>
            <charset val="128"/>
          </rPr>
          <t>Insight iXlW00001C0001747R0585476093S00003492P01360LAocjBAQBF1NjaVRlZ2ljLmRhdGEuTW9sZWN1bGUBbwF/ARJTY2lUZWdpYy5Nb2xlY3VsZQAAAQFkAv5qAQAAAAIAAgESHAAAAPz8APwAAgAAAAAAAPC/Atnw9EpZtjNAAv0Yc9cSYjTAAAAAABgAAAD8/AD8AAIAAAAAAADwvwJL6gQ0EbYzQALZzvdT4zU1wAAAAAAYAAAA/PwA/AACAAAAAAAA8L8ClBgEVg5tNEACj1N0JJefNcAAAAAAGAAAAPz8APwAAgAAAAAAAPC/Ak7zjlN0JDVAAvYoXI/CNTXAAAAAABgAAAD8/AD8AAIAAAAAAADwvwKIhVrTvCM1QAL+1HjpJmE0wAAAAAAYAAAA/PwA/AACAAAAAAAA8L8ClfYGX5hsNEAC1QloImz4M8AAAAAAIAAAAPz8APwAAgAAAAAAAPC/ArMMcayL2zVAAgK8BRIUnzXAAAAAABgAAAD8/AD8AAIAAAAAAADwvwL+ZffkYZE2QAJOYhBYOTQ1wAAAAAAYAAAA/PwA/AACAAAAAAAA8L8CDQIrhxZJN0AC6pWyDHGcNcAAAAAAGAAAAPz8APwAAgAAAAAAAPC/ArYV+8vuSTdAAgK8BRIUbzbAAAAAABgAAAD8/AD8AAIAAAAAAADwvwLjx5i7lgA4QAIQejarPtc2wAAAAAAcAAAA/PwA/AACAAAAAAAA8L8CZapgVFK3OEACsAPnjChtNsAAAAAAGAAAAPz8APwAAgAAAAAAAPC/AvVKWYY4tjhAAn0/NV66mTXAAAAAABgAAAD8/AD8AAIAAAAAAADwvwIDCYofY/43QALjNhrAWzA1wAAAAAAgAAAA/PwA/AACAAAAAAAA8L8CArwFEhT/MkACyQc9m1WfNcAAAAAAGAAAAPz8APwAAgAAAAAAAPC/AmPuWkI+SDJAAkzIBz2bNTXAAAAAAAERAAAA/PwA/AACAAAAAAAA8L8CM8SxLm6TOEACM8SxLm6jN8AAAAAAAREAAAD8/AD8AAIAAAAAAADwvwJkXdxGA9gzQAIAAAAAACA3wAAAAAABEQAEAWUICAAAAAAAAAAECAFlBAAAAAAAAAAACAwBZQgIAAAAAAAAAAwQAWUEAAAAAAAAAAAQFAFlCAgAAAAAAAAAFAABZQQAAAAAAAAAAAwYAWUEAAAAAAAAAAAYHAFlBAAAAAAAAAAAHCABZQQAAAAAAAAAACAkAWUEAAAAAAAAAAAgNAFlBAAAAAAAAAAAJCgBZQQAAAAAAAAAACgsAWUEAAAAAAAAAAAsMAFlBAAAAAAAAAAAMDQBZQQAAAAAAAAAAAQ4AWUEAAAAAAAAAAA4PAFlBAAAAAAAAAAAAAAAAA==</t>
        </r>
      </text>
    </comment>
    <comment ref="A1748" authorId="0" shapeId="0" xr:uid="{0BBDB7F3-CA63-428F-8797-31F05CA68014}">
      <text>
        <r>
          <rPr>
            <sz val="9"/>
            <color indexed="81"/>
            <rFont val="MS P ゴシック"/>
            <family val="3"/>
            <charset val="128"/>
          </rPr>
          <t>Insight iXlW00001C0001748R0585476093S00003494P01688LAocjBAQBF1NjaVRlZ2ljLmRhdGEuTW9sZWN1bGUBbwF/ARJTY2lUZWdpYy5Nb2xlY3VsZQAAAQFkAv5qAQAAAAIAAgEWGAAAAPz8APwAAgAAAAAAAPC/ArTqc7UVuyhAAnbgnBGlnTLAAAAAABgAAAD8/AD8AAIAAAAAAADwvwKyv+yePEwnQALdtYR80DMywAAAAAAYAAAA/PwA/AACAAAAAAAA8L8CAd4CCYrfJUACPgrXo3CdMsAAAAAAHAAAAPz8APwAAgAAAAAAAPC/Alhbsb/s3iVAAsWPMXctcTPAAAAAABgAAAD8/AD8AAIAAAAAAADwvwJZqDXNO04nQAJ7FK5H4dozwAAAAAAYAAAA/PwA/AACAAAAAAAA8L8CBHgLJCi+KEAC4lgXt9FwM8AAAAAAHAAAAPz8APwAAgAAAAAAAPC/ApvmHafoKCpAAt4CCYofMzLAAAAAABgAAAD8/AD8AAIAAAAAAADwvwLtL7snD6srQAKb5h2n6IgywAAAAAAcAAAA/PwA/AACAAAAAAAA8L8ChutRuB7FLEACtOpztRXrMcAAAAAAGAAAAPz8APwAAgAAAAAAAPC/AlHaG3xhUipAAhsv3SQGYTHAAAAAABgAAAD8/AD8AAIAAAAAAADwvwLImLuWkO8rQAJMpgpGJTUxwAAAAAAYAAAA/PwA/AACAAAAAAAA8L8CU5YhjnVxLEACI2x4eqVsMMAAAAAAGAAAAPz8APwAAgAAAAAAAPC/AtiBc0aUVitAAjq0yHa+ny/AAAAAABgAAAD8/AD8AAIAAAAAAADwvwIrqRPQRLgpQALTb18HzvkvwAAAAAAYAAAA/PwA/AACAAAAAAAA8L8CuR6F61E4KUACvsEXJlPFMMAAAAAAIAAAAPz8APwAAgAAAAAAAPC/Ak/RkVz+AyxAAvJBz2bVVzPAAAAAABgAAAD8/AD8AAIAAAAAAADwvwInwoanV2ouQAJVMCqpEwAywAAAAAAYAAAA/PwA/AACAAAAAAAA8L8C4noUrkdhL0ACwOyePCxUMcAAAAAAJAAAAPz8APwAAgAAAAAAAPC/Avrt68A5gzBAApt3nKIjaTHAAAAAACQAAAD8/AD8AAIAAAAAAADwvwKJ0t7gC7MuQAJQHhZqTZMwwAAAAAAkAAAA/PwA/AACAAAAAAAA8L8CYqHWNO8YMEACQfFjzF2bMMAAAAAAAREAAAD8/AD8AAIAAAAAAADwvwIAAAAAAGAjQAKbd5yiI+kzwAAAAAABFwAEAWUEAAAAAAAAAAAAFAFlBAAAAAAAAAAABAgBZQQAAAAAAAAAAAgMAWUEAAAAAAAAAAAMEAFlBAAAAAAAAAAAEBQBZQQAAAAAAAAAAAAYAWUEAAAAAAAAAAAYHAFlBAAAAAAAAAAAHCABZQQAAAAAAAAAACAoAWUEAAAAAAAAAAAkGAFlBAAAAAAAAAAAJCgBZQgIAAAAAAAAACgsAWUEAAAAAAAAAAAsMAFlCAgAAAAAAAAAMDQBZQQAAAAAAAAAADQ4AWUICAAAAAAAAAA4JAFlBAAAAAAAAAAAHDwBZQgAAAAAAAAAACABEAFlBAAAAAAAAAAAARABEQFlBAAAAAAAAAAAAREBEgFlBAAAAAAAAAAAAREBEwFlBAAAAAAAAAAAAREBFAFlBAAAAAAAAAAAAAAAAA==</t>
        </r>
      </text>
    </comment>
    <comment ref="A1749" authorId="0" shapeId="0" xr:uid="{0CCE0BD4-0843-4058-9A45-DB532802320C}">
      <text>
        <r>
          <rPr>
            <sz val="9"/>
            <color indexed="81"/>
            <rFont val="MS P ゴシック"/>
            <family val="3"/>
            <charset val="128"/>
          </rPr>
          <t>Insight iXlW00001C0001749R0585476093S00003496P01248LAocjBAQBF1NjaVRlZ2ljLmRhdGEuTW9sZWN1bGUBbwF/ARJTY2lUZWdpYy5Nb2xlY3VsZQAAAQFkAv5qAQAAAAIAAgEQGAAAAPz8APwAAgAAAAAAAPC/AtNNYhBYuSdAAqhXyjLEITTAAAAAABwAAAD8/AD8AAIAAAAAAADwvwLIKTqSy18pQAKoV8oyxCE0wAAAAAAcAAAA/PwA/AACAAAAAAAA8L8CiWNd3EbjKUAC8BZIUPxYM8AAAAAAHAAAAPz8APwAAgAAAAAAAPC/ApX2Bl+YjChAAlwgQfFj3DLAAAAAABgAAAD8/AD8AAIAAAAAAADwvwLy0k1iEDgnQALwFkhQ/FgzwAAAAAAYAAAA/PwA/AACAAAAAAAA8L8CD5wzorRXKkACzczMzMzMNMAAAAAAGAAAAPz8APwAAgAAAAAAAPC/Ai6QoPgxpiVAAvJBz2bVFzPAAAAAACAAAAD8/AD8AAIAAAAAAADwvwJZqDXNO04lQAK3Yn/ZPUkywAAAAAAgAAAA/PwA/AACAAAAAAAA8L8C6pWyDHFsJEACaZHtfD+lM8AAAAAAGAAAAPz8APwAAgAAAAAAAPC/AgjOGVHa+ytAAoJzRpT2tjTAAAAAABgAAAD8/AD8AAIAAAAAAADwvwKMbOf7qfEsQAIZc9cS8mE1wAAAAAAYAAAA/PwA/AACAAAAAAAA8L8CoWez6nOVLkACsr/snjxMNcAAAAAAGAAAAPz8APwAAgAAAAAAAPC/AlJJnYAmQi9AAtDVVuwvizTAAAAAABgAAAD8/AD8AAIAAAAAAADwvwLyQc9m1UcuQAKrPldbsd8zwAAAAAAYAAAA/PwA/AACAAAAAAAA8L8C24r9ZfekLEACSnuDL0z2M8AAAAAAJAAAAPz8APwAAgAAAAAAAPC/AsOGp1fK8i5AAq5p3nGKHjPAAAAAAAERAAQBZQQAAAAAAAAAAAQIAWUEAAAAAAAAAAAIDAFlCAgAAAAAAAAADBABZQQAAAAAAAAAABAAAWUICAAAAAAAAAAEFAFlBAAAAAAAAAAAEBgBZQQAAAAAAAAAABgcAWUIAAAAAAAAAAAYIAFlBAAAAAAAAAAAFCQBZQQAAAAAAAAAACQoAWUIDAAAAAAAAAAoLAFlBAAAAAAAAAAALDABZQgIAAAAAAAAADA0AWUEAAAAAAAAAAA0OAFlCAgAAAAAAAAAOCQBZQQAAAAAAAAAADQ8AWUEAAAAAAAAAAAAAAAA</t>
        </r>
      </text>
    </comment>
    <comment ref="A1750" authorId="0" shapeId="0" xr:uid="{6BDBD7B3-2A4B-4657-A507-A691206A48D7}">
      <text>
        <r>
          <rPr>
            <sz val="9"/>
            <color indexed="81"/>
            <rFont val="MS P ゴシック"/>
            <family val="3"/>
            <charset val="128"/>
          </rPr>
          <t>Insight iXlW00001C0001750R0585476093S00003498P01248LAocjBAQBF1NjaVRlZ2ljLmRhdGEuTW9sZWN1bGUBbwF/ARJTY2lUZWdpYy5Nb2xlY3VsZQAAAQFkAv5qAQAAAAIAAgEQGAAAAPz8APwAAgAAAAAAAPC/AgTnjCjtrSlAAg8tsp3vxzPAAAAAABwAAAD8/AD8AAIAAAAAAADwvwL5wmSqYFQrQAIPLbKd78czwAAAAAAcAAAA/PwA/AACAAAAAAAA8L8CuvyH9NvXK0ACV+wvuyf/MsAAAAAAHAAAAPz8APwAAgAAAAAAAPC/AsWPMXctgSpAAvw6cM6IgjLAAAAAABgAAAD8/AD8AAIAAAAAAADwvwIjbHh6pSwpQAJX7C+7J/8ywAAAAAAYAAAA/PwA/AACAAAAAAAA8L8CQDVeuklMLEACbef7qfFyNMAAAAAAGAAAAPz8APwAAgAAAAAAAPC/Al8pyxDHmidAApJc/kP6vTLAAAAAACAAAAD8/AD8AAIAAAAAAADwvwKKQWDl0EInQAJXfa62Yu8xwAAAAAAgAAAA/PwA/AACAAAAAAAA8L8CGy/dJAZhJkACQfFjzF1LM8AAAAAAGAAAAPz8APwAAgAAAAAAAPC/AjlnRGlv8C1AAiKOdXEbXTTAAAAAABgAAAD8/AD8AAIAAAAAAADwvwK8BRIUP+YuQAKASL99HQg1wAAAAAAYAAAA/PwA/AACAAAAAAAA8L8CaQBvgQRFMEACUdobfGHyNMAAAAAAGAAAAPz8APwAAgAAAAAAAPC/AkHxY8xdmzBAAjerPldbMTTAAAAAABgAAAD8/AD8AAIAAAAAAADwvwKS7Xw/NR4wQAJLWYY41oUzwAAAAAAYAAAA/PwA/AACAAAAAAAA8L8Cfq62Yn+ZLkACsVBrmnecM8AAAAAAJAAAAPz8APwAAgAAAAAAAPC/AndPHhZqbTFAAiUGgZVDGzTAAAAAAAERAAQBZQQAAAAAAAAAAAQIAWUEAAAAAAAAAAAIDAFlCAgAAAAAAAAADBABZQQAAAAAAAAAABAAAWUICAAAAAAAAAAEFAFlBAAAAAAAAAAAEBgBZQQAAAAAAAAAABgcAWUIAAAAAAAAAAAYIAFlBAAAAAAAAAAAFCQBZQQAAAAAAAAAACQoAWUIDAAAAAAAAAAoLAFlBAAAAAAAAAAALDABZQgIAAAAAAAAADA0AWUEAAAAAAAAAAA0OAFlCAgAAAAAAAAAOCQBZQQAAAAAAAAAADA8AWUEAAAAAAAAAAAAAAAA</t>
        </r>
      </text>
    </comment>
    <comment ref="A1751" authorId="0" shapeId="0" xr:uid="{D87F6471-1C24-4C6E-9711-00C234823193}">
      <text>
        <r>
          <rPr>
            <sz val="9"/>
            <color indexed="81"/>
            <rFont val="MS P ゴシック"/>
            <family val="3"/>
            <charset val="128"/>
          </rPr>
          <t>Insight iXlW00001C0001751R0585476093S00003500P01452LAocjBAQBF1NjaVRlZ2ljLmRhdGEuTW9sZWN1bGUBbwF/ARJTY2lUZWdpYy5Nb2xlY3VsZQAAAQFkAv5qAQAAAAIAAgESGAAAAPz8APwAAgAAAAAAAPC/AoUNT6+UJRfAAj4K16NwPQRAAAAAABgAAAD8/AD8AAIAAAAAAADwvwLSAN4CCUoUwAIL16NwPYoHQAAAAAAYAAAA/PwA/AACAAAAAAAA8L8CAwmKH2NuEcACPgrXo3A9BEAAAAAAGAAAAPz8APwAAgAAAAAAAPC/AqOSOgFNBBHAAn0/NV66yQpAAAAAABgAAAD8/AD8AAIAAAAAAADwvwJoImx4eiUNwALSAN4CCYoHQAAAAAAYAAAA/PwA/AACAAAAAAAA8L8CAwmKH2NuB8ACBTQRNjw9BEAAAAAAGAAAAPz8APwAAgAAAAAAAPC/AgMJih9jbgfAAkjhehSuR/s/AAAAABwAAAD8/AD8AAIAAAAAAADwvwJoImx4eiUNwAIf9GxWfa70PwAAAAAYAAAA/PwA/AACAAAAAAAA8L8CAwmKH2NuEcACuY0G8BZI+z8AAAAAGAAAAPz8APwAAgAAAAAAAPC/AmgibHh6JQ3AArAD54wo7d0/AAAAACAAAAD8/AD8AAIAAAAAAADwvwIDCYofY24HwAJL6gQ0ETasPwAAAAAgAAAA/PwA/AACAAAAAAAA8L8CAwmKH2NuEcACS+oENBE2rD8AAAAAGAAAAPz8APwAAgAAAAAAAPC/AtIA3gIJShTAArAD54wo7d0/AAAAABgAAAD8/AD8AAIAAAAAAADwvwKFDU+vlCUXwAILtaZ5xynsPwAAAAAYAAAA/PwA/AACAAAAAAAA8L8CM8SxLm6jEsACKKCJsOHp8j8AAAAAGAAAAPz8APwAAgAAAAAAAPC/AjhnRGlv8BXAAnzysFBrms+/AAAAACAAAAD8/AD8AAIAAAAAAADwvwL3deCcEaUTwAJI4XoUrscOQAAAAAAgAAAA/PwA/AACAAAAAAAA8L8CppvEILDyC8ACK6kT0ERYDUAAAAAAARIABAFlBAAAAAAAAAAACAQBZQQAAAAAAAAAAAgMAWUEAAAAAAAAAAAIEAFlBAAAAAAAAAAAEBQBZQQAAAAAAAAAABQYAWUEAAAAAAAAAAAYHAFlBAAAAAAAAAAAHCABZQQAAAAAAAAAACAIAWUEAAAAAAAAAAAcJAFlBAAAAAAAAAAAJCgBZQgAAAAAAAAAACQsAWUEAAAAAAAAAAAsMAFlBAAAAAAAAAAAMDQBZQQAAAAAAAAAADA4AWUEAAAAAAAAAAAwPAFlBAAAAAAAAAAAARAMAWUEAAAAAAAAAAAMAREBZQgAAAAAAAAAAAAAAQAAAAAAAAAAAAAABAwBJdHR09PT09P69gRDT09I9gP2A/YQ9hHx8dPR9gL68fjx8frx+vEAAAAAAAAA</t>
        </r>
      </text>
    </comment>
    <comment ref="A1752" authorId="0" shapeId="0" xr:uid="{4376486A-4BF0-4E62-883F-066007E9C692}">
      <text>
        <r>
          <rPr>
            <sz val="9"/>
            <color indexed="81"/>
            <rFont val="MS P ゴシック"/>
            <family val="3"/>
            <charset val="128"/>
          </rPr>
          <t>Insight iXlW00001C0001752R0585476093S00003502P00932LAocjBAQBF1NjaVRlZ2ljLmRhdGEuTW9sZWN1bGUBbwF/ARJTY2lUZWdpYy5Nb2xlY3VsZQAAAQFkAv5qAQAAAAIAAjAYAAAA/PwA/AACAAAAAAAA8L8CJQaBlUOL/j8CjSjtDb5YUcAAAAAAGAAAAPz8APwAAgAAAAAAAPC/AkqdgCbChv4/Au/Jw0KtjVHAAAAAABgAAAD8/AD8AAIAAAAAAADwvwIKaCJsePoEQAIHX5hMFahRwAAAAAAYAAAA/PwA/AACAAAAAAAA8L8CMLsnDwu1CkACduCcEaWNUcAAAAAAGAAAAPz8APwAAgAAAAAAAPC/AgJNhA1PrwpAAo6XbhKDWFHAAAAAABgAAAD8/AD8AAIAAAAAAADwvwIRWDm0yPYEQAInwoanVz5RwAAAAAAYAAAA/PwA/AACAAAAAAAA8L8CGsBbIEExEEACy6FFtvM9UcAAAAAAGAAAAPz8APwAAgAAAAAAAPC/Ajy9UpYhDhNAAg6+MJkqWFHAAAAAABwAAAD8/AD8AAIAAAAAAADwvwLyQc9m1ecVQAL99nXgnD1RwAAAAAAYAAAA/PwA/AACAAAAAAAA8L8CGXPXEvJBBUACDJOpglEJUcAAAAAAJAAAAPz8APwAAgAAAAAAAPC/AgrXo3A9CvM/Ah3J5T+kp1HAAAAAAAERAAAA/PwA/AACAAAAAAAA8L8Cat5xio5kF0ACWRe30QCeUcAAAAAALAAEAWUICAAAAAAAAAAECAFlBAAAAAAAAAAACAwBZQgIAAAAAAAAAAwQAWUEAAAAAAAAAAAQFAFlCAgAAAAAAAAAFAABZQQAAAAAAAAAABAYAWUEAAAAAAAAAAAYHAFlBAAAAAAAAAAAHCABZQQAAAAAAAAAABQkAWUEAAAAAAAAAAAEKAFlBAAAAAAAAAAAAAAAAA==</t>
        </r>
      </text>
    </comment>
    <comment ref="A1753" authorId="0" shapeId="0" xr:uid="{C0E2D1B1-B84D-4172-80F9-B7289726058E}">
      <text>
        <r>
          <rPr>
            <sz val="9"/>
            <color indexed="81"/>
            <rFont val="MS P ゴシック"/>
            <family val="3"/>
            <charset val="128"/>
          </rPr>
          <t>Insight iXlW00001C0001753R0585476093S00003504P00932LAocjBAQBF1NjaVRlZ2ljLmRhdGEuTW9sZWN1bGUBbwF/ARJTY2lUZWdpYy5Nb2xlY3VsZQAAAQFkAv5qAQAAAAIAAjAYAAAA/PwA/AACAAAAAAAA8L8C/Yf029dBIkACppvEILBSUcAAAAAAGAAAAPz8APwAAgAAAAAAAPC/AlMFo5I6QSJAAmyad5yih1HAAAAAABgAAAD8/AD8AAIAAAAAAADwvwLlYaHWNK8jQALnjCjtDaJRwAAAAAAYAAAA/PwA/AACAAAAAAAA8L8CWRe30QAeJUAC87BQa5qHUcAAAAAAGAAAAPz8APwAAgAAAAAAAPC/Aj/G3LWEHCVAAvXb14FzUlHAAAAAABgAAAD8/AD8AAIAAAAAAADwvwLnHafoSK4jQAIqqRPQRDhRwAAAAAAYAAAA/PwA/AACAAAAAAAA8L8CRWlv8IWJJkACgLdAguI3UcAAAAAAGAAAAPz8APwAAgAAAAAAAPC/AvLSTWIQ+CdAAicxCKwcUlHAAAAAABwAAAD8/AD8AAIAAAAAAADwvwL3deCcEWUpQAIB3gIJijdRwAAAAAAkAAAA/PwA/AACAAAAAAAA8L8C4QuTqYLRIEACryXkg56hUcAAAAAAJAAAAPz8APwAAgAAAAAAAPC/AuELk6mC0SBAAse6uI0GOFHAAAAAAAERAAAA/PwA/AACAAAAAAAA8L8Cm3ecoiN5KkACtFn1udqWUcAAAAAALAAEAWUICAAAAAAAAAAECAFlBAAAAAAAAAAACAwBZQgIAAAAAAAAAAwQAWUEAAAAAAAAAAAQFAFlCAgAAAAAAAAAFAABZQQAAAAAAAAAABAYAWUEAAAAAAAAAAAYHAFlBAAAAAAAAAAAHCABZQQAAAAAAAAAAAQkAWUEAAAAAAAAAAAAKAFlBAAAAAAAAAAAAAAAAA==</t>
        </r>
      </text>
    </comment>
    <comment ref="A1754" authorId="0" shapeId="0" xr:uid="{9E639B0F-0221-4970-9BBB-3D2D3ED76366}">
      <text>
        <r>
          <rPr>
            <sz val="9"/>
            <color indexed="81"/>
            <rFont val="MS P ゴシック"/>
            <family val="3"/>
            <charset val="128"/>
          </rPr>
          <t>Insight iXlW00001C0001754R0585476093S00003506P00932LAocjBAQBF1NjaVRlZ2ljLmRhdGEuTW9sZWN1bGUBbwF/ARJTY2lUZWdpYy5Nb2xlY3VsZQAAAQFkAv5qAQAAAAIAAjAYAAAA/PwA/AACAAAAAAAA8L8CWmQ7309tIEACfGEyVTDuUsAAAAAAGAAAAPz8APwAAgAAAAAAAPC/Aj9XW7G/bCBAAvSOU3QkI1PAAAAAABgAAAD8/AD8AAIAAAAAAADwvwLRs1n1udohQAJvgQTFjz1TwAAAAAAYAAAA/PwA/AACAAAAAAAA8L8CRWlv8IVJI0ACe6UsQxwjU8AAAAAAGAAAAPz8APwAAgAAAAAAAPC/ArmNBvAWSCNAAn3Qs1n17VLAAAAAABgAAAD8/AD8AAIAAAAAAADwvwLSb18HztkhQAIBb4EExdNSwAAAAAAYAAAA/PwA/AACAAAAAAAA8L8CvjCZKhi1JEACV32utmLTUsAAAAAAGAAAAPz8APwAAgAAAAAAAPC/AvoP6bevIyZAAv32deCc7VLAAAAAABwAAAD8/AD8AAIAAAAAAADwvwL/snvysJAnQALXo3A9CtNSwAAAAAAkAAAA/PwA/AACAAAAAAAA8L8C2IFzRpTWIUAC0bNZ9bmeUsAAAAAAAREAAAD8/AD8AAIAAAAAAADwvwK0yHa+n9ohQAI8TtGRXHJTwAAAAAABEQAAAPz8APwAAgAAAAAAAPC/Ase6uI0GcCdAAhriWBe3PVPAAAAAACwABAFlCAgAAAAAAAAABAgBZQQAAAAAAAAAAAgMAWUICAAAAAAAAAAMEAFlBAAAAAAAAAAAEBQBZQgIAAAAAAAAABQAAWUEAAAAAAAAAAAQGAFlBAAAAAAAAAAAGBwBZQQAAAAAAAAAABwgAWUEAAAAAAAAAAAUJAFlBAAAAAAAAAAACCgBZQQAAAAAAAAAAAAAAAA=</t>
        </r>
      </text>
    </comment>
    <comment ref="A1755" authorId="0" shapeId="0" xr:uid="{05178DDA-0896-41BC-B796-1489C96F1414}">
      <text>
        <r>
          <rPr>
            <sz val="9"/>
            <color indexed="81"/>
            <rFont val="MS P ゴシック"/>
            <family val="3"/>
            <charset val="128"/>
          </rPr>
          <t>Insight iXlW00001C0001755R0585476093S00003508P01000LAocjBAQBF1NjaVRlZ2ljLmRhdGEuTW9sZWN1bGUBbwF/ARJTY2lUZWdpYy5Nb2xlY3VsZQAAAQFkAv5qAQAAAAIAAjQYAAAA/PwA/AACAAAAAAAA8L8CF9nO91NDLkACjErqBDTdUsAAAAAAGAAAAPz8APwAAgAAAAAAAPC/Am1Wfa62Qi5AAlJJnYAmElPAAAAAABgAAAD8/AD8AAIAAAAAAADwvwKNKO0NvrAvQAJ/arx0kyxTwAAAAAAYAAAA/PwA/AACAAAAAAAA8L8CAW+BBMWPMEACi47k8h8SU8AAAAAAGAAAAPz8APwAAgAAAAAAAPC/AnRGlPYGjzBAAtuK/WX33FLAAAAAABgAAAD8/AD8AAIAAAAAAADwvwKP5PIf0q8vQAIRWDm0yMJSwAAAAAAYAAAA/PwA/AACAAAAAAAA8L8CvVKWIY5FMUACZ2ZmZmbCUsAAAAAAGAAAAPz8APwAAgAAAAAAAPC/AltCPujZ/DFAAg3gLZCg3FLAAAAAABwAAAD8/AD8AAIAAAAAAADwvwLek4eFWrMyQALnjCjtDcJSwAAAAAAkAAAA/PwA/AACAAAAAAAA8L8ClfYGX5isL0AC4ZwRpb2NUsAAAAAAIAAAAPz8APwAAgAAAAAAAPC/AnE9CtejsC9AAkw3iUFgYVPAAAAAABgAAAD8/AD8AAIAAAAAAADwvwL7y+7Jw0IuQAJPQBNhw3tTwAAAAAABEQAAAPz8APwAAgAAAAAAAPC/AjGZKhiVtDJAAg1xrIvbMFPAAAAAADAABAFlCAgAAAAAAAAABAgBZQQAAAAAAAAAAAgMAWUICAAAAAAAAAAMEAFlBAAAAAAAAAAAEBQBZQgIAAAAAAAAABQAAWUEAAAAAAAAAAAQGAFlBAAAAAAAAAAAGBwBZQQAAAAAAAAAABwgAWUEAAAAAAAAAAAUJAFlBAAAAAAAAAAACCgBZQQAAAAAAAAAACgsAWUEAAAAAAAAAAAAAAAA</t>
        </r>
      </text>
    </comment>
    <comment ref="A1756" authorId="0" shapeId="0" xr:uid="{B7A163A9-2AA6-4F98-B601-BC448FDDAB9E}">
      <text>
        <r>
          <rPr>
            <sz val="9"/>
            <color indexed="81"/>
            <rFont val="MS P ゴシック"/>
            <family val="3"/>
            <charset val="128"/>
          </rPr>
          <t>Insight iXlW00001C0001756R0585476093S00003510P01000LAocjBAQBF1NjaVRlZ2ljLmRhdGEuTW9sZWN1bGUBbwF/ARJTY2lUZWdpYy5Nb2xlY3VsZQAAAQFkAv5qAQAAAAIAAjQcAAAA/PwA/AACAAAAAAAA8L8Cku18PzVeOUAC63O1FftrI8AAAAAAGAAAAPz8APwAAgAAAAAAAPC/ApLtfD81XjlAAoUNT6+UxSHAAAAAABgAAAD8/AD8AAIAAAAAAADwvwKe76fGS6c4QAJR2ht8YfIgwAAAAAAYAAAA/PwA/AACAAAAAAAA8L8CcayL22jwN0AChQ1Pr5TFIcAAAAAAGAAAAPz8APwAAgAAAAAAAPC/AnGsi9to8DdAAutztRX7ayPAAAAAABgAAAD8/AD8AAIAAAAAAADwvwJ+rrZifzk3QAJR2ht8YfIgwAAAAAAYAAAA/PwA/AACAAAAAAAA8L8CirDh6ZWCNkAChQ1Pr5TFIcAAAAAAGAAAAPz8APwAAgAAAAAAAPC/Aoqw4emVgjZAAutztRX7ayPAAAAAABgAAAD8/AD8AAIAAAAAAADwvwJ+rrZifzk3QAIep+hILj8kwAAAAAAgAAAA/PwA/AACAAAAAAAA8L8ClrIMcazLNUACHqfoSC4/JMAAAAAAJAAAAPz8APwAAgAAAAAAAPC/ApayDHGsyzVAAlHaG3xh8iDAAAAAABgAAAD8/AD8AAIAAAAAAADwvwLarPpcbRU1QAKx4emVsmwjwAAAAAABEQAAAPz8APwAAgAAAAAAAPC/Ardif9k9yTpAAh3J5T+kPyTAAAAAADAABAFlBAAAAAAAAAAABAgBZQQAAAAAAAAAAAgMAWUEAAAAAAAAAAAMEAFlCAwAAAAAAAAADBQBZQQAAAAAAAAAABQYAWUICAAAAAAAAAAYHAFlBAAAAAAAAAAAHCABZQgIAAAAAAAAACAQAWUEAAAAAAAAAAAcJAFlBAAAAAAAAAAAGCgBZQQAAAAAAAAAACQsAWUEAAAAAAAAAAAAAAAA</t>
        </r>
      </text>
    </comment>
    <comment ref="A1757" authorId="0" shapeId="0" xr:uid="{BC6094DF-6162-4E54-9C1C-71F6736D89DA}">
      <text>
        <r>
          <rPr>
            <sz val="9"/>
            <color indexed="81"/>
            <rFont val="MS P ゴシック"/>
            <family val="3"/>
            <charset val="128"/>
          </rPr>
          <t>Insight iXlW00001C0001757R0585476093S00003512P00932LAocjBAQBF1NjaVRlZ2ljLmRhdGEuTW9sZWN1bGUBbwF/ARJTY2lUZWdpYy5Nb2xlY3VsZQAAAQFkAv5qAQAAAAIAAjAYAAAA/PwA/AACAAAAAAAA8L8Cc/kP6bdPL0ACZRniWBd3VcAAAAAAGAAAAPz8APwAAgAAAAAAAPC/Asl2vp8aTy9AAisYldQJrFXAAAAAABgAAAD8/AD8AAIAAAAAAADwvwJ1JJf/kF4wQAJYObTIdsZVwAAAAAAYAAAA/PwA/AACAAAAAAAA8L8CZ0Rpb/AVMUACsi5uowGsVcAAAAAAGAAAAPz8APwAAgAAAAAAAPC/AtsbfGEyFTFAAmaIY13cdlXAAAAAABgAAAD8/AD8AAIAAAAAAADwvwJ1ApoIG14wQAKcVZ+rrVxVwAAAAAAYAAAA/PwA/AACAAAAAAAA8L8CXW3F/rLLMUACQDVeuklcVcAAAAAAGAAAAPz8APwAAgAAAAAAAPC/AvtcbcX+gjJAAuauJeSDdlXAAAAAABwAAAD8/AD8AAIAAAAAAADwvwK38/3UeDkzQALAWyBB8VtVwAAAAAAkAAAA/PwA/AACAAAAAAAA8L8CeAskKH5cMEACbJp3nKInVcAAAAAAJAAAAPz8APwAAgAAAAAAAPC/Aov9Zffk4S1AAmMQWDm0XFXAAAAAAAERAAAA/PwA/AACAAAAAAAA8L8CyxDHurg9M0ACAAAAAAC4VcAAAAAALAAEAWUICAAAAAAAAAAECAFlBAAAAAAAAAAACAwBZQgIAAAAAAAAAAwQAWUEAAAAAAAAAAAQFAFlCAgAAAAAAAAAFAABZQQAAAAAAAAAABAYAWUEAAAAAAAAAAAYHAFlBAAAAAAAAAAAHCABZQQAAAAAAAAAABQkAWUEAAAAAAAAAAAAKAFlBAAAAAAAAAAAAAAAAA==</t>
        </r>
      </text>
    </comment>
    <comment ref="A1758" authorId="0" shapeId="0" xr:uid="{3B9B8B7A-A144-41B1-8615-6B9589BC6D8D}">
      <text>
        <r>
          <rPr>
            <sz val="9"/>
            <color indexed="81"/>
            <rFont val="MS P ゴシック"/>
            <family val="3"/>
            <charset val="128"/>
          </rPr>
          <t>Insight iXlW00001C0001758R0585476093S00003514P00932LAocjBAQBF1NjaVRlZ2ljLmRhdGEuTW9sZWN1bGUBbwF/ARJTY2lUZWdpYy5Nb2xlY3VsZQAAAQFkAv5qAQAAAAIAAjAYAAAA/PwA/AACAAAAAAAA8L8COrTIdr6fAEACku18PzX2VsAAAAAAGAAAAPz8APwAAgAAAAAAAPC/ApOpglFJnQBAApAxdy0hK1fAAAAAABgAAAD8/AD8AAIAAAAAAADwvwL5wmSqYFQGQAJa9bnaikVXwAAAAAAYAAAA/PwA/AACAAAAAAAA8L8C5j+k374ODEACF0hQ/BgrV8AAAAAAGAAAAPz8APwAAgAAAAAAAPC/An/7OnDOCAxAApJc/kP69VbAAAAAABgAAAD8/AD8AAIAAAAAAADwvwL/snvysFAGQAIrhxbZzttWwAAAAAAYAAAA/PwA/AACAAAAAAAA8L8CWRe30QDeEEACgZVDi2zbVsAAAAAAGAAAAPz8APwAAgAAAAAAAPC/Al8pyxDHuhNAAhODwMqh9VbAAAAAABwAAAD8/AD8AAIAAAAAAADwvwIVrkfhepQWQAICvAUSFNtWwAAAAAAYAAAA/PwA/AACAAAAAAAA8L8CT9GRXP5DBkACwoanV8qmVsAAAAAAJAAAAPz8APwAAgAAAAAAAPC/AouO5PIf0vU/AvJBz2bV21bAAAAAAAERAAAA/PwA/AACAAAAAAAA8L8CLUMc6+L2FUACAAAAAAAgV8AAAAAALAAEAWUICAAAAAAAAAAECAFlBAAAAAAAAAAACAwBZQgIAAAAAAAAAAwQAWUEAAAAAAAAAAAQFAFlCAgAAAAAAAAAFAABZQQAAAAAAAAAABAYAWUEAAAAAAAAAAAYHAFlBAAAAAAAAAAAHCABZQQAAAAAAAAAABQkAWUEAAAAAAAAAAAAKAFlBAAAAAAAAAAAAAAAAA==</t>
        </r>
      </text>
    </comment>
    <comment ref="A1759" authorId="0" shapeId="0" xr:uid="{21B44F7E-9491-4B89-806B-4C562DB04593}">
      <text>
        <r>
          <rPr>
            <sz val="9"/>
            <color indexed="81"/>
            <rFont val="MS P ゴシック"/>
            <family val="3"/>
            <charset val="128"/>
          </rPr>
          <t>Insight iXlW00001C0001759R0585476093S00003516P00932LAocjBAQBF1NjaVRlZ2ljLmRhdGEuTW9sZWN1bGUBbwF/ARJTY2lUZWdpYy5Nb2xlY3VsZQAAAQFkAv5qAQAAAAIAAjAYAAAA/PwA/AACAAAAAAAA8L8CLGUZ4li3IUACMSqpE9DMVsAAAAAAGAAAAPz8APwAAgAAAAAAAPC/AoLix5i7tiFAAvYoXI/CAVfAAAAAABgAAAD8/AD8AAIAAAAAAADwvwIUP8bctSQjQAIkSnuDLxxXwAAAAAAYAAAA/PwA/AACAAAAAAAA8L8CFmpN846TJEACfT81XroBV8AAAAAAGAAAAPz8APwAAgAAAAAAAPC/Av0Yc9cSkiRAAn9qvHSTzFbAAAAAABgAAAD8/AD8AAIAAAAAAADwvwIW+8vuySMjQAK1N/jCZLJWwAAAAAAYAAAA/PwA/AACAAAAAAAA8L8CArwFEhT/JUACWRe30QCyVsAAAAAAGAAAAPz8APwAAgAAAAAAAPC/Aj2bVZ+rbSdAAgCRfvs6zFbAAAAAABwAAAD8/AD8AAIAAAAAAADwvwJDPujZrNooQALaPXlYqLFWwAAAAAAkAAAA/PwA/AACAAAAAAAA8L8CqoJRSZ0gI0AC001iEFh9VsAAAAAAJAAAAPz8APwAAgAAAAAAAPC/AqqCUUmdICNAAjEqqRPQUFfAAAAAAAERAAAA/PwA/AACAAAAAAAA8L8CYjJVMCqJKUACDXGsi9sYV8AAAAAALAAEAWUICAAAAAAAAAAECAFlBAAAAAAAAAAACAwBZQgIAAAAAAAAAAwQAWUEAAAAAAAAAAAQFAFlCAgAAAAAAAAAFAABZQQAAAAAAAAAABAYAWUEAAAAAAAAAAAYHAFlBAAAAAAAAAAAHCABZQQAAAAAAAAAABQkAWUEAAAAAAAAAAAIKAFlBAAAAAAAAAAAAAAAAA==</t>
        </r>
      </text>
    </comment>
    <comment ref="A1760" authorId="0" shapeId="0" xr:uid="{A2997F6B-C4B4-4CAC-B27E-8496BE584BE5}">
      <text>
        <r>
          <rPr>
            <sz val="9"/>
            <color indexed="81"/>
            <rFont val="MS P ゴシック"/>
            <family val="3"/>
            <charset val="128"/>
          </rPr>
          <t>Insight iXlW00001C0001760R0585476093S00003518P00932LAocjBAQBF1NjaVRlZ2ljLmRhdGEuTW9sZWN1bGUBbwF/ARJTY2lUZWdpYy5Nb2xlY3VsZQAAAQFkAv5qAQAAAAIAAjAYAAAA/PwA/AACAAAAAAAA8L8ChutRuB4FL0ACvAUSFD/mVsAAAAAAGAAAAPz8APwAAgAAAAAAAPC/AmrecYqOBC9AAmx4eqUsG1fAAAAAABgAAAD8/AD8AAIAAAAAAADwvwJiMlUwKjkwQAKFDU+vlDVXwAAAAAAYAAAA/PwA/AACAAAAAAAA8L8Cxty1hHzwMEAC9I5TdCQbV8AAAAAAGAAAAPz8APwAAgAAAAAAAPC/AgFvgQTF7zBAAr10kxgE5lbAAAAAABgAAAD8/AD8AAIAAAAAAADwvwJjEFg5tDgwQAKkcD0K18tWwAAAAAAYAAAA/PwA/AACAAAAAAAA8L8CZ9XnaiumMUAC+n5qvHTLVsAAAAAAGAAAAPz8APwAAgAAAAAAAPC/AujZrPpcXTJAAj2bVZ+r5VbAAAAAABwAAAD8/AD8AAIAAAAAAADwvwJPQBNhwxMzQAJ7pSxDHMtWwAAAAAAYAAAA/PwA/AACAAAAAAAA8L8CLNSa5h03MEAC7Z48LNSWVsAAAAAAJAAAAPz8APwAAgAAAAAAAPC/AizUmuYdNzBAAhkEVg4talfAAAAAAAERAAAA/PwA/AACAAAAAAAA8L8C0GbV52obM0ACwcqhRbYvV8AAAAAALAAEAWUICAAAAAAAAAAECAFlBAAAAAAAAAAACAwBZQgIAAAAAAAAAAwQAWUEAAAAAAAAAAAQFAFlCAgAAAAAAAAAFAABZQQAAAAAAAAAABAYAWUEAAAAAAAAAAAYHAFlBAAAAAAAAAAAHCABZQQAAAAAAAAAABQkAWUEAAAAAAAAAAAIKAFlBAAAAAAAAAAAAAAAAA==</t>
        </r>
      </text>
    </comment>
    <comment ref="A1761" authorId="0" shapeId="0" xr:uid="{40C5D065-E92F-4163-BACF-0FD490C43AD4}">
      <text>
        <r>
          <rPr>
            <sz val="9"/>
            <color indexed="81"/>
            <rFont val="MS P ゴシック"/>
            <family val="3"/>
            <charset val="128"/>
          </rPr>
          <t>Insight iXlW00001C0001761R0585476093S00003520P01000LAocjBAQBF1NjaVRlZ2ljLmRhdGEuTW9sZWN1bGUBbwF/ARJTY2lUZWdpYy5Nb2xlY3VsZQAAAQFkAv5qAQAAAAIAAjQYAAAA/PwA/AACAAAAAAAA8L8C8YXJVMFYN0ACCRueXinzVsAAAAAAGAAAAPz8APwAAgAAAAAAAPC/AmN/2T15WDdAAh3r4jYaKFfAAAAAABgAAAD8/AD8AAIAAAAAAADwvwIeOGdEaQ84QALnriXkg0JXwAAAAAAYAAAA/PwA/AACAAAAAAAA8L8CSp2AJsLGOEACpAG8BRIoV8AAAAAAGAAAAPz8APwAAgAAAAAAAPC/Ar10kxgExjhAAgmKH2Pu8lbAAAAAABgAAAD8/AD8AAIAAAAAAADwvwIfFmpN8w44QALxhclUwdhWwAAAAAAYAAAA/PwA/AACAAAAAAAA8L8CsVBrmnd8OUAClWWIY13YVsAAAAAAGAAAAPz8APwAAgAAAAAAAPC/AsHKoUW2MzpAAoqw4emV8lbAAAAAABwAAAD8/AD8AAIAAAAAAADwvwK1pnnHKeo6QALHuriNBthWwAAAAAAgAAAA/PwA/AACAAAAAAAA8L8CIh/0bFYNOEACJCh+jLmjVsAAAAAAJAAAAPz8APwAAgAAAAAAAPC/AiIf9GxWDThAApAxdy0hd1fAAAAAABgAAAD8/AD8AAIAAAAAAADwvwJoRGlv8FU3QAJw8IXJVIlWwAAAAAABEQAAAPz8APwAAgAAAAAAAPC/AgAAAAAA4DpAAgAAAAAASFfAAAAAADAABAFlCAgAAAAAAAAABAgBZQQAAAAAAAAAAAgMAWUICAAAAAAAAAAMEAFlBAAAAAAAAAAAEBQBZQgIAAAAAAAAABQAAWUEAAAAAAAAAAAQGAFlBAAAAAAAAAAAGBwBZQQAAAAAAAAAABwgAWUEAAAAAAAAAAAUJAFlBAAAAAAAAAAACCgBZQQAAAAAAAAAACQsAWUEAAAAAAAAAAAAAAAA</t>
        </r>
      </text>
    </comment>
    <comment ref="A1762" authorId="0" shapeId="0" xr:uid="{3BE6BC33-327F-4490-B041-F7C09967FE96}">
      <text>
        <r>
          <rPr>
            <sz val="9"/>
            <color indexed="81"/>
            <rFont val="MS P ゴシック"/>
            <family val="3"/>
            <charset val="128"/>
          </rPr>
          <t>Insight iXlW00001C0001762R0585476093S00003522P00984LAocjBAQBF1NjaVRlZ2ljLmRhdGEuTW9sZWN1bGUBbwF/ARJTY2lUZWdpYy5Nb2xlY3VsZQAAAQFkAv5qAQAAAAIAAjQYAAAA/PwA/AACAAAAAAAA8L8CNxrAWyARMEACRPrt68DZKMAAAAAAGAAAAPz8APwAAgAAAAAAAPC/AvAWSFD82CtAAh3r4jYaYCbAAAAAABgAAAD8/AD8AAIAAAAAAADwvwLVCWgibNgrQALWVuwvuwcowAAAAAAcAAAA/PwA/AACAAAAAAAA8L8CZ2ZmZmZGLUACQmDl0CLbKMAAAAAAGAAAAPz8APwAAgAAAAAAAPC/AtsbfGEytS5AAg8LtaZ5ByjAAAAAABgAAAD8/AD8AAIAAAAAAADwvwJPQBNhw7MuQAIgY+5aQl4mwAAAAAAYAAAA/PwA/AACAAAAAAAA8L8CaCJseHpFLUACzczMzMyMJcAAAAAAHAAAAPz8APwAAgAAAAAAAPC/Ap6AJsKGxzBAAsB9HThnBCjAAAAAABgAAAD8/AD8AAIAAAAAAADwvwJ0RpT2Bn8xQAK+UpYhjtUowAAAAAAgAAAA/PwA/AACAAAAAAAA8L8Ch6dXyjJELUACZ2ZmZmbmI8AAAAAAGAAAAPz8APwAAgAAAAAAAPC/AsUgsHJosS5AAv0Yc9cSEiPAAAAAAAERAAAA/PwA/AACAAAAAAAA8L8CzTtO0ZGsMEAC/Knx0k1iKsAAAAAAAREAAAD8/AD8AAIAAAAAAADwvwJmiGNd3CYtQAJiMlUwKikqwAAAAAAsBAgBZQgIAAAAAAAAAAgMAWUEAAAAAAAAAAAMEAFlCAgAAAAAAAAAEBQBZQQAAAAAAAAAABQYAWUICAAAAAAAAAAYBAFlBAAAAAAAAAAAEAABZQQAAAAAAAAAAAAcAWUEAAAAAAAAAAAcIAFlBAAAAAAAAAAAGCQBZQQAAAAAAAAAACQoAWUEAAAAAAAAAAAAAAAA</t>
        </r>
      </text>
    </comment>
    <comment ref="A1763" authorId="0" shapeId="0" xr:uid="{4127E937-79AC-4004-AC0A-D0AE04BCA91A}">
      <text>
        <r>
          <rPr>
            <sz val="9"/>
            <color indexed="81"/>
            <rFont val="MS P ゴシック"/>
            <family val="3"/>
            <charset val="128"/>
          </rPr>
          <t>Insight iXlW00001C0001763R0585476093S00003524P00916LAocjBAQBF1NjaVRlZ2ljLmRhdGEuTW9sZWN1bGUBbwF/ARJTY2lUZWdpYy5Nb2xlY3VsZQAAAQFkAv5qAQAAAAIAAjAkAAAA/PwA/AACAAAAAAAA8L8Cf2q8dJMYFUACOdbFbTSA8D8AAAAAGAAAAPz8APwAAgAAAAAAAPC/An9qvHSTGBVAAisYldQJaMo/AAAAABgAAAD8/AD8AAIAAAAAAADwvwIydy0hH/QXQAIrGJXUCWjKvwAAAAAYAAAA/PwA/AACAAAAAAAA8L8CMnctIR/0F0ACOdbFbTSA8L8AAAAAGAAAAPz8APwAAgAAAAAAAPC/An9qvHSTGBVAAtJvXwfOGfe/AAAAABwAAAD8/AD8AAIAAAAAAADwvwKwcmiR7TwSQALIKTqSy3/wvwAAAAAYAAAA/PwA/AACAAAAAAAA8L8CsHJoke08EkACo7Q3+MJkyr8AAAAAGAAAAPz8APwAAgAAAAAAAPC/AsP1KFyPwg5AAisYldQJaMo/AAAAABwAAAD8/AD8AAIAAAAAAADwvwLD9Shcj8IOQAI51sVtNIDwPwAAAAAYAAAA/PwA/AACAAAAAAAA8L8CJQaBlUMLCUAC0m9fB84Z9z8AAAAAAREAAAD8/AD8AAIAAAAAAADwvwI17zhFR/IEQAIYJlMFo5LiPwAAAAABEQAAAPz8APwAAgAAAAAAAPC/AnKKjuTyHwpAAlqGONbFbfq/AAAAACgABAFlBAAAAAAAAAAABAgBZQQAAAAAAAAAAAgMAWUICAAAAAAAAAAMEAFlBAAAAAAAAAAAEBQBZQgIAAAAAAAAAAQYAWUIDAAAAAAAAAAUGAFlBAAAAAAAAAAAGBwBZQQAAAAAAAAAABwgAWUEAAAAAAAAAAAgJAFlBAAAAAAAAAAAAAAAAA==</t>
        </r>
      </text>
    </comment>
    <comment ref="A1764" authorId="0" shapeId="0" xr:uid="{33447BB2-EAA4-4F65-A8D5-FA7067D2EA2F}">
      <text>
        <r>
          <rPr>
            <sz val="9"/>
            <color indexed="81"/>
            <rFont val="MS P ゴシック"/>
            <family val="3"/>
            <charset val="128"/>
          </rPr>
          <t>Insight iXlW00001C0001764R0585476093S00003526P00916LAocjBAQBF1NjaVRlZ2ljLmRhdGEuTW9sZWN1bGUBbwF/ARJTY2lUZWdpYy5Nb2xlY3VsZQAAAQFkAv5qAQAAAAIAAjAYAAAA/PwA/AACAAAAAAAA8L8CEOm3rwMHPEACeAskKH7sJ8AAAAAAGAAAAPz8APwAAgAAAAAAAPC/AsNkqmBU4jlAAlH8GHPXciXAAAAAABgAAAD8/AD8AAIAAAAAAADwvwJvowG8BeI5QAIKaCJseBonwAAAAAAcAAAA/PwA/AACAAAAAAAA8L8Cf4y5awmZOkACdnEbDeDtJ8AAAAAAGAAAAPz8APwAAgAAAAAAAPC/AgAi/fZ1UDtAAkMc6+I2GifAAAAAABgAAAD8/AD8AAIAAAAAAADwvwI6tMh2vk87QAJUdCSX/3AlwAAAAAAYAAAA/PwA/AACAAAAAAAA8L8Cf2q8dJOYOkAC5fIf0m+fJMAAAAAAHAAAAPz8APwAAgAAAAAAAPC/AndPHhZqvTxAAvSOU3QkFyfAAAAAABgAAAD8/AD8AAIAAAAAAADwvwIU0ETY8HQ9QALyY8xdS+gnwAAAAAABEQAAAPz8APwAAgAAAAAAAPC/ArwFEhQ/BjxAApVliGNdnCTAAAAAAAERAAAA/PwA/AACAAAAAAAA8L8CZohjXdwmPUACBFYOLbJ9KcAAAAAAAREAAAD8/AD8AAIAAAAAAADwvwJkXdxGA7g6QAIEVg4tsn0pwAAAAAAoBAgBZQgIAAAAAAAAAAgMAWUEAAAAAAAAAAAMEAFlCAgAAAAAAAAAEBQBZQQAAAAAAAAAABQYAWUICAAAAAAAAAAYBAFlBAAAAAAAAAAAEAABZQQAAAAAAAAAAAAcAWUEAAAAAAAAAAAcIAFlBAAAAAAAAAAAFCQBZQQAAAAAAAAAAAAAAAA=</t>
        </r>
      </text>
    </comment>
    <comment ref="A1765" authorId="0" shapeId="0" xr:uid="{CC6991DC-6394-4B0C-83F0-557EA1758CF8}">
      <text>
        <r>
          <rPr>
            <sz val="9"/>
            <color indexed="81"/>
            <rFont val="MS P ゴシック"/>
            <family val="3"/>
            <charset val="128"/>
          </rPr>
          <t>Insight iXlW00001C0001765R0585476093S00003528P01128LAocjBAQBF1NjaVRlZ2ljLmRhdGEuTW9sZWN1bGUBbwF/ARJTY2lUZWdpYy5Nb2xlY3VsZQAAAQFkAv5qAQAAAAIAAjwYAAAA/PwA/AACAAAAAAAA8L8CfdCzWfX5I0ACsr/snjwsMsAAAAAAGAAAAPz8APwAAgAAAAAAAPC/Ao25awn5YB9AApDC9Shc7zDAAAAAABgAAAD8/AD8AAIAAAAAAADwvwI6tMh2vl8fQAIzMzMzM8MxwAAAAAAcAAAA/PwA/AACAAAAAAAA8L8Cy6FFtvMdIUACsHJoke0sMsAAAAAAGAAAAPz8APwAAgAAAAAAAPC/AltCPujZjCJAAlCNl24SwzHAAAAAABgAAAD8/AD8AAIAAAAAAADwvwJB8WPMXYsiQALKw0Ktae4wwAAAAAAYAAAA/PwA/AACAAAAAAAA8L8CzV1LyAcdIUAC2j15WKiFMMAAAAAAGAAAAPz8APwAAgAAAAAAAPC/AmN/2T15+CNAAjJ3LSEfhDDAAAAAACQAAAD8/AD8AAIAAAAAAADwvwJoRGlv8GUlQAKwcmiR7ewwwAAAAAAkAAAA/PwA/AACAAAAAAAA8L8CZF3cRgP4I0AC/Yf029dhL8AAAAAAJAAAAPz8APwAAgAAAAAAAPC/AqRwPQrXYyVAAgyTqYJRGTDAAAAAABwAAAD8/AD8AAIAAAAAAADwvwK5/If02/cjQAKsrdhfdv8ywAAAAAAYAAAA/PwA/AACAAAAAAAA8L8CFD/G3LVkJUACDQIrhxZpM8AAAAAAAREAAAD8/AD8AAIAAAAAAADwvwLHuriNBrAjQAKbd5yiI+kzwAAAAAABEQAAAPz8APwAAgAAAAAAAPC/Amsr9pfd0x5AAmfV52orRjPAAAAAADQECAFlCAgAAAAAAAAACAwBZQQAAAAAAAAAAAwQAWUICAAAAAAAAAAQFAFlBAAAAAAAAAAAFBgBZQgIAAAAAAAAABgEAWUEAAAAAAAAAAAQAAFlBAAAAAAAAAAAFBwBZQQAAAAAAAAAABwgAWUEAAAAAAAAAAAcJAFlBAAAAAAAAAAAHCgBZQQAAAAAAAAAAAAsAWUEAAAAAAAAAAAsMAFlBAAAAAAAAAAAAAAAAA==</t>
        </r>
      </text>
    </comment>
    <comment ref="A1766" authorId="0" shapeId="0" xr:uid="{8F95CF6C-EC86-4167-B2A3-FAD712849061}">
      <text>
        <r>
          <rPr>
            <sz val="9"/>
            <color indexed="81"/>
            <rFont val="MS P ゴシック"/>
            <family val="3"/>
            <charset val="128"/>
          </rPr>
          <t>Insight iXlW00001C0001766R0585476093S00003530P01128LAocjBAQBF1NjaVRlZ2ljLmRhdGEuTW9sZWN1bGUBbwF/ARJTY2lUZWdpYy5Nb2xlY3VsZQAAAQFkAv5qAQAAAAIAAjwcAAAA/PwA/AACAAAAAAAA8L8CVHQkl//QI0ACYxBYObTI/b8AAAAAGAAAAPz8APwAAgAAAAAAAPC/AgIrhxbZziNAAsuhRbbzfQXAAAAAABgAAAD8/AD8AAIAAAAAAADwvwIVHcnlP2QiQAJyio7k8h/3vwAAAAAYAAAA/PwA/AACAAAAAAAA8L8ChXzQs1n1IEACJuSDns2q/b8AAAAAGAAAAPz8APwAAgAAAAAAAPC/AjMzMzMz8yBAAnS1FfvLbgXAAAAAABgAAAD8/AD8AAIAAAAAAADwvwJyio7k8l8iQAJseHqlLMMIwAAAAAAYAAAA/PwA/AACAAAAAAAA8L8CIUHxY8xdIkACn82qz9VWD8AAAAAAHAAAAPz8APwAAgAAAAAAAPC/An4dOGdEySNAAqQBvAUSVBHAAAAAABgAAAD8/AD8AAIAAAAAAADwvwIt1JrmHccjQAI9LNSa5p0UwAAAAAAYAAAA/PwA/AACAAAAAAAA8L8CZ2ZmZmZmIkACGsBbIEHx478AAAAAJAAAAPz8APwAAgAAAAAAAPC/As3MzMzMDCRAAjNVMCqpE+S/AAAAACQAAAD8/AD8AAIAAAAAAADwvwK4rwPnjGgiQAIxmSoYldTJPwAAAAAkAAAA/PwA/AACAAAAAAAA8L8CAAAAAADAIEACAiuHFtnO478AAAAAAREAAAD8/AD8AAIAAAAAAADwvwJw8IXJVGEmQAInwoanV8r9vwAAAAABEQAAAPz8APwAAgAAAAAAAPC/AtEi2/l+6iZAAq5H4XoULhHAAAAAADQABAFlCAgAAAAAAAAAAAgBZQQAAAAAAAAAAAgMAWUICAAAAAAAAAAMEAFlBAAAAAAAAAAAEBQBZQgIAAAAAAAAABQEAWUEAAAAAAAAAAAUGAFlBAAAAAAAAAAAGBwBZQQAAAAAAAAAABwgAWUEAAAAAAAAAAAkKAFlBAAAAAAAAAAAJCwBZQQAAAAAAAAAACQwAWUEAAAAAAAAAAAIJAFlBAAAAAAAAAAAAAAAAA==</t>
        </r>
      </text>
    </comment>
    <comment ref="A1767" authorId="0" shapeId="0" xr:uid="{FF78970F-1449-4D3C-9493-509495F8A0C8}">
      <text>
        <r>
          <rPr>
            <sz val="9"/>
            <color indexed="81"/>
            <rFont val="MS P ゴシック"/>
            <family val="3"/>
            <charset val="128"/>
          </rPr>
          <t>Insight iXlW00001C0001767R0585476093S00003532P00984LAocjBAQBF1NjaVRlZ2ljLmRhdGEuTW9sZWN1bGUBbwF/ARJTY2lUZWdpYy5Nb2xlY3VsZQAAAQFkAv5qAQAAAAIAAjQYAAAA/PwA/AACAAAAAAAA8L8CPE7RkVw+N0ACAd4CCYqPOcAAAAAAGAAAAPz8APwAAgAAAAAAAPC/AraEfNCzGTVAAm1Wfa62UjjAAAAAABwAAAD8/AD8AAIAAAAAAADwvwIofoy5axk1QAJKDAIrhyY5wAAAAAAYAAAA/PwA/AACAAAAAAAA8L8COGdEaW/QNUACAJF++zqQOcAAAAAAGAAAAPz8APwAAgAAAAAAAPC/AvJBz2bVhzZAAmdmZmZmJjnAAAAAABgAAAD8/AD8AAIAAAAAAADwvwJlGeJYF4c2QAJvEoPAylE4wAAAAAAYAAAA/PwA/AACAAAAAAAA8L8COUVHcvnPNUACfoy5awnpN8AAAAAAHAAAAPz8APwAAgAAAAAAAPC/AqO0N/jC9DdAAr+fGi/dJDnAAAAAABgAAAD8/AD8AAIAAAAAAADwvwJ5eqUsQ6w4QAI+CtejcI05wAAAAAAgAAAA/PwA/AACAAAAAAAA8L8Cb4EExY9hNEAC8tJNYhDoN8AAAAAAGAAAAPz8APwAAgAAAAAAAPC/Av2H9NvXYTRAAr+fGi/dFDfAAAAAAAERAAAA/PwA/AACAAAAAAAA8L8CzjtO0ZF8OEACAiuHFtlOOMAAAAAAAREAAAD8/AD8AAIAAAAAAADwvwJos+pztQU0QALOO07RkRw5wAAAAAAsBAgBZQgIAAAAAAAAAAgMAWUEAAAAAAAAAAAMEAFlCAgAAAAAAAAAEBQBZQQAAAAAAAAAABQYAWUICAAAAAAAAAAYBAFlBAAAAAAAAAAAEAABZQQAAAAAAAAAAAAcAWUEAAAAAAAAAAAcIAFlBAAAAAAAAAAABCQBZQQAAAAAAAAAACQoAWUEAAAAAAAAAAAAAAAA</t>
        </r>
      </text>
    </comment>
    <comment ref="A1768" authorId="0" shapeId="0" xr:uid="{334DF755-78CD-4D05-BB4E-ADFED1260787}">
      <text>
        <r>
          <rPr>
            <sz val="9"/>
            <color indexed="81"/>
            <rFont val="MS P ゴシック"/>
            <family val="3"/>
            <charset val="128"/>
          </rPr>
          <t>Insight iXlW00001C0001768R0585476093S00003534P00916LAocjBAQBF1NjaVRlZ2ljLmRhdGEuTW9sZWN1bGUBbwF/ARJTY2lUZWdpYy5Nb2xlY3VsZQAAAQFkAv5qAQAAAAIAAjAYAAAA/PwA/AACAAAAAAAA8L8CqFfKMsQxFEACYxBYObTI4D8AAAAAGAAAAPz8APwAAgAAAAAAAPC/Ak2mCkYl9QxAAubQItv5/gdAAAAAABgAAAD8/AD8AAIAAAAAAADwvwKvtmJ/2T0HQAIZBFYOLbIEQAAAAAAYAAAA/PwA/AACAAAAAAAA8L8Cr7Zif9k9B0AC/tR46SYx/D8AAAAAGAAAAPz8APwAAgAAAAAAAPC/Ak2mCkYl9QxAAmU730+Nl/U/AAAAABgAAAD8/AD8AAIAAAAAAADwvwLZX3ZPHlYRQAL+1HjpJjH8PwAAAAAcAAAA/PwA/AACAAAAAAAA8L8C2V92Tx5WEUACGQRWDi2yBEAAAAAAJAAAAPz8APwAAgAAAAAAAPC/AhHHuriNhgFAAubQItv5/gdAAAAAABgAAAD8/AD8AAIAAAAAAADwvwJNpgpGJfUMQAJjEFg5tMjgPwAAAAAcAAAA/PwA/AACAAAAAAAA8L8C9UpZhjhWEUACeekmMQisvD8AAAAAAREAAAD8/AD8AAIAAAAAAADwvwK62or9ZbcQQAJPQBNhw9PxvwAAAAABEQAAAPz8APwAAgAAAAAAAPC/AhvAWyBBMRZAAh/0bFZ9LghAAAAAACgkAAFlBAAAAAAAAAAABBgBZQgIAAAAAAAAAAQIAWUEAAAAAAAAAAAIHAFlBAAAAAAAAAAACAwBZQgIAAAAAAAAAAwQAWUEAAAAAAAAAAAQIAFlBAAAAAAAAAAAEBQBZQgIAAAAAAAAABQYAWUEAAAAAAAAAAAgJAFlBAAAAAAAAAAAAAAAAA==</t>
        </r>
      </text>
    </comment>
    <comment ref="A1769" authorId="0" shapeId="0" xr:uid="{11850C0F-2ECF-4AF7-AAEE-B17D10BB4EF0}">
      <text>
        <r>
          <rPr>
            <sz val="9"/>
            <color indexed="81"/>
            <rFont val="MS P ゴシック"/>
            <family val="3"/>
            <charset val="128"/>
          </rPr>
          <t>Insight iXlW00001C0001769R0585476093S00003536P00916LAocjBAQBF1NjaVRlZ2ljLmRhdGEuTW9sZWN1bGUBbwF/ARJTY2lUZWdpYy5Nb2xlY3VsZQAAAQFkAv5qAQAAAAIAAjAYAAAA/PwA/AACAAAAAAAA8L8CqTXNO04ZQkACUfwYc9dSRcAAAAAAGAAAAPz8APwAAgAAAAAAAPC/Aqk1zTtOGUJAAuqVsgxxvEXAAAAAABgAAAD8/AD8AAIAAAAAAADwvwKcM6K0N9BCQALqlbIMcbxFwAAAAAAYAAAA/PwA/AACAAAAAAAA8L8CnDOitDfQQkACUfwYc9dSRcAAAAAAGAAAAPz8APwAAgAAAAAAAPC/AqK0N/jCdEJAAoQvTKYKHkXAAAAAABgAAAD8/AD8AAIAAAAAAADwvwJQHhZqTStDQAIgY+5aQh5FwAAAAAAcAAAA/PwA/AACAAAAAAAA8L8CAwmKH2OGQ0ACUfwYc9dSRcAAAAAAAREAAAD8/AD8AAIAAAAAAADwvwJZqDXNO75BQAIgY+5aQh5FwAAAAAAYAAAA/PwA/AACAAAAAAAA8L8CU5YhjnXhQ0ACIGPuWkIeRcAAAAAAHAAAAPz8APwAAgAAAAAAAPC/AlwgQfFjdEJAAhsv3SQG8UXAAAAAAAERAAAA/PwA/AACAAAAAAAA8L8CxY8xdy2ZQ0AC8mPMXUsYRsAAAAAAAREAAAD8/AD8AAIAAAAAAADwvwKQoPgx5jZCQALyY8xdS2hGwAAAAAAoAAQBZQgIAAAAAAAAAAgMAWUEAAAAAAAAAAAMEAFlCAgAAAAAAAAAEAABZQQAAAAAAAAAAAwUAWUEAAAAAAAAAAAUGAFlBAAAAAAAAAAAABwBZQQAAAAAAAAAABggAWUEAAAAAAAAAAAEJAFlBAAAAAAAAAAACCQBZQgIAAAAAAAAAAAAAAA=</t>
        </r>
      </text>
    </comment>
    <comment ref="A1770" authorId="0" shapeId="0" xr:uid="{71AFA719-B823-4F46-9E46-46B442BE1F23}">
      <text>
        <r>
          <rPr>
            <sz val="9"/>
            <color indexed="81"/>
            <rFont val="MS P ゴシック"/>
            <family val="3"/>
            <charset val="128"/>
          </rPr>
          <t>Insight iXlW00001C0001770R0585476093S00003538P00916LAocjBAQBF1NjaVRlZ2ljLmRhdGEuTW9sZWN1bGUBbwF/ARJTY2lUZWdpYy5Nb2xlY3VsZQAAAQFkAv5qAQAAAAIAAjAYAAAA/PwA/AACAAAAAAAA8L8CEhQ/xtz1FMAC8tJNYhBY6z8AAAAAHAAAAPz8APwAAgAAAAAAAPC/AuELk6mC0RfAAhODwMqhRfQ/AAAAABgAAAD8/AD8AAIAAAAAAADwvwKUGARWDq0awALy0k1iEFjrPwAAAAAYAAAA/PwA/AACAAAAAAAA8L8CWoY41sUNI8AC8tJNYhBY6z8AAAAAGAAAAPz8APwAAgAAAAAAAPC/AmMQWDm0iB3AAiPb+X5qvABAAAAAABgAAAD8/AD8AAIAAAAAAADwvwJjEFg5tIgdwAITg8DKoUX0PwAAAAAYAAAA/PwA/AACAAAAAAAA8L8CGQRWDi0yIMACEHo2qz5X6z8AAAAAGAAAAPz8APwAAgAAAAAAAPC/AnKKjuTynyHAAhODwMqhRfQ/AAAAABgAAAD8/AD8AAIAAAAAAADwvwJyio7k8p8hwAIj2/l+arwAQAAAAAAcAAAA/PwA/AACAAAAAAAA8L8CGQRWDi0yIMAC8KfGSzcJBEAAAAAAAREAAAD8/AD8AAIAAAAAAADwvwL129eBc0YVwAIqyxDHurgBQAAAAAABEQAAAPz8APwAAgAAAAAAAPC/Am8Sg8DKoR/AAmdmZmZm5gtAAAAAACgEAAFlBAAAAAAAAAAACAQBZQQAAAAAAAAAABQIAWUEAAAAAAAAAAAcDAFlBAAAAAAAAAAAFBABZQQAAAAAAAAAACQQAWUICAAAAAAAAAAYFAFlCAwAAAAAAAAAHBgBZQQAAAAAAAAAACAcAWUIDAAAAAAAAAAkIAFlBAAAAAAAAAAAAAAAAA==</t>
        </r>
      </text>
    </comment>
    <comment ref="A1771" authorId="0" shapeId="0" xr:uid="{8A8F2313-B0BC-40AC-ACA8-7908E90CC5BC}">
      <text>
        <r>
          <rPr>
            <sz val="9"/>
            <color indexed="81"/>
            <rFont val="MS P ゴシック"/>
            <family val="3"/>
            <charset val="128"/>
          </rPr>
          <t>Insight iXlW00001C0001771R0585476093S00003540P00984LAocjBAQBF1NjaVRlZ2ljLmRhdGEuTW9sZWN1bGUBbwF/ARJTY2lUZWdpYy5Nb2xlY3VsZQAAAQFkAv5qAQAAAAIAAjQYAAAA/PwA/AACAAAAAAAA8L8CUB4Wak2zNkACh6dXyjIMQMAAAAAAGAAAAPz8APwAAgAAAAAAAPC/ApEPejarjjRAAkGC4seY2z7AAAAAABwAAAD8/AD8AAIAAAAAAADwvwIDCYofY440QAJXfa62Yq8/wAAAAAAYAAAA/PwA/AACAAAAAAAA8L8CTDeJQWBFNUACBoGVQ4sMQMAAAAAAGAAAAPz8APwAAgAAAAAAAPC/As3MzMzM/DVAAjuSy39Irz/AAAAAABgAAAD8/AD8AAIAAAAAAADwvwJApN++Dvw1QAJ8gy9Mpto+wAAAAAAYAAAA/PwA/AACAAAAAAAA8L8CTRWMSupENUACUrgehetxPsAAAAAAHAAAAPz8APwAAgAAAAAAAPC/AraEfNCzaTdAAswQx7q4rT/AAAAAABgAAAD8/AD8AAIAAAAAAADwvwKMSuoENCE4QAIJG55eKQtAwAAAAAAgAAAA/PwA/AACAAAAAAAA8L8CF9nO91NDNUACk8t/SL+dPcAAAAAAGAAAAPz8APwAAgAAAAAAAPC/Aih+jLlr+TVAAvvL7snDMj3AAAAAAAERAAAA/PwA/AACAAAAAAAA8L8C/tR46SaBN0ACNe84RUfCPsAAAAAAAREAAAD8/AD8AAIAAAAAAADwvwL+1HjpJnEzQAIAAAAAAJA/wAAAAAAsBAgBZQgIAAAAAAAAAAgMAWUEAAAAAAAAAAAMEAFlCAgAAAAAAAAAEBQBZQQAAAAAAAAAABQYAWUICAAAAAAAAAAYBAFlBAAAAAAAAAAAEAABZQQAAAAAAAAAAAAcAWUEAAAAAAAAAAAcIAFlBAAAAAAAAAAAGCQBZQQAAAAAAAAAACQoAWUEAAAAAAAAAAAAAAAA</t>
        </r>
      </text>
    </comment>
    <comment ref="A1772" authorId="0" shapeId="0" xr:uid="{BD587F7C-DCF7-4484-9A2B-F9ED9AEAF290}">
      <text>
        <r>
          <rPr>
            <sz val="9"/>
            <color indexed="81"/>
            <rFont val="MS P ゴシック"/>
            <family val="3"/>
            <charset val="128"/>
          </rPr>
          <t>Insight iXlW00001C0001772R0585476093S00003542P00984LAocjBAQBF1NjaVRlZ2ljLmRhdGEuTW9sZWN1bGUBbwF/ARJTY2lUZWdpYy5Nb2xlY3VsZQAAAQFkAv5qAQAAAAIAAjQYAAAA/PwA/AACAAAAAAAA8L8CS+oENBE2DEACiUFg5dAiQ8AAAAAAGAAAAPz8APwAAgAAAAAAAPC/AjY8vVKWIfY/AsB9HThnhELAAAAAABwAAAD8/AD8AAIAAAAAAADwvwJb07zjFB32PwIRNjy9Uu5CwAAAAAAYAAAA/PwA/AACAAAAAAAA8L8C9dvXgXPGAEACCRueXikjQ8AAAAAAGAAAAPz8APwAAgAAAAAAAPC/Av2H9NvXgQZAAiBj7lpC7kLAAAAAABgAAAD8/AD8AAIAAAAAAADwvwLOGVHaG3wGQALAWyBB8YNCwAAAAAAYAAAA/PwA/AACAAAAAAAA8L8C+8vuycPCAEACyJi7lpBPQsAAAAAAHAAAAPz8APwAAgAAAAAAAPC/Atv5fmq89BBAAsx/SL997ULAAAAAABgAAAD8/AD8AAIAAAAAAADwvwI0ETY8vdITQAILtaZ5xyFDwAAAAAAgAAAA/PwA/AACAAAAAAAA8L8CBcWPMXctDEACrmnecYpOQsAAAAAAGAAAAPz8APwAAgAAAAAAAPC/Avd14JwRJQxAArByaJHt5EHAAAAAAAERAAAA/PwA/AACAAAAAAAA8L8Cp3nHKTqSEkACzTtO0ZFkQsAAAAAAAREAAAD8/AD8AAIAAAAAAADwvwK/nxov3STmPwJos+pzte1CwAAAAAAsBAgBZQgIAAAAAAAAAAgMAWUEAAAAAAAAAAAMEAFlCAgAAAAAAAAAEBQBZQQAAAAAAAAAABQYAWUICAAAAAAAAAAYBAFlBAAAAAAAAAAAEAABZQQAAAAAAAAAAAAcAWUEAAAAAAAAAAAcIAFlBAAAAAAAAAAAFCQBZQQAAAAAAAAAACQoAWUEAAAAAAAAAAAAAAAA</t>
        </r>
      </text>
    </comment>
    <comment ref="A1773" authorId="0" shapeId="0" xr:uid="{A5FF98C0-321A-49F9-B55F-EF36EC4CF577}">
      <text>
        <r>
          <rPr>
            <sz val="9"/>
            <color indexed="81"/>
            <rFont val="MS P ゴシック"/>
            <family val="3"/>
            <charset val="128"/>
          </rPr>
          <t>Insight iXlW00001C0001773R0585476093S00003544P00916LAocjBAQBF1NjaVRlZ2ljLmRhdGEuTW9sZWN1bGUBbwF/ARJTY2lUZWdpYy5Nb2xlY3VsZQAAAQFkAv5qAQAAAAIAAjAYAAAA/PwA/AACAAAAAAAA8L8C/Yf029cBLkACnl4pyxDnIcAAAAAAGAAAAPz8APwAAgAAAAAAAPC/Av2H9NvXAS5AAgXFjzF3jSPAAAAAABgAAAD8/AD8AAIAAAAAAADwvwJWDi2ynW8vQAI4+MJkqmAkwAAAAAAYAAAA/PwA/AACAAAAAAAA8L8CH4XrUbhuMEACBcWPMXeNI8AAAAAAGAAAAPz8APwAAgAAAAAAAPC/Ah+F61G4bjBAAp5eKcsQ5yHAAAAAABwAAAD8/AD8AAIAAAAAAADwvwJWDi2ynW8vQAJrK/aX3RMhwAAAAAAYAAAA/PwA/AACAAAAAAAA8L8CVg4tsp1vL0AChQ1Pr5QFJsAAAAAAHAAAAPz8APwAAgAAAAAAAPC/Aq5H4XoUbjBAAvLSTWIQ2CbAAAAAAAERAAAA/PwA/AACAAAAAAAA8L8CokW28/0kMUACcoqO5PJfJMAAAAAAGAAAAPz8APwAAgAAAAAAAPC/Aq5H4XoUbjBAArMMcayLeyjAAAAAAAERAAAA/PwA/AACAAAAAAAA8L8CMZkqGJVEMkACzqrP1VbMIsAAAAAAAREAAAD8/AD8AAIAAAAAAADwvwJiMlUwKkksQAKfzarP1TYlwAAAAAAoAAQBZQgIAAAAAAAAAAQIAWUEAAAAAAAAAAAIDAFlCAgAAAAAAAAADBABZQQAAAAAAAAAABAUAWUICAAAAAAAAAAUAAFlBAAAAAAAAAAACBgBZQQAAAAAAAAAABgcAWUEAAAAAAAAAAAMIAFlBAAAAAAAAAAAHCQBZQQAAAAAAAAAAAAAAAA=</t>
        </r>
      </text>
    </comment>
    <comment ref="A1774" authorId="0" shapeId="0" xr:uid="{9E47759A-A74F-47D3-88BD-92B7B8794ADA}">
      <text>
        <r>
          <rPr>
            <sz val="9"/>
            <color indexed="81"/>
            <rFont val="MS P ゴシック"/>
            <family val="3"/>
            <charset val="128"/>
          </rPr>
          <t>Insight iXlW00001C0001774R0585476093S00003546P00984LAocjBAQBF1NjaVRlZ2ljLmRhdGEuTW9sZWN1bGUBbwF/ARJTY2lUZWdpYy5Nb2xlY3VsZQAAAQFkAv5qAQAAAAIAAjQcAAAA/PwA/AACAAAAAAAA8L8CZapgVFLXMEACu7iNBvCWJ8AAAAAAGAAAAPz8APwAAgAAAAAAAPC/AnGsi9toIDBAAoiFWtO8wybAAAAAABgAAAD8/AD8AAIAAAAAAADwvwL7XG3F/tIuQAK7uI0G8JYnwAAAAAAYAAAA/PwA/AACAAAAAAAA8L8CotY07zhlLUACiIVa07zDJsAAAAAAGAAAAPz8APwAAgAAAAAAAPC/Arraiv1l9ytAAru4jQbwlifAAAAAABwAAAD8/AD8AAIAAAAAAADwvwK62or9ZfcrQAIiH/RsVj0pwAAAAAAYAAAA/PwA/AACAAAAAAAA8L8CotY07zhlLUACVVInoIkQKsAAAAAAGAAAAPz8APwAAgAAAAAAAPC/AvtcbcX+0i5AAiIf9GxWPSnAAAAAACAAAAD8/AD8AAIAAAAAAADwvwLT3uALk4kqQAKIhVrTvMMmwAAAAAAYAAAA/PwA/AACAAAAAAAA8L8CelioNc0bKUACu7iNBvCWJ8AAAAAAGAAAAPz8APwAAgAAAAAAAPC/AmWqYFRS1zBAAiIf9GxWPSnAAAAAAAERAAAA/PwA/AACAAAAAAAA8L8Cak3zjlNUM0AC7uvAOSNqKMAAAAAAAREAAAD8/AD8AAIAAAAAAADwvwI+eVioNS0pQAJYyjLEsY4qwAAAAAAsAAQBZQQAAAAAAAAAAAQIAWUEAAAAAAAAAAAIDAFlCAwAAAAAAAAADBABZQQAAAAAAAAAABAUAWUICAAAAAAAAAAUGAFlBAAAAAAAAAAAGBwBZQgIAAAAAAAAABwIAWUEAAAAAAAAAAAQIAFlBAAAAAAAAAAAICQBZQQAAAAAAAAAAAAoAWUEAAAAAAAAAAAAAAAA</t>
        </r>
      </text>
    </comment>
    <comment ref="A1775" authorId="0" shapeId="0" xr:uid="{E13E9127-16C5-42F4-8F15-69BA24E2313B}">
      <text>
        <r>
          <rPr>
            <sz val="9"/>
            <color indexed="81"/>
            <rFont val="MS P ゴシック"/>
            <family val="3"/>
            <charset val="128"/>
          </rPr>
          <t>Insight iXlW00001C0001775R0585476093S00003548P01360LAocjBAQBF1NjaVRlZ2ljLmRhdGEuTW9sZWN1bGUBbwF/ARJTY2lUZWdpYy5Nb2xlY3VsZQAAAQFkAv5qAQAAAAIAAgESGAAAAPz8APwAAgAAAAAAAPC/AqQBvAUSJDpAAusENBE2lEjAAAAAABgAAAD8/AD8AAIAAAAAAADwvwJPQBNhwyM6QALZX3ZPHv5IwAAAAAAYAAAA/PwA/AACAAAAAAAA8L8CmG4Sg8DaOkACNKK0N/gyScAAAAAAGAAAAPz8APwAAgAAAAAAAPC/AhkEVg4tkjtAAueMKO0N/kjAAAAAABgAAAD8/AD8AAIAAAAAAADwvwKM22gAb5E7QALr4jYawJNIwAAAAAAYAAAA/PwA/AACAAAAAAAA8L8CmUwVjEraOkACV32utmJfSMAAAAAAGAAAAPz8APwAAgAAAAAAAPC/Ardif9k9STxAAm1Wfa62MknAAAAAABwAAAD8/AD8AAIAAAAAAADwvwLT3uALk0k8QAIH8BZIUJxJwAAAAAAYAAAA/PwA/AACAAAAAAAA8L8CcT0K16MAPUACjblrCfnQScAAAAAAGAAAAPz8APwAAgAAAAAAAPC/AopBYOXQkjtAAhvAWyBB0UnAAAAAABgAAAD8/AD8AAIAAAAAAADwvwI5RUdy+f88QAJahjjWxf1IwAAAAAAgAAAA/PwA/AACAAAAAAAA8L8C16NwPQq3PUAC4E+Nl24yScAAAAAAIAAAAPz8APwAAgAAAAAAAPC/Ah3J5T+k/zxAAsDsnjwslEjAAAAAABgAAAD8/AD8AAIAAAAAAADwvwKWQ4ts52s5QAJgdk8eFjJJwAAAAAAkAAAA/PwA/AACAAAAAAAA8L8CoImw4em1OEACP8bctYT8SMAAAAAAJAAAAPz8APwAAgAAAAAAAPC/ArhAguLHaDlAApayDHGsm0nAAAAAACQAAAD8/AD8AAIAAAAAAADwvwJOYhBYObQ4QAKu2F92T2ZJwAAAAAABEQAAAPz8APwAAgAAAAAAAPC/Apt3nKIjCTxAAjPEsS5uS0rAAAAAAAERAAQBZQgIAAAAAAAAAAQIAWUEAAAAAAAAAAAIDAFlCAgAAAAAAAAADBABZQQAAAAAAAAAABAUAWUICAAAAAAAAAAUAAFlBAAAAAAAAAAAGAwBZQQAAAAAAAAAABgcAWUEAAAAAAAAAAAcIAFlBAAAAAAAAAAAHCQBZQQAAAAAAAAAABgoAWUEAAAAAAAAAAAoLAFlBAAAAAAAAAAAKDABZQgAAAAAAAAAAAQ0AWUEAAAAAAAAAAA0OAFlBAAAAAAAAAAANDwBZQQAAAAAAAAAADQBEAFlBAAAAAAAAAAAAAAAAA==</t>
        </r>
      </text>
    </comment>
    <comment ref="A1776" authorId="0" shapeId="0" xr:uid="{D6FE455B-DC60-4B55-B812-BE656DA64E3C}">
      <text>
        <r>
          <rPr>
            <sz val="9"/>
            <color indexed="81"/>
            <rFont val="MS P ゴシック"/>
            <family val="3"/>
            <charset val="128"/>
          </rPr>
          <t>Insight iXlW00001C0001776R0585476093S00003550P01176LAocjBAQBF1NjaVRlZ2ljLmRhdGEuTW9sZWN1bGUBbwF/ARJTY2lUZWdpYy5Nb2xlY3VsZQAAAQFkAv5qAQAAAAIAAjwYAAAA/PwA/AACAAAAAAAA8L8CeJyiI7m8KUACWvW52oq9MMAAAAAAHAAAAPz8APwAAgAAAAAAAPC/At4CCYofYytAAlr1udqKvTDAAAAAABwAAAD8/AD8AAIAAAAAAADwvwKfPCzUmuYrQALT3uALk+kvwAAAAAAcAAAA/PwA/AACAAAAAAAA8L8Cq8/VVuyPKkACqvHSTWLwLsAAAAAAGAAAAPz8APwAAgAAAAAAAPC/ApchjnVxOylAAtPe4AuT6S/AAAAAABgAAAD8/AD8AAIAAAAAAADwvwImdQKaCFssQAK4rwPnjGgxwAAAAAAYAAAA/PwA/AACAAAAAAAA8L8CYVRSJ6CpJ0ACSb99HThnL8AAAAAAIAAAAPz8APwAAgAAAAAAAPC/Aoxs5/upUSdAAu7rwDkjyi3AAAAAACAAAAD8/AD8AAIAAAAAAADwvwIdWmQ7328mQAIbL90kBkEwwAAAAAAYAAAA/PwA/AACAAAAAAAA8L8CIbByaJGtK0ACKVyPwvUoMsAAAAAAGAAAAPz8APwAAgAAAAAAAPC/Ak+vlGWIoyxAAoj029eB0zLAAAAAABgAAAD8/AD8AAIAAAAAAADwvwK5jQbwFkguQAKt+lxtxb4ywAAAAAAYAAAA/PwA/AACAAAAAAAA8L8CoWez6nP1LkACPSzUmub9McAAAAAAGAAAAPz8APwAAgAAAAAAAPC/Aq7YX3ZP/i1AAm8Sg8DKUTHAAAAAACQAAAD8/AD8AAIAAAAAAADwvwJfmEwVjKouQALG/rJ78pAwwAAAAAABEAAEAWUEAAAAAAAAAAAECAFlBAAAAAAAAAAACAwBZQgIAAAAAAAAAAwQAWUEAAAAAAAAAAAQAAFlCAgAAAAAAAAABBQBZQQAAAAAAAAAABAYAWUEAAAAAAAAAAAYHAFlCAAAAAAAAAAAGCABZQQAAAAAAAAAABQkAWUIDAAAAAAAAAAUNAFlBAAAAAAAAAAAJCgBZQQAAAAAAAAAACgsAWUICAAAAAAAAAAsMAFlBAAAAAAAAAAAMDQBZQgIAAAAAAAAADQ4AWUEAAAAAAAAAAAAAAAA</t>
        </r>
      </text>
    </comment>
    <comment ref="A1777" authorId="0" shapeId="0" xr:uid="{740A199E-AC06-4A6D-AEEC-C82A93B11305}">
      <text>
        <r>
          <rPr>
            <sz val="9"/>
            <color indexed="81"/>
            <rFont val="MS P ゴシック"/>
            <family val="3"/>
            <charset val="128"/>
          </rPr>
          <t>Insight iXlW00001C0001777R0585476093S00003552P00932LAocjBAQBF1NjaVRlZ2ljLmRhdGEuTW9sZWN1bGUBbwF/ARJTY2lUZWdpYy5Nb2xlY3VsZQAAAQFkAv5qAQAAAAIAAjAYAAAA/PwA/AACAAAAAAAA8L8CF9nO91NzMEACDy2yne9PUcAAAAAAGAAAAPz8APwAAgAAAAAAAPC/AonS3uALczBAAtQrZRnihFHAAAAAABgAAAD8/AD8AAIAAAAAAADwvwILRiV1AioxQAIBTYQNT59RwAAAAAAYAAAA/PwA/AACAAAAAAAA8L8CxSCwcmjhMUACW0I+6NmEUcAAAAAAGAAAAPz8APwAAgAAAAAAAPC/Av+ye/Kw4DFAAg+cM6K0T1HAAAAAABgAAAD8/AD8AAIAAAAAAADwvwIMJCh+jCkxQAJFaW/whTVRwAAAAAAYAAAA/PwA/AACAAAAAAAA8L8Cu0kMAiuXMkAC6Ugu/yE1UcAAAAAAGAAAAPz8APwAAgAAAAAAAPC/Alg5tMh2TjNAApDC9ShcT1HAAAAAABwAAAD8/AD8AAIAAAAAAADwvwLbiv1l9wQ0QAJpb/CFyTRRwAAAAAAkAAAA/PwA/AACAAAAAAAA8L8CoKut2F92L0ACGLfRAN6eUcAAAAAAAREAAAD8/AD8AAIAAAAAAADwvwKgq63YX3YvQAIwTKYKRjVRwAAAAAABEQAAAPz8APwAAgAAAAAAAPC/Av7UeOkmwTNAAgAAAAAAgFHAAAAAACwABAFlCAgAAAAAAAAABAgBZQQAAAAAAAAAAAgMAWUICAAAAAAAAAAMEAFlBAAAAAAAAAAAEBQBZQgIAAAAAAAAABQAAWUEAAAAAAAAAAAQGAFlBAAAAAAAAAAAGBwBZQQAAAAAAAAAABwgAWUEAAAAAAAAAAAEJAFlBAAAAAAAAAAAACgBZQQAAAAAAAAAAAAAAAA=</t>
        </r>
      </text>
    </comment>
    <comment ref="A1778" authorId="0" shapeId="0" xr:uid="{04176C34-C5D6-4316-83F8-8E4E0C574B7A}">
      <text>
        <r>
          <rPr>
            <sz val="9"/>
            <color indexed="81"/>
            <rFont val="MS P ゴシック"/>
            <family val="3"/>
            <charset val="128"/>
          </rPr>
          <t>Insight iXlW00001C0001778R0585476093S00003554P01000LAocjBAQBF1NjaVRlZ2ljLmRhdGEuTW9sZWN1bGUBbwF/ARJTY2lUZWdpYy5Nb2xlY3VsZQAAAQFkAv5qAQAAAAIAAjQYAAAA/PwA/AACAAAAAAAA8L8CeAskKH4MAUACkDF3LSEf+z8AAAAAGAAAAPz8APwAAgAAAAAAAPC/AhKlvcEXpgdAApAxdy0hH/s/AAAAACQAAAD8/AD8AAIAAAAAAADwvwKamZmZmZkGQAJU46WbxCAMQAAAAAAYAAAA/PwA/AACAAAAAAAA8L8CHcnlP6TfE0ACiBbZzvfTCEAAAAAAGAAAAPz8APwAAgAAAAAAAPC/Ah3J5T+k3xNAAu58PzVeOgJAAAAAABgAAAD8/AD8AAIAAAAAAADwvwJrvHSTGAQRQAJCYOXQItv9PwAAAAAYAAAA/PwA/AACAAAAAAAA8L8COIlBYOVQDEAC7nw/NV46AkAAAAAAGAAAAPz8APwAAgAAAAAAAPC/AjiJQWDlUAxAAogW2c730whAAAAAABgAAAD8/AD8AAIAAAAAAADwvwJrvHSTGAQRQAJU46WbxCAMQAAAAAAcAAAA/PwA/AACAAAAAAAA8L8CV32utmJ/+z8Ci/1l9+Rh7z8AAAAAJAAAAPz8APwAAgAAAAAAAPC/AuzAOSNKuxZAAlTjpZvEIAxAAAAAACQAAAD8/AD8AAIAAAAAAADwvwJrvHSTGAQRQAIPLbKd76fwPwAAAAABEQAAAPz8APwAAgAAAAAAAPC/AgpoImx4+gRAAtGzWfW52sI/AAAAADAEAAFlBAAAAAAAAAAAGAQBZQQAAAAAAAAAABwIAWUEAAAAAAAAAAAQDAFlBAAAAAAAAAAAIAwBZQgIAAAAAAAAABQQAWUICAAAAAAAAAAYFAFlBAAAAAAAAAAAHBgBZQgIAAAAAAAAACAcAWUEAAAAAAAAAAAAJAFlBAAAAAAAAAAADCgBZQQAAAAAAAAAABQsAWUEAAAAAAAAAAAAAAAA</t>
        </r>
      </text>
    </comment>
    <comment ref="A1779" authorId="0" shapeId="0" xr:uid="{51A89005-162C-4B0F-896C-DFC6927B7E95}">
      <text>
        <r>
          <rPr>
            <sz val="9"/>
            <color indexed="81"/>
            <rFont val="MS P ゴシック"/>
            <family val="3"/>
            <charset val="128"/>
          </rPr>
          <t>Insight iXlW00001C0001779R0585476093S00003556P01000LAocjBAQBF1NjaVRlZ2ljLmRhdGEuTW9sZWN1bGUBbwF/ARJTY2lUZWdpYy5Nb2xlY3VsZQAAAQFkAv5qAQAAAAIAAjQYAAAA/PwA/AACAAAAAAAA8L8Cnu+nxks3/z8CDJOpglEpVcAAAAAAGAAAAPz8APwAAgAAAAAAAPC/AlLaG3xhMv8/AtKRXP5DXlXAAAAAABgAAAD8/AD8AAIAAAAAAADwvwJwXwfOGVEFQAL/snvysHhVwAAAAAAYAAAA/PwA/AACAAAAAAAA8L8CeAskKH4MC0ACWag1zTteVcAAAAAAGAAAAPz8APwAAgAAAAAAAPC/AhHHuriNBgtAAlvTvOMUKVXAAAAAABgAAAD8/AD8AAIAAAAAAADwvwJ3Tx4Wak0FQAKQoPgx5g5VwAAAAAAYAAAA/PwA/AACAAAAAAAA8L8Ck6mCUUldEEACNYC3QIIOVcAAAAAAGAAAAPz8APwAAgAAAAAAAPC/AgpoImx4OhNAAtv5fmq8KFXAAAAAABwAAAD8/AD8AAIAAAAAAADwvwIVrkfhehQWQAK1pnnHKQ5VwAAAAAAkAAAA/PwA/AACAAAAAAAA8L8Cw/UoXI/C8z8Cvw6cM6J4VcAAAAAAJAAAAPz8APwAAgAAAAAAAPC/AvJjzF1LyPM/Alhbsb/sDlXAAAAAACQAAAD8/AD8AAIAAAAAAADwvwL/snvysFAFQALMf0i/fa1VwAAAAAABEQAAAPz8APwAAgAAAAAAAPC/Aj2bVZ+rrRZAAs07TtGRhFXAAAAAADAABAFlCAgAAAAAAAAABAgBZQQAAAAAAAAAAAgMAWUICAAAAAAAAAAMEAFlBAAAAAAAAAAAEBQBZQgIAAAAAAAAABQAAWUEAAAAAAAAAAAQGAFlBAAAAAAAAAAAGBwBZQQAAAAAAAAAABwgAWUEAAAAAAAAAAAEJAFlBAAAAAAAAAAAACgBZQQAAAAAAAAAAAgsAWUEAAAAAAAAAAAAAAAA</t>
        </r>
      </text>
    </comment>
    <comment ref="A1780" authorId="0" shapeId="0" xr:uid="{0AAA615D-0418-474E-9FF7-2C48CDC864D3}">
      <text>
        <r>
          <rPr>
            <sz val="9"/>
            <color indexed="81"/>
            <rFont val="MS P ゴシック"/>
            <family val="3"/>
            <charset val="128"/>
          </rPr>
          <t>Insight iXlW00001C0001780R0585476093S00003558P00932LAocjBAQBF1NjaVRlZ2ljLmRhdGEuTW9sZWN1bGUBbwF/ARJTY2lUZWdpYy5Nb2xlY3VsZQAAAQFkAv5qAQAAAAIAAjAYAAAA/PwA/AACAAAAAAAA8L8C7Z48LNQaOEACmioYldStWMAAAAAAGAAAAPz8APwAAgAAAAAAAPC/Apjdk4eFGjhAAkqdgCbC4ljAAAAAABgAAAD8/AD8AAIAAAAAAADwvwKM22gAb9E4QAJ3vp8aL/1YwAAAAAAYAAAA/PwA/AACAAAAAAAA8L8CDXGsi9uIOUACg+LHmLviWMAAAAAAGAAAAPz8APwAAgAAAAAAAPC/AoBIv30diDlAAuhqK/aXrVjAAAAAABgAAAD8/AD8AAIAAAAAAADwvwKNuWsJ+dA4QAIeOGdEaZNYwAAAAAAYAAAA/PwA/AACAAAAAAAA8L8CrmnecYo+OkACwhcmUwWTWMAAAAAAGAAAAPz8APwAAgAAAAAAAPC/AvYoXI/C9TpAAhvAWyBBrVjAAAAAABwAAAD8/AD8AAIAAAAAAADwvwJANV66Saw7QAL0bFZ9rpJYwAAAAAAkAAAA/PwA/AACAAAAAAAA8L8CV32utmLPOEACUdobfGFeWMAAAAAAJAAAAPz8APwAAgAAAAAAAPC/AlmoNc07PjpAArfRAN4C/VjAAAAAAAERAAAA/PwA/AACAAAAAAAA8L8C097gC5PJO0ACQfFjzF3XWMAAAAAALAAEAWUICAAAAAAAAAAECAFlBAAAAAAAAAAACAwBZQgIAAAAAAAAAAwQAWUEAAAAAAAAAAAQFAFlCAgAAAAAAAAAFAABZQQAAAAAAAAAABAYAWUEAAAAAAAAAAAYHAFlBAAAAAAAAAAAHCABZQQAAAAAAAAAABQkAWUEAAAAAAAAAAAMKAFlBAAAAAAAAAAAAAAAAA==</t>
        </r>
      </text>
    </comment>
    <comment ref="A1781" authorId="0" shapeId="0" xr:uid="{1D2089AB-07CA-4828-BF2C-1FA2D517FD94}">
      <text>
        <r>
          <rPr>
            <sz val="9"/>
            <color indexed="81"/>
            <rFont val="MS P ゴシック"/>
            <family val="3"/>
            <charset val="128"/>
          </rPr>
          <t>Insight iXlW00001C0001781R0585476093S00003560P01128LAocjBAQBF1NjaVRlZ2ljLmRhdGEuTW9sZWN1bGUBbwF/ARJTY2lUZWdpYy5Nb2xlY3VsZQAAAQFkAv5qAQAAAAIAAjwYAAAA/PwA/AACAAAAAAAA8L8CNYC3QILCI0ACdLUV+8uOKcAAAAAAGAAAAPz8APwAAgAAAAAAAPC/Am7F/rJ78h5AAkymCkYlFSfAAAAAABgAAAD8/AD8AAIAAAAAAADwvwIbwFsgQfEeQAIGEhQ/xrwowAAAAAAcAAAA/PwA/AACAAAAAAAA8L8Cnzws1JrmIEACchsN4C2QKcAAAAAAGAAAAPz8APwAAgAAAAAAAPC/AqFns+pzVSJAAj/G3LWEvCjAAAAAABgAAAD8/AD8AAIAAAAAAADwvwKHFtnO91MiQAJQHhZqTRMnwAAAAAAYAAAA/PwA/AACAAAAAAAA8L8Cofgx5q7lIEAC/Yf029dBJsAAAAAAHAAAAPz8APwAAgAAAAAAAPC/AgJNhA1PLyVAAvA4RUdyuSjAAAAAABgAAAD8/AD8AAIAAAAAAADwvwIgY+5aQp4mQALuDb4wmYopwAAAAAAYAAAA/PwA/AACAAAAAAAA8L8CTvOOU3TkIEAClyGOdXGbJMAAAAAAJAAAAPz8APwAAgAAAAAAAPC/AjojSnuDTyJAAp5eKcsQxyPAAAAAACQAAAD8/AD8AAIAAAAAAADwvwLuDb4wmeoeQAKBlUOLbMcjwAAAAAAkAAAA/PwA/AACAAAAAAAA8L8Cq2BUUifgIEACMLsnDwv1IsAAAAAAAREAAAD8/AD8AAIAAAAAAADwvwKbd5yiI3klQAL8qfHSTQIrwAAAAAABEQAAAPz8APwAAgAAAAAAAPC/AmrecYqOhCBAAvyp8dJNAivAAAAAADQECAFlCAgAAAAAAAAACAwBZQQAAAAAAAAAAAwQAWUICAAAAAAAAAAQFAFlBAAAAAAAAAAAFBgBZQgIAAAAAAAAABgEAWUEAAAAAAAAAAAQAAFlBAAAAAAAAAAAABwBZQQAAAAAAAAAABwgAWUEAAAAAAAAAAAYJAFlBAAAAAAAAAAAJCgBZQQAAAAAAAAAACQsAWUEAAAAAAAAAAAkMAFlBAAAAAAAAAAAAAAAAA==</t>
        </r>
      </text>
    </comment>
    <comment ref="A1782" authorId="0" shapeId="0" xr:uid="{EDE36EED-F582-493A-A8A8-FF8D825D5811}">
      <text>
        <r>
          <rPr>
            <sz val="9"/>
            <color indexed="81"/>
            <rFont val="MS P ゴシック"/>
            <family val="3"/>
            <charset val="128"/>
          </rPr>
          <t>Insight iXlW00001C0001782R0585476093S00003562P01128LAocjBAQBF1NjaVRlZ2ljLmRhdGEuTW9sZWN1bGUBbwF/ARJTY2lUZWdpYy5Nb2xlY3VsZQAAAQFkAv5qAQAAAAIAAjwkAAAA/PwA/AACAAAAAAAA8L8CkQ96NqueIEACtFn1udqK/D8AAAAAGAAAAPz8APwAAgAAAAAAAPC/ApEPejarniBAAgJNhA1Pr+4/AAAAACQAAAD8/AD8AAIAAAAAAADwvwJVUiegifAdQAICTYQNT6/uPwAAAAAkAAAA/PwA/AACAAAAAAAA8L8C93XgnBFFIkACAk2EDU+v7j8AAAAAGAAAAPz8APwAAgAAAAAAAPC/ApEPejarniBAAmyad5yiI8E/AAAAABwAAAD8/AD8AAIAAAAAAADwvwLqlbIMcQwiQAIxmSoYldTRvwAAAAAYAAAA/PwA/AACAAAAAAAA8L8C6pWyDHEMIkACgNk9eVio8b8AAAAAGAAAAPz8APwAAgAAAAAAAPC/ApEPejarniBAAhlz1xLyQfi/AAAAABgAAAD8/AD8AAIAAAAAAADwvwJTJ6CJsGEeQAKA2T15WKjxvwAAAAAYAAAA/PwA/AACAAAAAAAA8L8CUyegibBhHkACMZkqGJXU0b8AAAAAGAAAAPz8APwAAgAAAAAAAPC/AoQvTKYKhhtAAmyad5yiI8E/AAAAABwAAAD8/AD8AAIAAAAAAADwvwK1N/jCZKoYQAIxmSoYldTRvwAAAAAYAAAA/PwA/AACAAAAAAAA8L8CAiuHFtnOFUACbJp3nKIjwT8AAAAAAREAAAD8/AD8AAIAAAAAAADwvwLUvOMUHckPQALp2az6XG3vvwAAAAABEQAAAPz8APwAAgAAAAAAAPC/Aj2bVZ+r7RJAAvVsVn2utu6/AAAAADQABAFlBAAAAAAAAAAABAgBZQQAAAAAAAAAAAQMAWUEAAAAAAAAAAAEEAFlBAAAAAAAAAAAEBQBZQQAAAAAAAAAABQYAWUICAAAAAAAAAAYHAFlBAAAAAAAAAAAHCABZQgIAAAAAAAAABAkAWUIDAAAAAAAAAAgJAFlBAAAAAAAAAAAJCgBZQQAAAAAAAAAACgsAWUEAAAAAAAAAAAsMAFlBAAAAAAAAAAAAAAAAA==</t>
        </r>
      </text>
    </comment>
    <comment ref="A1783" authorId="0" shapeId="0" xr:uid="{2B6AE8ED-4D89-458B-A423-55C3FEC2D5F8}">
      <text>
        <r>
          <rPr>
            <sz val="9"/>
            <color indexed="81"/>
            <rFont val="MS P ゴシック"/>
            <family val="3"/>
            <charset val="128"/>
          </rPr>
          <t>Insight iXlW00001C0001783R0585476093S00003564P01128LAocjBAQBF1NjaVRlZ2ljLmRhdGEuTW9sZWN1bGUBbwF/ARJTY2lUZWdpYy5Nb2xlY3VsZQAAAQFkAv5qAQAAAAIAAjwYAAAA/PwA/AACAAAAAAAA8L8Ck8t/SL+NPEAC/0P67eswP8AAAAAAGAAAAPz8APwAAgAAAAAAAPC/Apt3nKIjaTpAAjJ3LSEf9D3AAAAAABwAAAD8/AD8AAIAAAAAAADwvwJGtvP91Gg6QAIPLbKd78c+wAAAAAAYAAAA/PwA/AACAAAAAAAA8L8Cj+TyH9IfO0AC/vZ14JwxP8AAAAAAGAAAAPz8APwAAgAAAAAAAPC/AhB6Nqs+1ztAAiuHFtnOxz7AAAAAABgAAAD8/AD8AAIAAAAAAADwvwKDUUmdgNY7QAJteHqlLPM9wAAAAAAYAAAA/PwA/AACAAAAAAAA8L8CkML1KFwfO0ACQ61p3nGKPcAAAAAAGAAAAPz8APwAAgAAAAAAAPC/ArHh6ZWyjDxAAkeU9gZfiD3AAAAAABwAAAD8/AD8AAIAAAAAAADwvwKx4emVsow8QAL9GHPXEgJAwAAAAAAYAAAA/PwA/AACAAAAAAAA8L8CF0hQ/BhDPUACyeU/pN82QMAAAAAAJAAAAPz8APwAAgAAAAAAAPC/AmpN845TRD1AAnE9Ctej8D3AAAAAACQAAAD8/AD8AAIAAAAAAADwvwJ4CyQofow8QAJpke18P7U8wAAAAAAkAAAA/PwA/AACAAAAAAAA8L8CppvEILBCPUACIo51cRsdPcAAAAAAAREAAAD8/AD8AAIAAAAAAADwvwJos+pztYU7QAJMpgpGJRVAwAAAAAABEQAAAPz8APwAAgAAAAAAAPC/AgAAAAAAQDpAApt3nKIjyT/AAAAAADQECAFlCAgAAAAAAAAACAwBZQQAAAAAAAAAAAwQAWUICAAAAAAAAAAQFAFlBAAAAAAAAAAAFBgBZQgIAAAAAAAAABgEAWUEAAAAAAAAAAAQAAFlBAAAAAAAAAAAFBwBZQQAAAAAAAAAAAAgAWUEAAAAAAAAAAAgJAFlBAAAAAAAAAAAHCgBZQQAAAAAAAAAABwsAWUEAAAAAAAAAAAcMAFlBAAAAAAAAAAAAAAAAA==</t>
        </r>
      </text>
    </comment>
    <comment ref="A1784" authorId="0" shapeId="0" xr:uid="{88BD0F8E-ECFE-447B-A960-636DC8DDDD11}">
      <text>
        <r>
          <rPr>
            <sz val="9"/>
            <color indexed="81"/>
            <rFont val="MS P ゴシック"/>
            <family val="3"/>
            <charset val="128"/>
          </rPr>
          <t>Insight iXlW00001C0001784R0585476093S00003566P01128LAocjBAQBF1NjaVRlZ2ljLmRhdGEuTW9sZWN1bGUBbwF/ARJTY2lUZWdpYy5Nb2xlY3VsZQAAAQFkAv5qAQAAAAIAAjwYAAAA/PwA/AACAAAAAAAA8L8CT6+UZYhjNkACDeAtkKCYQsAAAAAAHAAAAPz8APwAAgAAAAAAAPC/AlfsL7snPzRAAvyp8dJN+kHAAAAAABgAAAD8/AD8AAIAAAAAAADwvwICK4cW2T40QAL5MeauJWRCwAAAAAAYAAAA/PwA/AACAAAAAAAA8L8C9ihcj8L1NEACjblrCfmYQsAAAAAAGAAAAPz8APwAAgAAAAAAAPC/AlvTvOMUrTVAAmu8dJMYZELAAAAAABgAAAD8/AD8AAIAAAAAAADwvwLOqs/VVqw1QAKZKhiV1PlBwAAAAAAYAAAA/PwA/AACAAAAAAAA8L8C9wZfmEz1NEACzH9Iv33FQcAAAAAAHAAAAPz8APwAAgAAAAAAAPC/ApoqGJXUGTdAArN78rBQY0LAAAAAABgAAAD8/AD8AAIAAAAAAADwvwJTBaOSOtE3QAKPU3Qkl5dCwAAAAAAYAAAA/PwA/AACAAAAAAAA8L8CaLPqc7X1NEACmN2Th4UCQ8AAAAAAJAAAAPz8APwAAgAAAAAAAPC/AuQUHcnlPzRAAkjhehSuN0PAAAAAACQAAAD8/AD8AAIAAAAAAADwvwLNzMzMzKw1QAJyGw3gLThDwAAAAAAkAAAA/PwA/AACAAAAAAAA8L8C9I5TdCT3NEACTvOOU3RsQ8AAAAAAAREAAAD8/AD8AAIAAAAAAADwvwJos+pztSU3QAIa4lgXt8FBwAAAAAABEQAAAPz8APwAAgAAAAAAAPC/AjXvOEVHAjZAAk7RkVz+a0HAAAAAADQECAFlCAgAAAAAAAAACAwBZQQAAAAAAAAAAAwQAWUICAAAAAAAAAAQFAFlBAAAAAAAAAAAFBgBZQgIAAAAAAAAABgEAWUEAAAAAAAAAAAQAAFlBAAAAAAAAAAAABwBZQQAAAAAAAAAABwgAWUEAAAAAAAAAAAMJAFlBAAAAAAAAAAAJCgBZQQAAAAAAAAAACQsAWUEAAAAAAAAAAAkMAFlBAAAAAAAAAAAAAAAAA==</t>
        </r>
      </text>
    </comment>
    <comment ref="A1785" authorId="0" shapeId="0" xr:uid="{32F70514-40B9-44F6-A1E8-BAFE3827B594}">
      <text>
        <r>
          <rPr>
            <sz val="9"/>
            <color indexed="81"/>
            <rFont val="MS P ゴシック"/>
            <family val="3"/>
            <charset val="128"/>
          </rPr>
          <t>Insight iXlW00001C0001785R0585476093S00003568P01128LAocjBAQBF1NjaVRlZ2ljLmRhdGEuTW9sZWN1bGUBbwF/ARJTY2lUZWdpYy5Nb2xlY3VsZQAAAQFkAv5qAQAAAAIAAjwBEQAAAPz8APwAAgAAAAAAAPC/AtS84xQdyQ9AAunZrPpcbe+/AAAAACQAAAD8/AD8AAIAAAAAAADwvwK8BRIUP4YYQAKQMXctIR/mvwAAAAAkAAAA/PwA/AACAAAAAAAA8L8CvAUSFD+GGEACW9O84xQdwT8AAAAAJAAAAPz8APwAAgAAAAAAAPC/Aov9ZffkYRtAAmIyVTAqqfG/AAAAABgAAAD8/AD8AAIAAAAAAADwvwKL/WX35GEbQAK5/If029fRvwAAAAAYAAAA/PwA/AACAAAAAAAA8L8CBoGVQ4uMIEACNs07TtGRAUAAAAAAGAAAAPz8APwAAgAAAAAAAPC/Au58PzVe+iFAAj2bVZ+rre4/AAAAABgAAAD8/AD8AAIAAAAAAADwvwLufD81XvohQAJb07zjFB3BPwAAAAAcAAAA/PwA/AACAAAAAAAA8L8CBoGVQ4uMIEACufyH9NvX0b8AAAAAGAAAAPz8APwAAgAAAAAAAPC/Alr1udqKPR5AAlvTvOMUHcE/AAAAABgAAAD8/AD8AAIAAAAAAADwvwJa9bnaij0eQAI9m1Wfq63uPwAAAAAYAAAA/PwA/AACAAAAAAAA8L8CBoGVQ4uMIEACOGdEaW/w9T8AAAAAHAAAAPz8APwAAgAAAAAAAPC/Au58PzVe+iFAAgOaCBue3gRAAAAAABgAAAD8/AD8AAIAAAAAAADwvwLufD81XvohQAKcM6K0N3gLQAAAAAABEQAAAPz8APwAAgAAAAAAAPC/Ap/Nqs/VFhRAAtS84xQdyfC/AAAAADQQBAFlBAAAAAAAAAAAEAgBZQQAAAAAAAAAABAMAWUEAAAAAAAAAAAcGAFlBAAAAAAAAAAAIBwBZQgIAAAAAAAAACQQAWUEAAAAAAAAAAAkIAFlBAAAAAAAAAAAKCQBZQgMAAAAAAAAACwUAWUEAAAAAAAAAAAsGAFlCAwAAAAAAAAALCgBZQQAAAAAAAAAABQwAWUEAAAAAAAAAAAwNAFlBAAAAAAAAAAAAAAAAA==</t>
        </r>
      </text>
    </comment>
    <comment ref="A1786" authorId="0" shapeId="0" xr:uid="{00CB6C8C-4635-43AE-8EA6-517F831FEB3F}">
      <text>
        <r>
          <rPr>
            <sz val="9"/>
            <color indexed="81"/>
            <rFont val="MS P ゴシック"/>
            <family val="3"/>
            <charset val="128"/>
          </rPr>
          <t>Insight iXlW00001C0001786R0585476093S00003570P01144LAocjBAQBF1NjaVRlZ2ljLmRhdGEuTW9sZWN1bGUBbwF/ARJTY2lUZWdpYy5Nb2xlY3VsZQAAAQFkAv5qAQAAAAIAAjwYAAAA/PwA/AACAAAAAAAA8L8CHVpkO99P8D8C2xt8YTK9SMAAAAAAGAAAAPz8APwAAgAAAAAAAPC/AkHxY8xdS/A/Asl2vp8aJ0nAAAAAABgAAAD8/AD8AAIAAAAAAADwvwJfKcsQx7r7PwJd/kP67VtJwAAAAAAYAAAA/PwA/AACAAAAAAAA8L8CuECC4seYA0AC16NwPQonScAAAAAAGAAAAPz8APwAAgAAAAAAAPC/AonS3uALkwNAAtv5fmq8vEjAAAAAABgAAAD8/AD8AAIAAAAAAADwvwJsCfmgZ7P7PwLjNhrAW4hIwAAAAAAYAAAA/PwA/AACAAAAAAAA8L8CqTXNO05RCUAC+g/pt69bScAAAAAAHAAAAPz8APwAAgAAAAAAAPC/AogW2c73UwlAAvcGX5hMxUnAAAAAABgAAAD8/AD8AAIAAAAAAADwvwJ4CyQofgwPQAK2FfvL7vlJwAAAAAAYAAAA/PwA/AACAAAAAAAA8L8CdQKaCBueA0ACp3nHKTr6ScAAAAAAGAAAAPz8APwAAgAAAAAAAPC/ArtJDAIrBw9AAuY/pN++JknAAAAAACAAAAD8/AD8AAIAAAAAAADwvwI6tMh2vl8SQAIJrBxaZFtJwAAAAAAgAAAA/PwA/AACAAAAAAAA8L8C3GgAb4EED0ACTaYKRiW9SMAAAAAAJAAAAPz8APwAAgAAAAAAAPC/AsB9HThnRAlAAskHPZtVh0jAAAAAAAERAAAA/PwA/AACAAAAAAAA8L8Cw2SqYFTSCEACf2q8dJNISsAAAAAAOAAEAWUICAAAAAAAAAAECAFlBAAAAAAAAAAACAwBZQgIAAAAAAAAAAwQAWUEAAAAAAAAAAAQFAFlCAgAAAAAAAAAFAABZQQAAAAAAAAAABgMAWUEAAAAAAAAAAAYHAFlBAAAAAAAAAAAHCABZQQAAAAAAAAAABwkAWUEAAAAAAAAAAAYKAFlBAAAAAAAAAAAKCwBZQQAAAAAAAAAACgwAWUIAAAAAAAAAAAQNAFlBAAAAAAAAAAAAAAAAA==</t>
        </r>
      </text>
    </comment>
    <comment ref="A1787" authorId="0" shapeId="0" xr:uid="{CA5E43E4-2D6F-466E-B01A-A137F36CCCC6}">
      <text>
        <r>
          <rPr>
            <sz val="9"/>
            <color indexed="81"/>
            <rFont val="MS P ゴシック"/>
            <family val="3"/>
            <charset val="128"/>
          </rPr>
          <t>Insight iXlW00001C0001787R0585476093S00003572P01360LAocjBAQBF1NjaVRlZ2ljLmRhdGEuTW9sZWN1bGUBbwF/ARJTY2lUZWdpYy5Nb2xlY3VsZQAAAQFkAv5qAQAAAAIAAgESGAAAAPz8APwAAgAAAAAAAPC/AuBPjZduEgRAAucdp+hIfkzAAAAAABgAAAD8/AD8AAIAAAAAAADwvwI5RUdy+Q8EQAKASL99HehMwAAAAAAYAAAA/PwA/AACAAAAAAAA8L8Cnl4pyxDHCUACFNBE2PAcTcAAAAAAGAAAAPz8APwAAgAAAAAAAPC/AlQFo5I6gQ9AAo91cRsN6EzAAAAAABgAAAD8/AD8AAIAAAAAAADwvwLswDkjSnsPQALo+6nx0n1MwAAAAAAYAAAA/PwA/AACAAAAAAAA8L8CpU5AE2HDCUACfq62Yn9JTMAAAAAAGAAAAPz8APwAAgAAAAAAAPC/ApVliGNdnBJAAk2EDU+vHE3AAAAAABwAAAD8/AD8AAIAAAAAAADwvwIEVg4tsp0SQAKS7Xw/NYZNwAAAAAAYAAAA/PwA/AACAAAAAAAA8L8C7zhFR3J5FUAC7Z48LNS6TcAAAAAAGAAAAPz8APwAAgAAAAAAAPC/AhHHuriNhg9AAnulLEMcu03AAAAAABgAAAD8/AD8AAIAAAAAAADwvwIRWDm0yHYVQAIBb4EExedMwAAAAAAgAAAA/PwA/AACAAAAAAAA8L8CGCZTBaNSGEACwH0dOGccTcAAAAAAIAAAAPz8APwAAgAAAAAAAPC/AqFns+pzdRVAArwFEhQ/fkzAAAAAABgAAAD8/AD8AAIAAAAAAADwvwIVHcnlP6T8PwJUdCSX/0hMwAAAAAAkAAAA/PwA/AACAAAAAAAA8L8CvCcPC7Wm/D8C9GxWfa7eS8AAAAAAJAAAAPz8APwAAgAAAAAAAPC/Atlfdk8eFvE/Ai/dJAaBfUzAAAAAACQAAAD8/AD8AAIAAAAAAADwvwKu2F92Tx7xPwJd/kP67RNMwAAAAAABEQAAAPz8APwAAgAAAAAAAPC/AkJg5dAi2+s/AjPEsS5uG03AAAAAAAERAAQBZQgIAAAAAAAAAAQIAWUEAAAAAAAAAAAIDAFlCAgAAAAAAAAADBABZQQAAAAAAAAAABAUAWUICAAAAAAAAAAUAAFlBAAAAAAAAAAAGAwBZQQAAAAAAAAAABgcAWUEAAAAAAAAAAAcIAFlBAAAAAAAAAAAHCQBZQQAAAAAAAAAABgoAWUEAAAAAAAAAAAoLAFlBAAAAAAAAAAAKDABZQgAAAAAAAAAAAA0AWUEAAAAAAAAAAA0OAFlBAAAAAAAAAAANDwBZQQAAAAAAAAAADQBEAFlBAAAAAAAAAAAAAAAAA==</t>
        </r>
      </text>
    </comment>
    <comment ref="A1788" authorId="0" shapeId="0" xr:uid="{3BED0CDB-9A45-410C-B532-71C0E107E410}">
      <text>
        <r>
          <rPr>
            <sz val="9"/>
            <color indexed="81"/>
            <rFont val="MS P ゴシック"/>
            <family val="3"/>
            <charset val="128"/>
          </rPr>
          <t>Insight iXlW00001C0001788R0585476093S00003574P01376LAocjBAQBF1NjaVRlZ2ljLmRhdGEuTW9sZWN1bGUBbwF/ARJTY2lUZWdpYy5Nb2xlY3VsZQAAAQFkAv5qAQAAAAIAAgESGAAAAPz8APwAAgAAAAAAAPC/Aoqw4emVsvY/ArHh6ZWyDARAAAAAABgAAAD8/AD8AAIAAAAAAADwvwJfKcsQx7oBQALNO07RkVwCQAAAAAAYAAAA/PwA/AACAAAAAAAA8L8CnMQgsHJoA0ACWvW52or99z8AAAAAGAAAAPz8APwAAgAAAAAAAPC/AuGcEaW9wQlAApqZmZmZmfQ/AAAAABwAAAD8/AD8AAIAAAAAAADwvwLlYaHWNG8OQAJd/kP67ev9PwAAAAAYAAAA/PwA/AACAAAAAAAA8L8CSHL5D+m3DEACgSbChqdXBUAAAAAAGAAAAPz8APwAAgAAAAAAAPC/At6Th4VaUwZAAnIbDeAtEAdAAAAAABgAAAD8/AD8AAIAAAAAAADwvwIPLbKd72cSQALm0CLb+X76PwAAAAAYAAAA/PwA/AACAAAAAAAA8L8Cr7Zif9m9FEACmUwVjErqAUAAAAAAGAAAAPz8APwAAgAAAAAAAPC/Aq5H4XoU7hdAAh/0bFZ9LgBAAAAAABgAAAD8/AD8AAIAAAAAAADwvwIW+8vuyUMaQAIQejarPtcEQAAAAAAYAAAA/PwA/AACAAAAAAAA8L8C78nDQq1pGUAC7nw/NV46C0AAAAAAGAAAAPz8APwAAgAAAAAAAPC/Aoc41sVtNBZAAlqGONbF7QxAAAAAABgAAAD8/AD8AAIAAAAAAADwvwIYldQJaOITQAKoxks3iUEIQAAAAAAkAAAA/PwA/AACAAAAAAAA8L8Cu0kMAivHGEACETY8vVKW8z8AAAAAIAAAAPz8APwAAgAAAAAAAPC/AmKh1jTvOPM/Aoj029eBcwpAAAAAACAAAAD8/AD8AAIAAAAAAADwvwKRfvs6cM7qPwKBt0CC4sf+PwAAAAABEQAAAPz8APwAAgAAAAAAAPC/AhFYObTI9g9AAmrecYqO5Ow/AAAAAAESAAQBZQQAAAAAAAAAAAQIAWUEAAAAAAAAAAAEGAFlBAAAAAAAAAAACAwBZQQAAAAAAAAAAAwQAWUEAAAAAAAAAAAQFAFlBAAAAAAAAAAAFBgBZQQAAAAAAAAAABAcAWUEAAAAAAAAAAAcIAFlBAAAAAAAAAAAICQBZQgMAAAAAAAAACQoAWUEAAAAAAAAAAAoLAFlCAgAAAAAAAAALDABZQQAAAAAAAAAADA0AWUICAAAAAAAAAA0IAFlBAAAAAAAAAAAJDgBZQQAAAAAAAAAAAA8AWUEAAAAAAAAAAAAARABZQgAAAAAAAAAAAAAAAA=</t>
        </r>
      </text>
    </comment>
    <comment ref="A1789" authorId="0" shapeId="0" xr:uid="{31333469-7514-4BE0-B90F-FF3ABCFCF211}">
      <text>
        <r>
          <rPr>
            <sz val="9"/>
            <color indexed="81"/>
            <rFont val="MS P ゴシック"/>
            <family val="3"/>
            <charset val="128"/>
          </rPr>
          <t>Insight iXlW00001C0001789R0585476093S00003576P00932LAocjBAQBF1NjaVRlZ2ljLmRhdGEuTW9sZWN1bGUBbwF/ARJTY2lUZWdpYy5Nb2xlY3VsZQAAAQFkAv5qAQAAAAIAAjAYAAAA/PwA/AACAAAAAAAA8L8CE/JBz2a1L0ACj1N0JJefLEAAAAAAHAAAAPz8APwAAgAAAAAAAPC/Atjw9EpZpjBAAsb+snvyMCxAAAAAABgAAAD8/AD8AAIAAAAAAADwvwJfKcsQxzoxQALRs1n1uVotQAAAAAAYDAAA/PwA/AACAAAAAAAA8L8CMQisHFoEMUACUfwYc9fyLkAAAAAAGAAAAPz8APwAAgAAAAAAAPC/ArmNBvAWODBAAh7J5T+kXy9AAAAAABgAAAD8/AD8AAIAAAAAAADwvwLcaABvgUQvQALc14FzRjQuQAAAAAAcAAAA/PwA/AACAAAAAAAA8L8CtoR80LOZMUACdLUV+8sOMEAAAAAAGAAAAPz8APwAAgAAAAAAAPC/AjEqqRPQZDJAAh8Wak3zri9AAAAAABgAAAD8/AD8AAIAAAAAAADwvwIooImw4fkyQAJBE2HD02swQAAAAAAgAAAA/PwA/AACAAAAAAAA8L8CQz7o2ayaMkACSHL5D+kXLkAAAAAAGAAAAPz8APwAAgAAAAAAAPC/AjPEsS5uYzFAAtBE2PD02jBAAAAAAAERAAAA/PwA/AACAAAAAAAA8L8Cm3ecoiMJMkAClyGOdXFbLUAAAAAALAAEAWUEAAAAAAAAAAAAFAFlBAAAAAAAAAAABAgBZQQAAAAAAAAAAAgMAWUEAAAAAAAAAAAMEAFlBAAAAAAAAAAAEBQBZQQAAAAAAAAAAAwYAWUEFAAAAAAAAAAYHAFlBAAAAAAAAAAAHCABZQQAAAAAAAAAABwkAWUIAAAAAAAAAAAYKAFlBAAAAAAAAAAAAAAAAA==</t>
        </r>
      </text>
    </comment>
    <comment ref="A1790" authorId="0" shapeId="0" xr:uid="{19090AF9-89C3-4F50-B26A-549019C84D39}">
      <text>
        <r>
          <rPr>
            <sz val="9"/>
            <color indexed="81"/>
            <rFont val="MS P ゴシック"/>
            <family val="3"/>
            <charset val="128"/>
          </rPr>
          <t>Insight iXlW00001C0001790R0585476093S00003578P01000LAocjBAQBF1NjaVRlZ2ljLmRhdGEuTW9sZWN1bGUBbwF/ARJTY2lUZWdpYy5Nb2xlY3VsZQAAAQFkAv5qAQAAAAIAAjQYAAAA/PwA/AACAAAAAAAA8L8CV32utmKvNUAC/DpwzogyK0AAAAAAHAAAAPz8APwAAgAAAAAAAPC/Al+6SQwCezZAAsBbIEHxwypAAAAAABgAAAD8/AD8AAIAAAAAAADwvwIeOGdEaQ83QAKvJeSDnu0rQAAAAAAYDAAA/PwA/AACAAAAAAAA8L8Ct9EA3gLZNkACveMUHcmFLUAAAAAAGAAAAPz8APwAAgAAAAAAAPC/AgYSFD/GDDZAAvw6cM6I8i1AAAAAABgAAAD8/AD8AAIAAAAAAADwvwK7uI0G8HY1QAJJv30dOMcsQAAAAAAcAAAA/PwA/AACAAAAAAAA8L8CdZMYBFZuN0ACx9y1hHywLkAAAAAAGAAAAPz8APwAAgAAAAAAAPC/AvA4RUdyOThAAv2H9NvXQS5AAAAAABgAAAD8/AD8AAIAAAAAAADwvwJYObTIds44QAJfmEwVjGovQAAAAAAgAAAA/PwA/AACAAAAAAAA8L8COpLLf0hvOEACJuSDns2qLEAAAAAAGAAAAPz8APwAAgAAAAAAAPC/AvLSTWIQODdAAjEIrBxaJDBAAAAAABgAAAD8/AD8AAIAAAAAAADwvwLLEMe6uM03QAJhw9MrZbkwQAAAAAABEQAAAPz8APwAAgAAAAAAAPC/Apt3nKIjOTlAAuQUHcnlHy5AAAAAADAABAFlBAAAAAAAAAAAABQBZQQAAAAAAAAAAAQIAWUEAAAAAAAAAAAIDAFlBAAAAAAAAAAADBABZQQAAAAAAAAAABAUAWUEAAAAAAAAAAAMGAFlBBQAAAAAAAAAGBwBZQQAAAAAAAAAABwgAWUEAAAAAAAAAAAcJAFlCAAAAAAAAAAAGCgBZQQAAAAAAAAAACgsAWUEAAAAAAAAAAAAAAAA</t>
        </r>
      </text>
    </comment>
    <comment ref="A1791" authorId="0" shapeId="0" xr:uid="{12CE1C37-59AE-47D1-917A-8107C146075C}">
      <text>
        <r>
          <rPr>
            <sz val="9"/>
            <color indexed="81"/>
            <rFont val="MS P ゴシック"/>
            <family val="3"/>
            <charset val="128"/>
          </rPr>
          <t>Insight iXlW00001C0001791R0585476093S00003580P01072LAocjBAQBF1NjaVRlZ2ljLmRhdGEuTW9sZWN1bGUBbwF/ARJTY2lUZWdpYy5Nb2xlY3VsZQAAAQFkAv5qAQAAAAIAAjgYAAAA/PwA/AACAAAAAAAA8L8CaZHtfD9FOkACCD2bVZ9rK0AAAAAAHAAAAPz8APwAAgAAAAAAAPC/AnHOiNLeEDtAAs1dS8gH/SpAAAAAABgAAAD8/AD8AAIAAAAAAADwvwIwTKYKRqU7QAK8Jw8LtSYsQAAAAAAYDAAA/PwA/AACAAAAAAAA8L8CAiuHFtluO0ACyuU/pN++LUAAAAAAGAAAAPz8APwAAgAAAAAAAPC/AlFrmnecojpAApayDHGsKy5AAAAAABgAAAD8/AD8AAIAAAAAAADwvwLNzMzMzAw6QALjNhrAWwAtQAAAAAAcAAAA/PwA/AACAAAAAAAA8L8CwOyePCwEPEACYVRSJ6DpLkAAAAAAGAAAAPz8APwAAgAAAAAAAPC/AgJNhA1PzzxAApj/kH77ei5AAAAAABgAAAD8/AD8AAIAAAAAAADwvwJqTfOOU2Q9QAL6D+m3r6MvQAAAAAAgAAAA/PwA/AACAAAAAAAA8L8CTaYKRiUFPUACMuauJeTjLEAAAAAAGAAAAPz8APwAAgAAAAAAAPC/AgTnjCjtzTtAAv9D+u3rQDBAAAAAABgAAAD8/AD8AAIAAAAAAADwvwLeJAaBlWM8QAL2udqK/dUwQAAAAAAYAAAA/PwA/AACAAAAAAAA8L8CyQc9m1UvPkACoYmw4ek1L0AAAAAAAREAAAD8/AD8AAIAAAAAAADwvwJmiGNd3DY8QAIdWmQ73y8tQAAAAAA0AAQBZQQAAAAAAAAAAAAUAWUEAAAAAAAAAAAECAFlBAAAAAAAAAAACAwBZQQAAAAAAAAAAAwQAWUEAAAAAAAAAAAQFAFlBAAAAAAAAAAADBgBZQQUAAAAAAAAABgcAWUEAAAAAAAAAAAcIAFlBAAAAAAAAAAAHCQBZQgAAAAAAAAAABgoAWUEAAAAAAAAAAAoLAFlBAAAAAAAAAAAIDABZQQAAAAAAAAAAAAAAAA=</t>
        </r>
      </text>
    </comment>
    <comment ref="A1792" authorId="0" shapeId="0" xr:uid="{408DE241-A06D-4F03-AABA-244E9887E6E5}">
      <text>
        <r>
          <rPr>
            <sz val="9"/>
            <color indexed="81"/>
            <rFont val="MS P ゴシック"/>
            <family val="3"/>
            <charset val="128"/>
          </rPr>
          <t>Insight iXlW00001C0001792R0585476093S00003582P00932LAocjBAQBF1NjaVRlZ2ljLmRhdGEuTW9sZWN1bGUBbwF/ARJTY2lUZWdpYy5Nb2xlY3VsZQAAAQFkAv5qAQAAAAIAAjAYAAAA/PwA/AACAAAAAAAA8L8C+1xtxf4yLkACBoGVQ4sYUEAAAAAAGAAAAPz8APwAAgAAAAAAAPC/AuBPjZduMi5AAoIExY8xx09AAAAAABgAAAD8/AD8AAIAAAAAAADwvwLjNhrAW6AvQAInwoanV5JPQAAAAAAYAAAA/PwA/AACAAAAAAAA8L8CLPaX3ZOHMEACdNcS8kHHT0AAAAAAGAAAAPz8APwAAgAAAAAAAPC/AmaIY13chjBAAgYSFD/GGFBAAAAAABgAAAD8/AD8AAIAAAAAAADwvwLl8h/Sb58vQALQRNjw9DJQQAAAAAAYAAAA/PwA/AACAAAAAAAA8L8CIR/0bFY9MUACLGUZ4lgzUEAAAAAAGAAAAPz8APwAAgAAAAAAAPC/Ar8OnDOi9DFAAoXrUbgeGVBAAAAAABwAAAD8/AD8AAIAAAAAAADwvwJCYOXQIqsyQAKrPldbsTNQQAAAAAAkAAAA/PwA/AACAAAAAAAA8L8CeXqlLEOcL0ACAAAAAABoUEAAAAAAGAAAAPz8APwAAgAAAAAAAPC/Am1Wfa62wixAAvvt68A5k09AAAAAAAERAAAA/PwA/AACAAAAAAAA8L8CNe84RUcyM0ACPE7RkVxmT0AAAAAALAAEAWUICAAAAAAAAAAECAFlBAAAAAAAAAAACAwBZQgIAAAAAAAAAAwQAWUEAAAAAAAAAAAQFAFlCAgAAAAAAAAAFAABZQQAAAAAAAAAABAYAWUEAAAAAAAAAAAYHAFlBAAAAAAAAAAAHCABZQQAAAAAAAAAABQkAWUEAAAAAAAAAAAEKAFlBAAAAAAAAAAAAAAAAA==</t>
        </r>
      </text>
    </comment>
    <comment ref="A1793" authorId="0" shapeId="0" xr:uid="{28E8DF3D-560A-4B30-9EE1-6D0B6C3573BE}">
      <text>
        <r>
          <rPr>
            <sz val="9"/>
            <color indexed="81"/>
            <rFont val="MS P ゴシック"/>
            <family val="3"/>
            <charset val="128"/>
          </rPr>
          <t>Insight iXlW00001C0001793R0585476093S00003584P01268LAocjBAQBF1NjaVRlZ2ljLmRhdGEuTW9sZWN1bGUBbwF/ARJTY2lUZWdpYy5Nb2xlY3VsZQAAAQFkAv5qAQAAAAIAAgEQGAAAAPz8APwAAgAAAAAAAPC/ApQYBFYO7RRAAp/Nqs/VVgNAAAAAABgAAAD8/AD8AAIAAAAAAADwvwKlTkATYQMVQAIeOGdEae8JQAAAAAAcAAAA/PwA/AACAAAAAAAA8L8C0ETY8PQKEkACSnuDL0wmAEAAAAAAGAAAAPz8APwAAgAAAAAAAPC/Al5LyAc92xRAAmRd3EYDePk/AAAAABgAAAD8/AD8AAIAAAAAAADwvwKuad5xis4XQAI/xty1hHwGQAAAAAAYAAAA/PwA/AACAAAAAAAA8L8CH/RsVn0uEkACK6kT0ERYDUAAAAAAGAAAAPz8APwAAgAAAAAAAPC/AlFrmnec4hdAAq7YX3ZPHg1AAAAAABgAAAD8/AD8AAIAAAAAAADwvwLp2az6XG0OQAKuad5xio4DQAAAAAAYAAAA/PwA/AACAAAAAAAA8L8CYHZPHhaqF0ACf/s6cM6I8j8AAAAAGAAAAPz8APwAAgAAAAAAAPC/AhKlvcEXphpAAq5p3nGKDgNAAAAAABgAAAD8/AD8AAIAAAAAAADwvwK4QILix5gOQAIPLbKd7ycKQAAAAAAYAAAA/PwA/AACAAAAAAAA8L8CXynLEMc6EkACZRniWBf3EUAAAAAAGAAAAPz8APwAAgAAAAAAAPC/At21hHzQ8xdAAiL99nXg3BFAAAAAACAAAAD8/AD8AAIAAAAAAADwvwK1yHa+n5oIQAJgdk8eFmoAQAAAAAAYAAAA/PwA/AACAAAAAAAA8L8CzH9Iv30dFUACHxZqTfOOE0AAAAAAHAAAAPz8APwAAgAAAAAAAPC/As3MzMzMjBpAAt9xio7k8vg/AAAAAAESAAQBZQQAAAAAAAAAAAAIAWUEAAAAAAAAAAAADAFlBAAAAAAAAAAAABABZQQAAAAAAAAAAAQUAWUICAAAAAAAAAAEGAFlBAAAAAAAAAAACBwBZQQAAAAAAAAAAAwgAWUEAAAAAAAAAAAQJAFlBAAAAAAAAAAAFCgBZQQAAAAAAAAAABQsAWUEAAAAAAAAAAAYMAFlCAgAAAAAAAAAHDQBZQgAAAAAAAAAACA8AWUEAAAAAAAAAAAsOAFlCAgAAAAAAAAAHCgBZQQAAAAAAAAAACQ8AWUEAAAAAAAAAAAwOAFlBAAAAAAAAAAAAAAAAA==</t>
        </r>
      </text>
    </comment>
    <comment ref="A1794" authorId="0" shapeId="0" xr:uid="{D0F745EB-16C6-402B-8BD2-EED19652B9C4}">
      <text>
        <r>
          <rPr>
            <sz val="9"/>
            <color indexed="81"/>
            <rFont val="MS P ゴシック"/>
            <family val="3"/>
            <charset val="128"/>
          </rPr>
          <t>Insight iXlW00001C0001794R0585476093S00003586P01320LAocjBAQBF1NjaVRlZ2ljLmRhdGEuTW9sZWN1bGUBbwF/ARJTY2lUZWdpYy5Nb2xlY3VsZQAAAQFkAv5qAQAAAAIAAgERGAgAAPz8APwAAgAAAAAAAPC/ApoIG55eKSJAAvhT46WbPE5AAAAAABgAAAD8/AD8AAIAAAAAAADwvwKY3ZOHhbogQAJFaW/whXFOQAAAAAAcAAAA/PwA/AACAAAAAAAA8L8Cz/dT46WbHkACeJyiI7k8TkAAAAAAGAAAAPz8APwAAgAAAAAAAPC/Apjdk4eFmh5AArRZ9bna0k1AAAAAABgAAAD8/AD8AAIAAAAAAADwvwI/xty1hLwgQAJZF7fRAJ5NQAAAAAAYAAAA/PwA/AACAAAAAAAA8L8C6pWyDHEsIkACJnUCmgjTTUAAAAAAHAAAAPz8APwAAgAAAAAAAPC/AvSOU3QklyNAAsRCrWnecU5AAAAAABgAAAD8/AD8AAIAAAAAAADwvwJF2PD0ShklQALm0CLb+UZOQAAAAAAcAAAA/PwA/AACAAAAAAAA8L8C3pOHhVozJkAC2s73U+OVTkAAAAAAGAAAAPz8APwAAgAAAAAAAPC/AqqCUUmdwCNAAgmKH2Pu2k5AAAAAABgAAAD8/AD8AAIAAAAAAADwvwIhQfFjzF0lQAINcayL2/BOQAAAAAAYAAAA/PwA/AACAAAAAAAA8L8CHcnlP6TfJUACvjCZKhhVT0AAAAAAGAAAAPz8APwAAgAAAAAAAPC/AjEqqRPQxCRAAsE5I0p7o09AAAAAABgAAAD8/AD8AAIAAAAAAADwvwKDUUmdgCYjQAI/6Nms+oxPQAAAAAAYAAAA/PwA/AACAAAAAAAA8L8Cnzws1JqmIkAC8YXJVMEoT0AAAAAAIAAAAPz8APwAAgAAAAAAAPC/Aqd5xyk6ciVAAp6AJsKG301AAAAAAAERAAAA/PwA/AACAAAAAAAA8L8Cat5xio6kI0AC54wo7Q2mTUAAAAAAARIABAFlBAAAAAAAAAAAABQBZQQAAAAAAAAAAAQIAWUEAAAAAAAAAAAIDAFlBAAAAAAAAAAADBABZQQAAAAAAAAAABAUAWUEAAAAAAAAAAAAGAFlBBQAAAAAAAAAGBwBZQQAAAAAAAAAABwgAWUEAAAAAAAAAAAgKAFlBAAAAAAAAAAAJBgBZQQAAAAAAAAAACQoAWUICAAAAAAAAAAoLAFlBAAAAAAAAAAALDABZQgIAAAAAAAAADA0AWUEAAAAAAAAAAA0OAFlCAgAAAAAAAAAOCQBZQQAAAAAAAAAABw8AWUIAAAAAAAAAAAAAAAA</t>
        </r>
      </text>
    </comment>
    <comment ref="A1795" authorId="0" shapeId="0" xr:uid="{103EC602-1362-4249-8C12-093BD01B8C41}">
      <text>
        <r>
          <rPr>
            <sz val="9"/>
            <color indexed="81"/>
            <rFont val="MS P ゴシック"/>
            <family val="3"/>
            <charset val="128"/>
          </rPr>
          <t>Insight iXlW00001C0001795R0585476093S00003588P01036LAocjBAQBF1NjaVRlZ2ljLmRhdGEuTW9sZWN1bGUBbwF/ARJTY2lUZWdpYy5Nb2xlY3VsZQAAAQFkAv5qAQAAAAIAAjQYAAAA/PwA/AACAAAAAAAA8L8CB/AWSFC8I0ACyeU/pN++I0AAAAAAGAAAAPz8APwAAgAAAAAAAPC/AgfwFkhQvCNAAmN/2T15GCJAAAAAABgAAAD8/AD8AAIAAAAAAADwvwLu68A5IyolQAIwTKYKRkUhQAAAAAAYAAAA/PwA/AACAAAAAAAA8L8C1udqK/aXJkACY3/ZPXkYIkAAAAAAGAAAAPz8APwAAgAAAAAAAPC/Atbnaiv2lyZAAsnlP6TfviNAAAAAABgAAAD8/AD8AAIAAAAAAADwvwLu68A5IyolQAL9GHPXEpIkQAAAAAAgAAAA/PwA/AACAAAAAAAA8L8CL26jAbwFKEACMEymCkZFIUAAAAAAGAAAAPz8APwAAgAAAAAAAPC/AhZqTfOOcylAAmN/2T15GCJAAAAAABgAAAD8/AD8AAIAAAAAAADwvwIWak3zjnMpQALJ5T+k374jQAAAAAAYAAAA/PwA/AACAAAAAAAA8L8CL26jAbwFKEAC/Rhz1xKSJEAAAAAAGAAAAPz8APwAAgAAAAAAAPC/Ai9uowG8BShAAmN/2T15OCZAAAAAACAAAAD8/AD8AAIAAAAAAADwvwLW52or9pcmQAIIPZtVnwsnQAAAAAAgAAAA/PwA/AACAAAAAAAA8L8CFmpN845zKUAClrIMcawLJ0AAAAAAOAAEAWUICAAAAAAAAAAECAFlBAAAAAAAAAAACAwBZQgIAAAAAAAAAAwQAWUEAAAAAAAAAAAQFAFlCAgAAAAAAAAAFAABZQQAAAAAAAAAAAwYAWUEAAAAAAAAAAAYHAFlBAAAAAAAAAAAHCABZQQAAAAAAAAAACAkAWUEAAAAAAAAAAAkEAFlBAAAAAAAAAAAJCgBZQQAAAAAAAAAACgsAWUIAAAAAAAAAAAoMAFlBAAAAAAAAAAAAAAAAA==</t>
        </r>
      </text>
    </comment>
    <comment ref="A1796" authorId="0" shapeId="0" xr:uid="{CA9B9F96-A395-4FFA-825F-56B54F138600}">
      <text>
        <r>
          <rPr>
            <sz val="9"/>
            <color indexed="81"/>
            <rFont val="MS P ゴシック"/>
            <family val="3"/>
            <charset val="128"/>
          </rPr>
          <t>Insight iXlW00001C0001796R0585476093S00003590P01320LAocjBAQBF1NjaVRlZ2ljLmRhdGEuTW9sZWN1bGUBbwF/ARJTY2lUZWdpYy5Nb2xlY3VsZQAAAQFkAv5qAQAAAAIAAgERGAwAAPz8APwAAgAAAAAAAPC/AkZHcvkPqTtAAt6Th4Va91BAAAAAABgAAAD8/AD8AAIAAAAAAADwvwLFsS5uo/E6QAKEns2qzxFRQAAAAAAcAAAA/PwA/AACAAAAAAAA8L8CJQaBlUM7OkACHjhnRGn3UEAAAAAAGAAAAPz8APwAAgAAAAAAAPC/AtBE2PD0OjpAAlg5tMh2wlBAAAAAABgAAAD8/AD8AAIAAAAAAADwvwIYJlMFo/I6QAIrGJXUCahQQAAAAAAYAAAA/PwA/AACAAAAAAAA8L8C7g2+MJmqO0ACEce6uI3CUEAAAAAAHAAAAPz8APwAAgAAAAAAAPC/AnKKjuTyXzxAAkSLbOf7EVFAAAAAABgAAAD8/AD8AAIAAAAAAADwvwKppE5AEyE9QAJVUiegifxQQAAAAAAcAAAA/PwA/AACAAAAAAAA8L8CdgKaCBuuPUACTtGRXP4jUUAAAAAAGAAAAPz8APwAAgAAAAAAAPC/Atz5fmq8dDxAApjdk4eFRlFAAAAAABgAAAD8/AD8AAIAAAAAAADwvwIX2c73U0M9QAIaUdobfFFRQAAAAAAYAAAA/PwA/AACAAAAAAAA8L8CFR3J5T+EPUACpN++DpyDUUAAAAAAGAAAAPz8APwAAgAAAAAAAPC/AmaIY13c9jxAAtgS8kHPqlFAAAAAABgAAAD8/AD8AAIAAAAAAADwvwK6awn5oCc8QAIWak3zjp9RQAAAAAAYAAAA/PwA/AACAAAAAAAA8L8CSOF6FK7nO0ACPgrXo3BtUUAAAAAAGAAAAPz8APwAAgAAAAAAAPC/Alr1udqKTT1AAn/7OnDOyFBAAAAAAAERAAAA/PwA/AACAAAAAAAA8L8CFD/G3LUEP0AC9I5TdCTfUEAAAAAAARIABAFlBAAAAAAAAAAAABQBZQQAAAAAAAAAAAQIAWUEAAAAAAAAAAAIDAFlBAAAAAAAAAAADBABZQQAAAAAAAAAABAUAWUEAAAAAAAAAAAAGAFlBBAAAAAAAAAAGBwBZQQAAAAAAAAAABwgAWUICAAAAAAAAAAgKAFlBAAAAAAAAAAAJBgBZQQAAAAAAAAAACQoAWUICAAAAAAAAAAoLAFlBAAAAAAAAAAALDABZQgIAAAAAAAAADA0AWUEAAAAAAAAAAA0OAFlCAgAAAAAAAAAOCQBZQQAAAAAAAAAABw8AWUEAAAAAAAAAAAAAAAA</t>
        </r>
      </text>
    </comment>
    <comment ref="A1797" authorId="0" shapeId="0" xr:uid="{475640E4-B348-46F1-96C0-D5D306442D7B}">
      <text>
        <r>
          <rPr>
            <sz val="9"/>
            <color indexed="81"/>
            <rFont val="MS P ゴシック"/>
            <family val="3"/>
            <charset val="128"/>
          </rPr>
          <t>Insight iXlW00001C0001797R0585476093S00003592P01320LAocjBAQBF1NjaVRlZ2ljLmRhdGEuTW9sZWN1bGUBbwF/ARJTY2lUZWdpYy5Nb2xlY3VsZQAAAQFkAv5qAQAAAAIAAgERGAgAAPz8APwAAgAAAAAAAPC/Ap2iI7n8BwhAArFQa5p38FJAAAAAABgAAAD8/AD8AAIAAAAAAADwvwIGo5I6AU0CQAJYW7G/7ApTQAAAAAAcAAAA/PwA/AACAAAAAAAA8L8CaZHtfD81+T8C8fRKWYbwUkAAAAAAGAAAAPz8APwAAgAAAAAAAPC/Ao0o7Q2+MPk/AvOwUGuau1JAAAAAABgAAAD8/AD8AAIAAAAAAADwvwKiRbbz/VQCQAIp7Q2+MKFSQAAAAAAYAAAA/PwA/AACAAAAAAAA8L8C3NeBc0YUCEACqz5XW7G7UkAAAAAAHAAAAPz8APwAAgAAAAAAAPC/ApEPejarvg1AAhdIUPwYC1NAAAAAABgAAAD8/AD8AAIAAAAAAADwvwJsmnecouMRQAIoDwu1pvVSQAAAAAAcAAAA/PwA/AACAAAAAAAA8L8CSFD8GHMXFEACIo51cRsdU0AAAAAAGAAAAPz8APwAAgAAAAAAAPC/AmrecYqOZA5AAlYOLbKdP1NAAAAAABgAAAD8/AD8AAIAAAAAAADwvwI/V1uxv2wSQALYgXNGlEpTQAAAAAAYAAAA/PwA/AACAAAAAAAA8L8CAJF++zpwE0ACTYQNT698U0AAAAAAGAAAAPz8APwAAgAAAAAAAPC/AkM+6NmsOhFAAs+I0t7go1NAAAAAABgAAAD8/AD8AAIAAAAAAADwvwI/xty1hPwLQAIN4C2QoJhTQAAAAAAYAAAA/PwA/AACAAAAAAAA8L8CsHJoke38CUAC/DpwzohmU0AAAAAAGAAAAPz8APwAAgAAAAAAAPC/AkzIBz2blRJAAmdEaW/wwVJAAAAAAAERAAAA/PwA/AACAAAAAAAA8L8Ctch2vp+aD0ACQRNhw9O3UkAAAAAAARIABAFlBAAAAAAAAAAAABQBZQQAAAAAAAAAAAQIAWUEAAAAAAAAAAAIDAFlBAAAAAAAAAAADBABZQQAAAAAAAAAABAUAWUEAAAAAAAAAAAAGAFlBBQAAAAAAAAAGBwBZQQAAAAAAAAAABwgAWUICAAAAAAAAAAgKAFlBAAAAAAAAAAAJBgBZQQAAAAAAAAAACQoAWUICAAAAAAAAAAoLAFlBAAAAAAAAAAALDABZQgIAAAAAAAAADA0AWUEAAAAAAAAAAA0OAFlCAgAAAAAAAAAOCQBZQQAAAAAAAAAABw8AWUEAAAAAAAAAAAAAAAA</t>
        </r>
      </text>
    </comment>
    <comment ref="A1798" authorId="0" shapeId="0" xr:uid="{6BA8D52D-4E83-4ECD-A35F-261AD1E84B50}">
      <text>
        <r>
          <rPr>
            <sz val="9"/>
            <color indexed="81"/>
            <rFont val="MS P ゴシック"/>
            <family val="3"/>
            <charset val="128"/>
          </rPr>
          <t>Insight iXlW00001C0001798R0585476093S00003594P00932LAocjBAQBF1NjaVRlZ2ljLmRhdGEuTW9sZWN1bGUBbwF/ARJTY2lUZWdpYy5Nb2xlY3VsZQAAAQFkAv5qAQAAAAIAAjAYAAAA/PwA/AACAAAAAAAA8L8CB4GVQ4ts7z8CCYofY+4aIEAAAAAAHAAAAPz8APwAAgAAAAAAAPC/AnE9CtejcPw/ApxVn6utWB9AAAAAABgAAAD8/AD8AAIAAAAAAADwvwJ6Nqs+V9sCQAK9dJMYBNYgQAAAAAAYCAAA/PwA/AACAAAAAAAA8L8CDy2yne8nAUACyzLEsS5uIkAAAAAAGAAAAPz8APwAAgAAAAAAAPC/AngLJCh+jPU/AgmKH2Pu2iJAAAAAABgAAAD8/AD8AAIAAAAAAADwvwKS7Xw/NV7oPwLImLuWkK8hQAAAAAAcAAAA/PwA/AACAAAAAAAA8L8CNBE2PL3SBUACYqHWNO+YI0AAAAAAGAAAAPz8APwAAgAAAAAAAPC/Agg9m1WfKwxAAgrXo3A9KiNAAAAAABgAAAD8/AD8AAIAAAAAAADwvwIooImw4WkQQAJt5/up8VIkQAAAAAAgAAAA/PwA/AACAAAAAAAA8L8CYAfOGVHaDUACMzMzMzOTIUAAAAAAGAAAAPz8APwAAgAAAAAAAPC/AhwN4C2QIARAAnBfB84ZMSVAAAAAAAERAAAA/PwA/AACAAAAAAAA8L8Cw2SqYFRSC0ACsAPnjCitH0AAAAAALAAEAWUEAAAAAAAAAAAAFAFlBAAAAAAAAAAABAgBZQQAAAAAAAAAAAgMAWUEAAAAAAAAAAAMEAFlBAAAAAAAAAAAEBQBZQQAAAAAAAAAAAwYAWUEEAAAAAAAAAAYHAFlBAAAAAAAAAAAHCABZQQAAAAAAAAAABwkAWUIAAAAAAAAAAAYKAFlBAAAAAAAAAAAAAAAAA==</t>
        </r>
      </text>
    </comment>
    <comment ref="A1799" authorId="0" shapeId="0" xr:uid="{C7783076-A65D-4B0E-BAB7-199F9AEE69D5}">
      <text>
        <r>
          <rPr>
            <sz val="9"/>
            <color indexed="81"/>
            <rFont val="MS P ゴシック"/>
            <family val="3"/>
            <charset val="128"/>
          </rPr>
          <t>Insight iXlW00001C0001799R0585476093S00003596P01000LAocjBAQBF1NjaVRlZ2ljLmRhdGEuTW9sZWN1bGUBbwF/ARJTY2lUZWdpYy5Nb2xlY3VsZQAAAQFkAv5qAQAAAAIAAjQYAAAA/PwA/AACAAAAAAAA8L8CG8BbIEHxF0ACb4EExY9xHkAAAAAAHAAAAPz8APwAAgAAAAAAAPC/Ao51cRsNIBtAAvnCZKpglB1AAAAAABgAAAD8/AD8AAIAAAAAAADwvwKMbOf7qXEdQAJHA3gLJOgfQAAAAAAYCAAA/PwA/AACAAAAAAAA8L8C8tJNYhCYHEACI0p7gy+MIUAAAAAAGAAAAPz8APwAAgAAAAAAAPC/Ai3UmuYdZxlAAvAWSFD8+CFAAAAAABgAAAD8/AD8AAIAAAAAAADwvwKsrdhfdg8XQAKvJeSDns0gQAAAAAAcAAAA/PwA/AACAAAAAAAA8L8CPZtVn6vtHkACZRniWBe3IkAAAAAAGAAAAPz8APwAAgAAAAAAAPC/ApQYBFYODSFAAmPuWkI+SCJAAAAAABgAAAD8/AD8AAIAAAAAAADwvwIQejarPjciQAL+1HjpJnEjQAAAAAAgAAAA/PwA/AACAAAAAAAA8L8CKssQx7p4IUACGsBbIEGxIEAAAAAAGAAAAPz8APwAAgAAAAAAAPC/AjGZKhiVFB5AAgJNhA1PTyRAAAAAABgAAAD8/AD8AAIAAAAAAADwvwJMyAc9mzUgQAIMJCh+jHklQAAAAAABEQAAAPz8APwAAgAAAAAAAPC/ArtJDAIrpyBAAl2PwvUoXB1AAAAAADAABAFlBAAAAAAAAAAAABQBZQQAAAAAAAAAAAQIAWUEAAAAAAAAAAAIDAFlBAAAAAAAAAAADBABZQQAAAAAAAAAABAUAWUEAAAAAAAAAAAMGAFlBBAAAAAAAAAAGBwBZQQAAAAAAAAAABwgAWUEAAAAAAAAAAAcJAFlCAAAAAAAAAAAGCgBZQQAAAAAAAAAACgsAWUEAAAAAAAAAAAAAAAA</t>
        </r>
      </text>
    </comment>
    <comment ref="A1800" authorId="0" shapeId="0" xr:uid="{C28CE1CE-92D1-4EDC-963B-70DDBB021003}">
      <text>
        <r>
          <rPr>
            <sz val="9"/>
            <color indexed="81"/>
            <rFont val="MS P ゴシック"/>
            <family val="3"/>
            <charset val="128"/>
          </rPr>
          <t>Insight iXlW00001C0001800R0585476093S00003598P01088LAocjBAQBF1NjaVRlZ2ljLmRhdGEuTW9sZWN1bGUBbwF/ARJTY2lUZWdpYy5Nb2xlY3VsZQAAAQFkAv5qAQAAAAIAAjgYAAAA/PwA/AACAAAAAAAA8L8ClyGOdXEbzT8CF9nO91OzNEAAAAAAHAAAAPz8APwAAgAAAAAAAPC/AiFB8WPMXfA/AnnpJjEIfDRAAAAAABgAAAD8/AD8AAIAAAAAAADwvwIVHcnlP6T5PwJxzojS3hA1QAAAAAAYDAAA/PwA/AACAAAAAAAA8L8CPgrXo3A99j8Cdy0hH/TcNUAAAAAAGAAAAPz8APwAAgAAAAAAAPC/AlAeFmpN8+I/AhfZzvdTEzZAAAAAABgAAAD8/AD8AAIAAAAAAADwvwJ56SYxCKx8PwJ24JwRpX01QAAAAAAcAAAA/PwA/AACAAAAAAAA8L8CGCZTBaOS/z8C/Knx0k1yNkAAAAAAGAAAAPz8APwAAgAAAAAAAPC/AuC+DpwzIgZAApf/kH77OjZAAAAAACAAAAD8/AD8AAIAAAAAAADwvwI4iUFg5dAHQAKsrdhfdm81QAAAAAAYAAAA/PwA/AACAAAAAAAA8L8CWMoyxLEu/D8CysNCrWk+N0AAAAAAGAAAAPz8APwAAgAAAAAAAPC/AsB9HThnxAJAAvp+arx00zdAAAAAABgAAAD8/AD8AAIAAAAAAADwvwJsmnecoiMJQAJcIEHxY5w3QAAAAAAYAAAA/PwA/AACAAAAAAAA8L8CUrgehevRCkACcPCFyVTRNkAAAAAAAREAAAD8/AD8AAIAAAAAAADwvwLDZKpgVFIBQALbG3xhMuU0QAAAAAA4AAQBZQQAAAAAAAAAAAAUAWUEAAAAAAAAAAAECAFlBAAAAAAAAAAACAwBZQQAAAAAAAAAAAwQAWUEAAAAAAAAAAAQFAFlBAAAAAAAAAAADBgBZQQUAAAAAAAAABgcAWUEAAAAAAAAAAAcMAFlBAAAAAAAAAAAHCABZQgAAAAAAAAAABgkAWUEAAAAAAAAAAAkKAFlBAAAAAAAAAAAKCwBZQQAAAAAAAAAACwwAWUEAAAAAAAAAAAAAAAA</t>
        </r>
      </text>
    </comment>
    <comment ref="A1801" authorId="0" shapeId="0" xr:uid="{4A8CC689-4BD3-4AD5-A792-760944130ACF}">
      <text>
        <r>
          <rPr>
            <sz val="9"/>
            <color indexed="81"/>
            <rFont val="MS P ゴシック"/>
            <family val="3"/>
            <charset val="128"/>
          </rPr>
          <t>Insight iXlW00001C0001801R0585476093S00003600P01088LAocjBAQBF1NjaVRlZ2ljLmRhdGEuTW9sZWN1bGUBbwF/ARJTY2lUZWdpYy5Nb2xlY3VsZQAAAQFkAv5qAQAAAAIAAjgYAAAA/PwA/AACAAAAAAAA8L8CAwmKH2NuFEACF9nO91PDNEAAAAAAHAAAAPz8APwAAgAAAAAAAPC/AiL99nXgnBdAAnnpJjEIjDRAAAAAABgAAAD8/AD8AAIAAAAAAADwvwIf9GxWfe4ZQAI4iUFg5SA1QAAAAAAYDAAA/PwA/AACAAAAAAAA8L8Cam/whckUGUACdy0hH/TsNUAAAAAAGAAAAPz8APwAAgAAAAAAAPC/AqRwPQrX4xVAAt6Th4VaIzZAAAAAABgAAAD8/AD8AAIAAAAAAADwvwKV9gZfmIwTQAI9m1Wfq401QAAAAAAcAAAA/PwA/AACAAAAAAAA8L8CYHZPHhZqG0ACw2SqYFSCNkAAAAAAGAAAAPz8APwAAgAAAAAAAPC/AkoMAiuHlh5AApf/kH77SjZAAAAAABgAAAD8/AD8AAIAAAAAAADwvwKFfNCzWXUgQALJBz2bVd82QAAAAAAgAAAA/PwA/AACAAAAAAAA8L8CdnEbDeBtH0ACrK3YX3Z/NUAAAAAAGAAAAPz8APwAAgAAAAAAAPC/AnBfB84ZkRpAApF++zpwTjdAAAAAABgAAAD8/AD8AAIAAAAAAADwvwK6awn5oOccQALBOSNKe+M3QAAAAAAgAAAA/PwA/AACAAAAAAAA8L8CCD2bVZ8LIEACXCBB8WOsN0AAAAAAAREAAAD8/AD8AAIAAAAAAADwvwL4U+OlmwQdQAKi1jTvOAU1QAAAAAA4AAQBZQQAAAAAAAAAAAAUAWUEAAAAAAAAAAAECAFlBAAAAAAAAAAACAwBZQQAAAAAAAAAAAwQAWUEAAAAAAAAAAAQFAFlBAAAAAAAAAAADBgBZQQUAAAAAAAAABgcAWUEAAAAAAAAAAAcIAFlBAAAAAAAAAAAHCQBZQgAAAAAAAAAABgoAWUEAAAAAAAAAAAoLAFlBAAAAAAAAAAALDABZQQAAAAAAAAAADAgAWUEAAAAAAAAAAAAAAAA</t>
        </r>
      </text>
    </comment>
    <comment ref="A1802" authorId="0" shapeId="0" xr:uid="{36004FDA-F451-4025-9F97-E11A0BBF6568}">
      <text>
        <r>
          <rPr>
            <sz val="9"/>
            <color indexed="81"/>
            <rFont val="MS P ゴシック"/>
            <family val="3"/>
            <charset val="128"/>
          </rPr>
          <t>Insight iXlW00001C0001802R0585476093S00003602P01088LAocjBAQBF1NjaVRlZ2ljLmRhdGEuTW9sZWN1bGUBbwF/ARJTY2lUZWdpYy5Nb2xlY3VsZQAAAQFkAv5qAQAAAAIAAjgYAAAA/PwA/AACAAAAAAAA8L8CfdCzWfW5MEACejarPlfLNEAAAAAAHAAAAPz8APwAAgAAAAAAAPC/AkzIBz2bhTFAAt1GA3gLlDRAAAAAABgAAAD8/AD8AAIAAAAAAADwvwJEi2zn+xkyQAKb5h2n6Cg1QAAAAAAYDAAA/PwA/AACAAAAAAAA8L8C3SQGgZXjMUAC24r9Zff0NUAAAAAAGAAAAPz8APwAAgAAAAAAAPC/AixlGeJYFzFAAkHxY8xdKzZAAAAAABgAAAD8/AD8AAIAAAAAAADwvwLhC5OpgoEwQAKh+DHmrpU1QAAAAAAcAAAA/PwA/AACAAAAAAAA8L8Cm+Ydp+h4MkACJ8KGp1eKNkAAAAAAGAAAAPz8APwAAgAAAAAAAPC/AhaMSuoERDNAAvtcbcX+UjZAAAAAACAAAAD8/AD8AAIAAAAAAADwvwJh5dAi23kzQALXxW00gIc1QAAAAAAYAAAA/PwA/AACAAAAAAAA8L8C3+ALk6lCMkAC9dvXgXNWN0AAAAAAGAAAAPz8APwAAgAAAAAAAPC/AvJjzF1L2DJAAiWX/5B+6zdAAAAAABgAAAD8/AD8AAIAAAAAAADwvwKHp1fKMqQzQAKHONbFbbQ3QAAAAAAcAAAA/PwA/AACAAAAAAAA8L8CfdCzWfXZM0AC001iEFjpNkAAAAAAAREAAAD8/AD8AAIAAAAAAADwvwLNO07RkdwyQAI2zTtO0eE0QAAAAAA4AAQBZQQAAAAAAAAAAAAUAWUEAAAAAAAAAAAECAFlBAAAAAAAAAAACAwBZQQAAAAAAAAAAAwQAWUEAAAAAAAAAAAQFAFlBAAAAAAAAAAADBgBZQQUAAAAAAAAABgcAWUEAAAAAAAAAAAcMAFlBAAAAAAAAAAAHCABZQgAAAAAAAAAABgkAWUEAAAAAAAAAAAkKAFlBAAAAAAAAAAAKCwBZQQAAAAAAAAAACwwAWUEAAAAAAAAAAAAAAAA</t>
        </r>
      </text>
    </comment>
    <comment ref="A1803" authorId="0" shapeId="0" xr:uid="{195B514A-3E43-4DC9-930F-F7FBD8EEBC07}">
      <text>
        <r>
          <rPr>
            <sz val="9"/>
            <color indexed="81"/>
            <rFont val="MS P ゴシック"/>
            <family val="3"/>
            <charset val="128"/>
          </rPr>
          <t>Insight iXlW00001C0001803R0585476093S00003604P01056LAocjBAQBF1NjaVRlZ2ljLmRhdGEuTW9sZWN1bGUBbwF/ARJTY2lUZWdpYy5Nb2xlY3VsZQAAAQFkAv5qAQAAAAIAAjgBEQAAAPz8APwAAgAAAAAAAPC/ArRZ9bnaqkZAAqFns+pzEVxAAAAAAAERAAAA/PwA/AACAAAAAAAA8L8CT9GRXP4LR0AC/Knx0k32W0AAAAAAGAAAAPz8APwAAgAAAAAAAPC/AvSOU3Qkb0dAAqd5xyk6elxAAAAAABwAAAD8/AD8AAIAAAAAAADwvwKti9toAG9HQAIwTKYKRkVcQAAAAAAYAAAA/PwA/AACAAAAAAAA8L8CbsX+snvKR0ACtFn1udoqXEAAAAAAGAAAAPz8APwAAgAAAAAAAPC/Ai6QoPgxJkhAAqk1zTtORVxAAAAAABgAAAD8/AD8AAIAAAAAAADwvwLo+6nx0iVIQAKnCkYldXpcQAAAAAAYAAAA/PwA/AACAAAAAAAA8L8CbjSAt0DKR0ACcT0K16OUXEAAAAAAGAAAAPz8APwAAgAAAAAAAPC/An0/NV66gUhAAubQItv5KlxAAAAAABwAAAD8/AD8AAIAAAAAAADwvwIjbHh6pdxIQAIEVg4tskVcQAAAAAAgAAAA/PwA/AACAAAAAAAA8L8CpwpGJXXKR0AC54wo7Q32W0AAAAAAIAAAAPz8APwAAgAAAAAAAPC/AvoP6bevE0dAAqqCUUmdlFxAAAAAABgAAAD8/AD8AAIAAAAAAADwvwIdWmQ737dGQAIg9GxWfXpcQAAAAAAYAAAA/PwA/AACAAAAAAAA8L8CrYvbaABvR0AC5YOezarbW0AAAAAAMAgMAWUICAAAAAAAAAAMEAFlBAAAAAAAAAAAEBQBZQgIAAAAAAAAABQYAWUEAAAAAAAAAAAYHAFlCAgAAAAAAAAAHAgBZQQAAAAAAAAAABQgAWUEAAAAAAAAAAAgJAFlBAAAAAAAAAAAECgBZQQAAAAAAAAAAAgsAWUEAAAAAAAAAAAsMAFlBAAAAAAAAAAAKDQBZQQAAAAAAAAAAAAAAAA=</t>
        </r>
      </text>
    </comment>
    <comment ref="A1804" authorId="0" shapeId="0" xr:uid="{E9C1079A-F63F-4821-8938-D9506DBA9177}">
      <text>
        <r>
          <rPr>
            <sz val="9"/>
            <color indexed="81"/>
            <rFont val="MS P ゴシック"/>
            <family val="3"/>
            <charset val="128"/>
          </rPr>
          <t>Insight iXlW00001C0001804R0585476093S00003606P00984LAocjBAQBF1NjaVRlZ2ljLmRhdGEuTW9sZWN1bGUBbwF/ARJTY2lUZWdpYy5Nb2xlY3VsZQAAAQFkAv5qAQAAAAIAAjQYAAAA/PwA/AACAAAAAAAA8L8CtoR80LN5PEAC3UYDeAuEQkAAAAAAHAAAAPz8APwAAgAAAAAAAPC/AoV80LNZVTpAAoofY+5aIkNAAAAAABgAAAD8/AD8AAIAAAAAAADwvwIwuycPC1U6QAKOl24Sg7hCQAAAAAAYAAAA/PwA/AACAAAAAAAA8L8CJLn8h/QLO0ACXW3F/rKDQkAAAAAAGAAAAPz8APwAAgAAAAAAAPC/AsKopE5AwztAAn9qvHSTuEJAAAAAABgAAAD8/AD8AAIAAAAAAADwvwI1gLdAgsI7QAKJQWDl0CJDQAAAAAAYAAAA/PwA/AACAAAAAAAA8L8CXtxGA3gLO0ACu0kMAitXQ0AAAAAAHAAAAPz8APwAAgAAAAAAAPC/AgAAAAAAMD1AAtNNYhBYuUJAAAAAABgAAAD8/AD8AAIAAAAAAADwvwK62or9Zec9QAJb07zjFIVCQAAAAAAgAAAA/PwA/AACAAAAAAAA8L8ClkOLbOcLO0ACUkmdgCYaQkAAAAAAGAAAAPz8APwAAgAAAAAAAPC/Avd14JwRVTpAAhPyQc9m5UFAAAAAAAERAAAA/PwA/AACAAAAAAAA8L8CAiuHFtlOPUACtFn1udpSQ0AAAAAAAREAAAD8/AD8AAIAAAAAAADwvwICK4cW2f48QAIAAAAAABBCQAAAAAAsBAgBZQgIAAAAAAAAAAgMAWUEAAAAAAAAAAAMEAFlCAgAAAAAAAAAEBQBZQQAAAAAAAAAABQYAWUICAAAAAAAAAAYBAFlBAAAAAAAAAAAEAABZQQAAAAAAAAAAAAcAWUEAAAAAAAAAAAcIAFlBAAAAAAAAAAADCQBZQQAAAAAAAAAACQoAWUEAAAAAAAAAAAAAAAA</t>
        </r>
      </text>
    </comment>
    <comment ref="A1805" authorId="0" shapeId="0" xr:uid="{CD5749FE-EDCF-4F9B-85D1-662072F8EF6F}">
      <text>
        <r>
          <rPr>
            <sz val="9"/>
            <color indexed="81"/>
            <rFont val="MS P ゴシック"/>
            <family val="3"/>
            <charset val="128"/>
          </rPr>
          <t>Insight iXlW00001C0001805R0585476093S00003608P01252LAocjBAQBF1NjaVRlZ2ljLmRhdGEuTW9sZWN1bGUBbwF/ARJTY2lUZWdpYy5Nb2xlY3VsZQAAAQFkAv5qAQAAAAIAAgEQGAwAAPz8APwAAgAAAAAAAPC/Arfz/dR4iTRAAjSitDf4Qk5AAAAAABwAAAD8/AD8AAIAAAAAAADwvwKq8dJNYkA1QAJk7lpCPnhOQAAAAAAYAAAA/PwA/AACAAAAAAAA8L8CqMZLN4kBNkAChXzQs1lNTkAAAAAAHAAAAPz8APwAAgAAAAAAAPC/AjzfT42XjjZAAnl6pSxDnE5AAAAAABgAAAD8/AD8AAIAAAAAAADwvwIUYcPTK1U1QAIMk6mCUeFOQAAAAAAYAAAA/PwA/AACAAAAAAAA8L8CFvvL7skjNkACdNcS8kH3TkAAAAAAGAAAAPz8APwAAgAAAAAAAPC/AqO0N/jCZDZAAuxRuB6FW09AAAAAABgAAAD8/AD8AAIAAAAAAADwvwJlqmBUUtc1QAK2FfvL7qlPQAAAAAAYAAAA/PwA/AACAAAAAAAA8L8CuY0G8BYINUACbAn5oGeTT0AAAAAAGAAAAPz8APwAAgAAAAAAAPC/ArmNBvAWyDRAAh6n6EguL09AAAAAACAAAAD8/AD8AAIAAAAAAADwvwIg0m9fBy42QAKvtmJ/2eVNQAAAAAAYAAAA/PwA/AACAAAAAAAA8L8CR5T2Bl/IM0ACrkfhehRuTkAAAAAAHAAAAPz8APwAAgAAAAAAAPC/Ano2qz5XOzNAAlfsL7snH05AAAAAABgAAAD8/AD8AAIAAAAAAADwvwLZzvdT46UzQAKWsgxxrMNNQAAAAAAYAAAA/PwA/AACAAAAAAAA8L8CorQ3+MJ0NEACYHZPHhbaTUAAAAAAAREAAAD8/AD8AAIAAAAAAADwvwIAAAAAALAzQALNXUvIB8VOQAAAAAABEQAEAWUEEAAAAAAAAAAECAFlBAAAAAAAAAAACAwBZQQAAAAAAAAAAAwUAWUEAAAAAAAAAAAQBAFlBAAAAAAAAAAAEBQBZQgIAAAAAAAAABQYAWUEAAAAAAAAAAAYHAFlCAgAAAAAAAAAHCABZQQAAAAAAAAAACAkAWUICAAAAAAAAAAkEAFlBAAAAAAAAAAACCgBZQgAAAAAAAAAAAAsAWUEAAAAAAAAAAAsMAFlBAAAAAAAAAAAMDQBZQQAAAAAAAAAADQ4AWUEAAAAAAAAAAA4AAFlBAAAAAAAAAAAAAAAAA==</t>
        </r>
      </text>
    </comment>
    <comment ref="A1806" authorId="0" shapeId="0" xr:uid="{8C74F577-ECC2-41A3-AEDA-AB45A291D0E8}">
      <text>
        <r>
          <rPr>
            <sz val="9"/>
            <color indexed="81"/>
            <rFont val="MS P ゴシック"/>
            <family val="3"/>
            <charset val="128"/>
          </rPr>
          <t>Insight iXlW00001C0001806R0585476093S00003610P01320LAocjBAQBF1NjaVRlZ2ljLmRhdGEuTW9sZWN1bGUBbwF/ARJTY2lUZWdpYy5Nb2xlY3VsZQAAAQFkAv5qAQAAAAIAAgERGAwAAPz8APwAAgAAAAAAAPC/AtNNYhBY+TpAAr8OnDOiFE5AAAAAABwAAAD8/AD8AAIAAAAAAADwvwI51sVtNLA7QAIooImw4UlOQAAAAAAYAAAA/PwA/AACAAAAAAAA8L8CqTXNO05xPEACrYvbaAAfTkAAAAAAHAAAAPz8APwAAgAAAAAAAPC/Aq7YX3ZP/jxAAj0s1JrmbU5AAAAAABgAAAD8/AD8AAIAAAAAAADwvwLbiv1l98Q7QAIJih9j7rJOQAAAAAAYAAAA/PwA/AACAAAAAAAA8L8CF2pN846TPEACcc6I0t7ITkAAAAAAGAAAAPz8APwAAgAAAAAAAPC/AhWuR+F61DxAAr4wmSoYLU9AAAAAABgAAAD8/AD8AAIAAAAAAADwvwJmGeJYF0c8QALBOSNKe3tPQAAAAAAYAAAA/PwA/AACAAAAAAAA8L8CSHL5D+l3O0AC24r9ZfdkT0AAAAAAGAAAAPz8APwAAgAAAAAAAPC/Atbnaiv2NztAAlTjpZvEAE9AAAAAACAAAAD8/AD8AAIAAAAAAADwvwIhQfFjzJ08QAJlO99PjbdNQAAAAAAYAAAA/PwA/AACAAAAAAAA8L8CuR6F61E4OkAC1lbsL7s/TkAAAAAAHAAAAPz8APwAAgAAAAAAAPC/Ano2qz5XqzlAAka28/3U8E1AAAAAABgAAAD8/AD8AAIAAAAAAADwvwJLWYY41hU6QAKwlGWIY5VNQAAAAAAYAAAA/PwA/AACAAAAAAAA8L8ChslUwajkOkACFvvL7smrTUAAAAAAGAAAAPz8APwAAgAAAAAAAPC/AjiJQWDl0D1AAtBm1edqY05AAAAAAAERAAAA/PwA/AACAAAAAAAA8L8CZF3cRgNoOkAC8mPMXUu4TkAAAAAAARIABAFlBBAAAAAAAAAABAgBZQQAAAAAAAAAAAgMAWUEAAAAAAAAAAAMFAFlBAAAAAAAAAAAEAQBZQQAAAAAAAAAABAUAWUICAAAAAAAAAAUGAFlBAAAAAAAAAAAGBwBZQgIAAAAAAAAABwgAWUEAAAAAAAAAAAgJAFlCAgAAAAAAAAAJBABZQQAAAAAAAAAAAgoAWUIAAAAAAAAAAAALAFlBAAAAAAAAAAALDABZQQAAAAAAAAAADA0AWUEAAAAAAAAAAA0OAFlBAAAAAAAAAAAOAABZQQAAAAAAAAAAAw8AWUEAAAAAAAAAAAAAAAA</t>
        </r>
      </text>
    </comment>
    <comment ref="A1807" authorId="0" shapeId="0" xr:uid="{88595350-C550-4FC9-AA26-C4BEDF037894}">
      <text>
        <r>
          <rPr>
            <sz val="9"/>
            <color indexed="81"/>
            <rFont val="MS P ゴシック"/>
            <family val="3"/>
            <charset val="128"/>
          </rPr>
          <t>Insight iXlW00001C0001807R0585476093S00003612P01252LAocjBAQBF1NjaVRlZ2ljLmRhdGEuTW9sZWN1bGUBbwF/ARJTY2lUZWdpYy5Nb2xlY3VsZQAAAQFkAv5qAQAAAAIAAgEQGAgAAPz8APwAAgAAAAAAAPC/AvLSTWIQWARAAr7BFyZT6VBAAAAAABwAAAD8/AD8AAIAAAAAAADwvwKQwvUoXA8KQAIkufyH9ANRQAAAAAAYAAAA/PwA/AACAAAAAAAA8L8C63O1FfsLEEACNYC3QILuUEAAAAAAHAAAAPz8APwAAgAAAAAAAPC/AjnWxW00QBJAAi//If32FVFAAAAAABgAAAD8/AD8AAIAAAAAAADwvwJpke18P7UKQALG3LWEfDhRQAAAAAAYAAAA/PwA/AACAAAAAAAA8L8CvjCZKhiVEEAC+n5qvHRDUUAAAAAAGAAAAPz8APwAAgAAAAAAAPC/ArhAguLHmBFAAiGwcmiRdVFAAAAAABgAAAD8/AD8AAIAAAAAAADwvwKEL0ymCsYOQAIGEhQ/xpxRQAAAAAAYAAAA/PwA/AACAAAAAAAA8L8CzczMzMxMCEACkzoBTYSRUUAAAAAAGAAAAPz8APwAAgAAAAAAAPC/AgajkjoBTQZAAh44Z0RpX1FAAAAAACAAAAD8/AD8AAIAAAAAAADwvwLLoUW2870QQAKt+lxtxbpQQAAAAAAYAAAA/PwA/AACAAAAAAAA8L8COrTIdr6f/D8CexSuR+H+UEAAAAAAHAAAAPz8APwAAgAAAAAAAPC/AgIrhxbZzvM/AoGVQ4ts11BAAAAAABgAAAD8/AD8AAIAAAAAAADwvwLzsFBrmnf6PwJTJ6CJsKlQQAAAAAAYAAAA/PwA/AACAAAAAAAA8L8CirDh6ZWyA0ACOIlBYOW0UEAAAAAAAREAAAD8/AD8AAIAAAAAAADwvwIRWDm0yPYAQAKYbhKDwEJRQAAAAAABEQAEAWUEFAAAAAAAAAAECAFlBAAAAAAAAAAACAwBZQQAAAAAAAAAAAwUAWUEAAAAAAAAAAAQBAFlBAAAAAAAAAAAEBQBZQgIAAAAAAAAABQYAWUEAAAAAAAAAAAYHAFlCAgAAAAAAAAAHCABZQQAAAAAAAAAACAkAWUICAAAAAAAAAAkEAFlBAAAAAAAAAAACCgBZQgAAAAAAAAAAAAsAWUEAAAAAAAAAAAsMAFlBAAAAAAAAAAAMDQBZQQAAAAAAAAAADQ4AWUEAAAAAAAAAAA4AAFlBAAAAAAAAAAAAAAAAA==</t>
        </r>
      </text>
    </comment>
    <comment ref="A1808" authorId="0" shapeId="0" xr:uid="{0EC3BD1D-8395-4463-A910-69EBA614F722}">
      <text>
        <r>
          <rPr>
            <sz val="9"/>
            <color indexed="81"/>
            <rFont val="MS P ゴシック"/>
            <family val="3"/>
            <charset val="128"/>
          </rPr>
          <t>Insight iXlW00001C0001808R0585476093S00003614P01320LAocjBAQBF1NjaVRlZ2ljLmRhdGEuTW9sZWN1bGUBbwF/ARJTY2lUZWdpYy5Nb2xlY3VsZQAAAQFkAv5qAQAAAAIAAgERGAgAAPz8APwAAgAAAAAAAPC/AsDsnjwsFCFAAoUNT6+U4VBAAAAAABwAAAD8/AD8AAIAAAAAAADwvwIZc9cS8oEiQAKcM6K0N/xQQAAAAAAYAAAA/PwA/AACAAAAAAAA8L8C+THmriUEJEACrfpcbcXmUEAAAAAAHAAAAPz8APwAAgAAAAAAAPC/ApLtfD81HiVAAqd5xyk6DlFAAAAAABgAAAD8/AD8AAIAAAAAAADwvwJe3EYDeKsiQAI/V1uxvzBRQAAAAAAYAAAA/PwA/AACAAAAAAAA8L8C1JrmHadIJEACwcqhRbY7UUAAAAAAGAAAAPz8APwAAgAAAAAAAPC/Al+YTBWMyiRAApkqGJXUbVFAAAAAABgAAAD8/AD8AAIAAAAAAADwvwLkg57Nqq8jQALNXUvIB5VRQAAAAAAYAAAA/PwA/AACAAAAAAAA8L8CN6s+V1sRIkACWoY41sWJUUAAAAAAGAAAAPz8APwAAgAAAAAAAPC/AlOWIY51kSFAAuSDns2qV1FAAAAAACAAAAD8/AD8AAIAAAAAAADwvwLpSC7/IV0kQALXo3A9CrNQQAAAAAAYAAAA/PwA/AACAAAAAAAA8L8CFR3J5T8kH0ACQmDl0CL3UEAAAAAAHAAAAPz8APwAAgAAAAAAAPC/Ase6uI0G8BxAAvoP6bevz1BAAAAAABgAAAD8/AD8AAIAAAAAAADwvwJEHOviNpoeQALLoUW286FQQAAAAAAYAAAA/PwA/AACAAAAAAAA8L8CmG4Sg8DqIEACsAPnjCitUEAAAAAAGAAAAPz8APwAAgAAAAAAAPC/AjPEsS5uwyZAAvAWSFD8CFFAAAAAAAERAAAA/PwA/AACAAAAAAAA8L8C+FPjpZtEHkACPujZrPo4UUAAAAAAARIABAFlBBQAAAAAAAAABAgBZQQAAAAAAAAAAAgMAWUEAAAAAAAAAAAMFAFlBAAAAAAAAAAAEAQBZQQAAAAAAAAAABAUAWUICAAAAAAAAAAUGAFlBAAAAAAAAAAAGBwBZQgIAAAAAAAAABwgAWUEAAAAAAAAAAAgJAFlCAgAAAAAAAAAJBABZQQAAAAAAAAAAAgoAWUIAAAAAAAAAAAALAFlBAAAAAAAAAAALDABZQQAAAAAAAAAADA0AWUEAAAAAAAAAAA0OAFlBAAAAAAAAAAAOAABZQQAAAAAAAAAAAw8AWUEAAAAAAAAAAAAAAAA</t>
        </r>
      </text>
    </comment>
    <comment ref="A1809" authorId="0" shapeId="0" xr:uid="{0EF66F61-7FCA-4765-B5CE-E20F38CA91EB}">
      <text>
        <r>
          <rPr>
            <sz val="9"/>
            <color indexed="81"/>
            <rFont val="MS P ゴシック"/>
            <family val="3"/>
            <charset val="128"/>
          </rPr>
          <t>Insight iXlW00001C0001809R0585476093S00003616P01252LAocjBAQBF1NjaVRlZ2ljLmRhdGEuTW9sZWN1bGUBbwF/ARJTY2lUZWdpYy5Nb2xlY3VsZQAAAQFkAv5qAQAAAAIAAgEQGAwAAPz8APwAAgAAAAAAAPC/AhKlvcEXhiJAAltCPujZAFNAAAAAABwAAAD8/AD8AAIAAAAAAADwvwJrK/aX3fMjQALBOSNKextTQAAAAAAYAAAA/PwA/AACAAAAAAAA8L8CvXSTGAR2JUAC0gDeAgkGU0AAAAAAHAAAAPz8APwAAgAAAAAAAPC/AlYwKqkTkCZAAsx/SL99LVNAAAAAABgAAAD8/AD8AAIAAAAAAADwvwIhH/RsVh0kQAKyLm6jAVBTQAAAAAAYAAAA/PwA/AACAAAAAAAA8L8CmN2Th4W6JUACNKK0N/haU0AAAAAAGAAAAPz8APwAAgAAAAAAAPC/ApVliGNdPCZAAg0CK4cWjVNAAAAAABgAAAD8/AD8AAIAAAAAAADwvwKoxks3iSElQAJANV66SbRTQAAAAAAYAAAA/PwA/AACAAAAAAAA8L8C++3rwDmDI0ACGy/dJAapU0AAAAAAGAAAAPz8APwAAgAAAAAAAPC/AhfZzvdTAyNAAlhbsb/sdlNAAAAAABgAAAD8/AD8AAIAAAAAAADwvwIfFmpN884lQAL8qfHSTdJSQAAAAAAYAAAA/PwA/AACAAAAAAAA8L8C3UYDeAsEIUACZ2ZmZmYWU0AAAAAAHAAAAPz8APwAAgAAAAAAAPC/AogW2c730x9AAh8Wak3z7lJAAAAAABgAAAD8/AD8AAIAAAAAAADwvwICvAUSFL8gQAKi1jTvOMFSQAAAAAAYAAAA/PwA/AACAAAAAAAA8L8CeJyiI7lcIkAChzjWxW3MUkAAAAAAAREAAAD8/AD8AAIAAAAAAADwvwLLEMe6uC0kQAKkcD0K17tSQAAAAAABEQAEAWUEEAAAAAAAAAAECAFlBAAAAAAAAAAACAwBZQgIAAAAAAAAAAwUAWUEAAAAAAAAAAAQBAFlBAAAAAAAAAAAEBQBZQgIAAAAAAAAABQYAWUEAAAAAAAAAAAYHAFlCAgAAAAAAAAAHCABZQQAAAAAAAAAACAkAWUICAAAAAAAAAAkEAFlBAAAAAAAAAAACCgBZQQAAAAAAAAAAAAsAWUEAAAAAAAAAAAsMAFlBAAAAAAAAAAAMDQBZQQAAAAAAAAAADQ4AWUEAAAAAAAAAAA4AAFlBAAAAAAAAAAAAAAAAA==</t>
        </r>
      </text>
    </comment>
    <comment ref="A1810" authorId="0" shapeId="0" xr:uid="{FF636E09-7E05-4DCF-B26A-77E3BD3ABE45}">
      <text>
        <r>
          <rPr>
            <sz val="9"/>
            <color indexed="81"/>
            <rFont val="MS P ゴシック"/>
            <family val="3"/>
            <charset val="128"/>
          </rPr>
          <t>Insight iXlW00001C0001810R0585476093S00003618P01252LAocjBAQBF1NjaVRlZ2ljLmRhdGEuTW9sZWN1bGUBbwF/ARJTY2lUZWdpYy5Nb2xlY3VsZQAAAQFkAv5qAQAAAAIAAgEQGAgAAPz8APwAAgAAAAAAAPC/Au/Jw0KtSS9AArfz/dR4+VJAAAAAABwAAAD8/AD8AAIAAAAAAADwvwIkKH6MuVswQAId6+I2GhRTQAAAAAAYAAAA/PwA/AACAAAAAAAA8L8CzczMzMwcMUACfIMvTKb+UkAAAAAAHAAAAPz8APwAAgAAAAAAAPC/ApkqGJXUqTFAAicxCKwcJlNAAAAAABgAAAD8/AD8AAIAAAAAAADwvwL/If32dXAwQAIN4C2QoEhTQAAAAAAYAAAA/PwA/AACAAAAAAAA8L8COwFNhA0/MUACj1N0JJdTU0AAAAAAGAAAAPz8APwAAgAAAAAAAPC/AjlFR3L5fzFAAraEfNCzhVNAAAAAABgAAAD8/AD8AAIAAAAAAADwvwLD9Shcj/IwQALpt68D56xTQAAAAAAYAAAA/PwA/AACAAAAAAAA8L8CbAn5oGcjMEACduCcEaWhU0AAAAAAGAAAAPz8APwAAgAAAAAAAPC/AvT91Hjpxi9AArMMcayLb1NAAAAAABgAAAD8/AD8AAIAAAAAAADwvwJF2PD0SkkxQAJXW7G/7MpSQAAAAAAYAAAA/PwA/AACAAAAAAAA8L8CLPaX3ZPHLUACwhcmUwUPU0AAAAAAHAAAAPz8APwAAgAAAAAAAPC/AiGwcmiRrSxAAsiYu5aQ51JAAAAAABgAAAD8/AD8AAIAAAAAAADwvwJRa5p3nIItQAL9h/Tb17lSQAAAAAAYAAAA/PwA/AACAAAAAAAA8L8CVcGopE4gL0AC4umVsgzFUkAAAAAAAREAAAD8/AD8AAIAAAAAAADwvwIxmSoYlVQtQAIMk6mCUUFTQAAAAAABEQAEAWUEFAAAAAAAAAAECAFlBAAAAAAAAAAACAwBZQgIAAAAAAAAAAwUAWUEAAAAAAAAAAAQBAFlBAAAAAAAAAAAEBQBZQgIAAAAAAAAABQYAWUEAAAAAAAAAAAYHAFlCAgAAAAAAAAAHCABZQQAAAAAAAAAACAkAWUICAAAAAAAAAAkEAFlBAAAAAAAAAAACCgBZQQAAAAAAAAAAAAsAWUEAAAAAAAAAAAsMAFlBAAAAAAAAAAAMDQBZQQAAAAAAAAAADQ4AWUEAAAAAAAAAAA4AAFlBAAAAAAAAAAAAAAAAA==</t>
        </r>
      </text>
    </comment>
    <comment ref="A1811" authorId="0" shapeId="0" xr:uid="{A0A91DE6-654E-4D0E-98A2-37D6ED9EC9F3}">
      <text>
        <r>
          <rPr>
            <sz val="9"/>
            <color indexed="81"/>
            <rFont val="MS P ゴシック"/>
            <family val="3"/>
            <charset val="128"/>
          </rPr>
          <t>Insight iXlW00001C0001811R0585476093S00003620P01376LAocjBAQBF1NjaVRlZ2ljLmRhdGEuTW9sZWN1bGUBbwF/ARJTY2lUZWdpYy5Nb2xlY3VsZQAAAQFkAv5qAQAAAAIAAgESGAAAAPz8APwAAgAAAAAAAPC/Ai2yne+ntjRAAuLplbIM6VBAAAAAABgAAAD8/AD8AAIAAAAAAADwvwJz1xLyQf8zQALWxW00gANRQAAAAAAYAAAA/PwA/AACAAAAAAAA8L8C1CtlGeJIM0ACcF8HzhnpUEAAAAAAHAAAAPz8APwAAgAAAAAAAPC/An9qvHSTSDNAAlyPwvUotFBAAAAAABgAAAD8/AD8AAIAAAAAAADwvwLHSzeJQQA0QALhnBGlvZlQQAAAAAAYAAAA/PwA/AACAAAAAAAA8L8C1XjpJjG4NEACFR3J5T+0UEAAAAAAHAAAAPz8APwAAgAAAAAAAPC/Alr1udqKbTVAAkjhehSuA1FAAAAAABgAAAD8/AD8AAIAAAAAAADwvwKRD3o2qy42QAKneccpOu5QQAAAAAAcAAAA/PwA/AACAAAAAAAA8L8ClrIMcay7NkACofgx5q4VUUAAAAAAGAAAAPz8APwAAgAAAAAAAPC/AsNkqmBUgjVAAjnWxW00OFFAAAAAABgAAAD8/AD8AAIAAAAAAADwvwI4iUFg5VA2QAJseHqlLENRQAAAAAAYAAAA/PwA/AACAAAAAAAA8L8CNs07TtGRNkACRdjw9Ep1UUAAAAAAGAAAAPz8APwAAgAAAAAAAPC/Aoc41sVtBDZAAngLJCh+nFFAAAAAABgAAAD8/AD8AAIAAAAAAADwvwKi1jTvODU1QAIFNBE2PJFRQAAAAAAcAAAA/PwA/AACAAAAAAAA8L8CMEymCkb1NEAC3gIJih9fUUAAAAAAGAAAAPz8APwAAgAAAAAAAPC/AkJg5dAiWzZAAtEi2/l+ulBAAAAAAAERAAAA/PwA/AACAAAAAAAA8L8CNe84RUeCM0ACGXPXEvIpUUAAAAAAAREAAAD8/AD8AAIAAAAAAADwvwKZTBWMSoo1QAKlTkATYZ9QQAAAAAABEgAEAWUEAAAAAAAAAAAAFAFlBAAAAAAAAAAABAgBZQQAAAAAAAAAAAgMAWUEAAAAAAAAAAAMEAFlBAAAAAAAAAAAEBQBZQQAAAAAAAAAAAAYAWUEAAAAAAAAAAAYHAFlBAAAAAAAAAAAHCABZQgIAAAAAAAAACAoAWUEAAAAAAAAAAAkGAFlBAAAAAAAAAAAJCgBZQgIAAAAAAAAACgsAWUEAAAAAAAAAAAsMAFlCAgAAAAAAAAAMDQBZQQAAAAAAAAAADQ4AWUICAAAAAAAAAA4JAFlBAAAAAAAAAAAHDwBZQQAAAAAAAAAAAAAAAA=</t>
        </r>
      </text>
    </comment>
    <comment ref="A1812" authorId="0" shapeId="0" xr:uid="{E1B54F6C-109F-4F65-8898-7559F606C623}">
      <text>
        <r>
          <rPr>
            <sz val="9"/>
            <color indexed="81"/>
            <rFont val="MS P ゴシック"/>
            <family val="3"/>
            <charset val="128"/>
          </rPr>
          <t>Insight iXlW00001C0001812R0585476093S00003622P00792LAocjBAQBF1NjaVRlZ2ljLmRhdGEuTW9sZWN1bGUBbwF/ARJTY2lUZWdpYy5Nb2xlY3VsZQAAAQFkAv5qAQAAAAIAAiggAAAA/PwA/AACAAAAAAAA8L8ChJ7Nqs+RYEACYHZPHhYKJkAAAAAAIAAAAPz8APwAAgAAAAAAAPC/AnZxGw3gtWBAAobJVMGopCZAAAAAABgAAAD8/AD8AAIAAAAAAADwvwKEns2qz5FgQAKTqYJRSb0iQAAAAAAYAAAA/PwA/AACAAAAAAAA8L8ChJ7Nqs+RYEAC+g/pt69jJEAAAAAAARAAAAD8/AD8AAIAAAAAAADwvwJDPujZrKhgQAItQxzr4jYlQAAAAAAYAAAA/PwA/AACAAAAAAAA8L8CqMZLN4m/YEAC+g/pt69jJEAAAAAAGAAAAPz8APwAAgAAAAAAAPC/AqjGSzeJv2BAApOpglFJvSJAAAAAABwAAAD8/AD8AAIAAAAAAADwvwJDPujZrKhgQAL6D+m3r0MgQAAAAAAYAAAA/PwA/AACAAAAAAAA8L8CQz7o2ayoYEACYHZPHhbqIUAAAAAAAREAAAD8/AD8AAIAAAAAAADwvwJtVn2utv5gQAIW+8vuyaMiQAAAAAAkDAgBZQQAAAAAAAAAABAAAWUIAAAAAAAAAAAQBAFlCAAAAAAAAAAAEAwBZQQAAAAAAAAAABQQAWUEAAAAAAAAAAAYFAFlBAAAAAAAAAAACCABZQQAAAAAAAAAACAYAWUEAAAAAAAAAAAgHAFlBAAAAAAAAAAAAAAAAA==</t>
        </r>
      </text>
    </comment>
    <comment ref="A1813" authorId="0" shapeId="0" xr:uid="{1CAC68C1-C761-47D8-84EA-16909E76B982}">
      <text>
        <r>
          <rPr>
            <sz val="9"/>
            <color indexed="81"/>
            <rFont val="MS P ゴシック"/>
            <family val="3"/>
            <charset val="128"/>
          </rPr>
          <t>Insight iXlW00001C0001813R0585476093S00003624P00860LAocjBAQBF1NjaVRlZ2ljLmRhdGEuTW9sZWN1bGUBbwF/ARJTY2lUZWdpYy5Nb2xlY3VsZQAAAQFkAv5qAQAAAAIAAiwgAAAA/PwA/AACAAAAAAAA8L8Cp3nHKTqSHkACz4jS3uAL+T8AAAAAIAAAAPz8APwAAgAAAAAAAPC/Agr5oGezahpAAva52or95QJAAAAAABgAAAD8/AD8AAIAAAAAAADwvwKLjuTyH1IWQAImUwWjkjrrPwAAAAAYAAAA/PwA/AACAAAAAAAA8L8CDeAtkKD4F0ACz4jS3uAL+T8AAAAAARAAAAD8/AD8AAIAAAAAAADwvwLarPpcbUUbQALPiNLe4Av5PwAAAAAYAAAA/PwA/AACAAAAAAAA8L8CJCh+jLnrHEACJlMFo5I66z8AAAAAGAAAAPz8APwAAgAAAAAAAPC/Ar7BFyZTRRtAAr1SliGOdcE/AAAAABgAAAD8/AD8AAIAAAAAAADwvwLx9EpZhvgXQAK9UpYhjnXBPwAAAAAYAAAA/PwA/AACAAAAAAAA8L8Ci47k8h9SFkAC5tAi2/l+4r8AAAAAHAAAAPz8APwAAgAAAAAAAPC/Ar7BFyZTBRNAAubQItv5fuK/AAAAAAERAAAA/PwA/AACAAAAAAAA8L8CAAAAAAAAHkAC097gC5Op0r8AAAAAKBAAAWUIAAAAAAAAAAAQBAFlCAAAAAAAAAAADAgBZQQAAAAAAAAAABwIAWUEAAAAAAAAAAAQDAFlBAAAAAAAAAAAFBABZQQAAAAAAAAAABgUAWUEAAAAAAAAAAAcGAFlBAAAAAAAAAAAIBwBZQQAAAAAAAAAACAkAWUEAAAAAAAAAAAAAAAA</t>
        </r>
      </text>
    </comment>
    <comment ref="A1814" authorId="0" shapeId="0" xr:uid="{450C809E-DA3D-49AD-964E-A3A624946EA8}">
      <text>
        <r>
          <rPr>
            <sz val="9"/>
            <color indexed="81"/>
            <rFont val="MS P ゴシック"/>
            <family val="3"/>
            <charset val="128"/>
          </rPr>
          <t>Insight iXlW00001C0001814R0585476093S00003626P01180LAocjBAQBF1NjaVRlZ2ljLmRhdGEuTW9sZWN1bGUBbwF/ARJTY2lUZWdpYy5Nb2xlY3VsZQAAAQFkAv5qAQAAAAIAAjwYAAAA/PwA/AACAAAAAAAA8L8CAJF++zqgNUACmpmZmZlJQkAAAAAAGAAAAPz8APwAAgAAAAAAAPC/Aka28/3UCDZAAhE2PL1S7kFAAAAAABgAAAD8/AD8AAIAAAAAAADwvwKZu5aQD9o2QAL2udqK/e1BQAAAAAAcAAAA/PwA/AACAAAAAAAA8L8CFR3J5T9EN0ACxm00gLdIQkAAAAAAGAAAAPz8APwAAgAAAAAAAPC/As/3U+Ol2zZAAutztRX7o0JAAAAAABgAAAD8/AD8AAIAAAAAAADwvwJGtvP91Ag2QAKjI7n8h6RCQAAAAAAYAAAA/PwA/AACAAAAAAAA8L8CXI/C9SjsMkAC+ORhodZ8QkAAAAAAGAAAAPz8APwAAgAAAAAAAPC/AgjOGVHa6zJAArRZ9bnaEkJAAAAAABgAAAD8/AD8AAIAAAAAAADwvwL7XG3F/qIzQAKSXP5D+t1BQAAAAAAYAAAA/PwA/AACAAAAAAAA8L8C/DpwzoiiM0ACGuJYF7exQkAAAAAAGAAAAPz8APwAAgAAAAAAAPC/Agu1pnnHWTRAAvcGX5hMfUJAAAAAABgAAAD8/AD8AAIAAAAAAADwvwJeukkMAls0QAKXIY51cRNCQAAAAAAgAAAA/PwA/AACAAAAAAAA8L8CorQ3+MIkNUACF9nO91PzQUAAAAAAGAAAAPz8APwAAgAAAAAAAPC/AvvL7snDIjVAAjzfT42XnkJAAAAAAAERAAAA/PwA/AACAAAAAAAA8L8CNe84RUeyNUAC9pfdk4eNQUAAAAAAARAABAFlBAAAAAAAAAAAABQBZQQAAAAAAAAAAAQIAWUEAAAAAAAAAAAIDAFlBAAAAAAAAAAADBABZQQAAAAAAAAAABAUAWUEAAAAAAAAAAAYHAFlCAgAAAAAAAAAHCABZQQAAAAAAAAAACAsAWUICAAAAAAAAAAoJAFlCAgAAAAAAAAAJBgBZQQAAAAAAAAAACgsAWUEAAAAAAAAAAAsMAFlBAAAAAAAAAAAMAABZQQAAAAAAAAAAAA0AWUEAAAAAAAAAAA0KAFlBAAAAAAAAAAAAAAAAA==</t>
        </r>
      </text>
    </comment>
    <comment ref="A1815" authorId="0" shapeId="0" xr:uid="{6CC6583C-A942-452A-9EE3-C24719A47D17}">
      <text>
        <r>
          <rPr>
            <sz val="9"/>
            <color indexed="81"/>
            <rFont val="MS P ゴシック"/>
            <family val="3"/>
            <charset val="128"/>
          </rPr>
          <t>Insight iXlW00001C0001815R0585476093S00003628P01072LAocjBAQBF1NjaVRlZ2ljLmRhdGEuTW9sZWN1bGUBbwF/ARJTY2lUZWdpYy5Nb2xlY3VsZQAAAQFkAv5qAQAAAAIAAjgYAAAA/PwA/AACAAAAAAAA8L8Cm3ecoiNZJkACx7q4jQbwHUAAAAAAHAAAAPz8APwAAgAAAAAAAPC/AjhnRGlv8CdAAlH8GHPXEh1AAAAAABgAAAD8/AD8AAIAAAAAAADwvwK3Yn/ZPRkpQAJLe4MvTGYfQAAAAAAYCAAA/PwA/AACAAAAAAAA8L8C6pWyDHGsKEACs3vysFBLIUAAAAAAGAAAAPz8APwAAgAAAAAAAPC/Amsr9pfdEydAAvLSTWIQuCFAAAAAABgAAAD8/AD8AAIAAAAAAADwvwLVeOkmMeglQAKx4emVsowgQAAAAAAcAAAA/PwA/AACAAAAAAAA8L8CZhniWBfXKUACS+oENBF2IkAAAAAAGAAAAPz8APwAAgAAAAAAAPC/AlpkO99PbStAAvMf0m9fByJAAAAAABgAAAD8/AD8AAIAAAAAAADwvwK62or9ZZcsQALkpZvEIDAjQAAAAAAgAAAA/PwA/AACAAAAAAAA8L8Cf4y5awnZK0ACHHxhMlVwIEAAAAAAGAAAAPz8APwAAgAAAAAAAPC/Au4NvjCZailAAnWTGARWDiRAAAAAABgAAAD8/AD8AAIAAAAAAADwvwISFD/G3JUqQALVCWgibDglQAAAAAAYAAAA/PwA/AACAAAAAAAA8L8Cd08eFmotLkACih9j7lrCIkAAAAAAAREAAAD8/AD8AAIAAAAAAADwvwLMEMe6uA0rQAIv/yH99rUeQAAAAAA0AAQBZQQAAAAAAAAAAAAUAWUEAAAAAAAAAAAECAFlBAAAAAAAAAAACAwBZQQAAAAAAAAAAAwQAWUEAAAAAAAAAAAQFAFlBAAAAAAAAAAADBgBZQQQAAAAAAAAABgcAWUEAAAAAAAAAAAcIAFlBAAAAAAAAAAAHCQBZQgAAAAAAAAAABgoAWUEAAAAAAAAAAAoLAFlBAAAAAAAAAAAIDABZQQAAAAAAAAAAAAAAAA=</t>
        </r>
      </text>
    </comment>
    <comment ref="A1816" authorId="0" shapeId="0" xr:uid="{6E2035A4-9A4C-437C-B678-729E274B926E}">
      <text>
        <r>
          <rPr>
            <sz val="9"/>
            <color indexed="81"/>
            <rFont val="MS P ゴシック"/>
            <family val="3"/>
            <charset val="128"/>
          </rPr>
          <t>Insight iXlW00001C0001816R0585476093S00003630P01088LAocjBAQBF1NjaVRlZ2ljLmRhdGEuTW9sZWN1bGUBbwF/ARJTY2lUZWdpYy5Nb2xlY3VsZQAAAQFkAv5qAQAAAAIAAjgYAAAA/PwA/AACAAAAAAAA8L8CtFn1udo6MEAC7Z48LNSaHUAAAAAAHAAAAPz8APwAAgAAAAAAAPC/AoNRSZ2ABjFAAnbgnBGlvRxAAAAAABgAAAD8/AD8AAIAAAAAAADwvwJCz2bV55oxQAJwXwfOGREfQAAAAAAYCAAA/PwA/AACAAAAAAAA8L8CFa5H4XpkMUACOPjCZKogIUAAAAAAGAAAAPz8APwAAgAAAAAAAPC/AmPuWkI+mDBAAgXFjzF3jSFAAAAAABgAAAD8/AD8AAIAAAAAAADwvwLfT42XbgIwQALE0ytlGWIgQAAAAAAcAAAA/PwA/AACAAAAAAAA8L8C0m9fB875MUAC0GbV52pLIkAAAAAAGAAAAPz8APwAAgAAAAAAAPC/Ak0VjErqxDJAAnicoiO53CFAAAAAACAAAAD8/AD8AAIAAAAAAADwvwKYbhKDwPoyQAKh+DHmrkUgQAAAAAAYAAAA/PwA/AACAAAAAAAA8L8CFmpN847DMUACbJp3nKLjI0AAAAAAGAAAAPz8APwAAgAAAAAAAPC/AintDb4wWTJAAssQx7q4DSVAAAAAABgAAAD8/AD8AAIAAAAAAADwvwK+MJkqGCUzQAKPU3Qkl58kQAAAAAAYAAAA/PwA/AACAAAAAAAA8L8CexSuR+FaM0ACKH6MuWsJI0AAAAAAAREAAAD8/AD8AAIAAAAAAADwvwLLEMe6uJ0yQALgvg6cM+IcQAAAAAA4AAQBZQQAAAAAAAAAAAAUAWUEAAAAAAAAAAAECAFlBAAAAAAAAAAACAwBZQQAAAAAAAAAAAwQAWUEAAAAAAAAAAAQFAFlBAAAAAAAAAAADBgBZQQQAAAAAAAAABgcAWUEAAAAAAAAAAAcMAFlBAAAAAAAAAAAHCABZQgAAAAAAAAAABgkAWUEAAAAAAAAAAAkKAFlBAAAAAAAAAAAKCwBZQQAAAAAAAAAACwwAWUEAAAAAAAAAAAAAAAA</t>
        </r>
      </text>
    </comment>
    <comment ref="A1817" authorId="0" shapeId="0" xr:uid="{88E7EE26-3391-4EB1-AAE8-64BE8D236E76}">
      <text>
        <r>
          <rPr>
            <sz val="9"/>
            <color indexed="81"/>
            <rFont val="MS P ゴシック"/>
            <family val="3"/>
            <charset val="128"/>
          </rPr>
          <t>Insight iXlW00001C0001817R0585476093S00003632P01088LAocjBAQBF1NjaVRlZ2ljLmRhdGEuTW9sZWN1bGUBbwF/ARJTY2lUZWdpYy5Nb2xlY3VsZQAAAQFkAv5qAQAAAAIAAjgYAAAA/PwA/AACAAAAAAAA8L8C5x2n6EhONkACpU5AE2GDHEAAAAAAHAAAAPz8APwAAgAAAAAAAPC/Au9aQj7oGTdAAi6QoPgxphtAAAAAABgAAAD8/AD8AAIAAAAAAADwvwKu2F92T643QAIMJCh+jPkdQAAAAAAYCAAA/PwA/AACAAAAAAAA8L8CSHL5D+l3N0ACFNBE2PCUIEAAAAAAGAAAAPz8APwAAgAAAAAAAPC/ApayDHGsqzZAAuGcEaW9ASFAAAAAABgAAAD8/AD8AAIAAAAAAADwvwJLWYY41hU2QAI/V1uxv6wfQAAAAAAcAAAA/PwA/AACAAAAAAAA8L8CPnlYqDUNOEACHcnlP6S/IUAAAAAAGAAAAPz8APwAAgAAAAAAAPC/AoDZPXlY2DhAAlR0JJf/UCFAAAAAACAAAAD8/AD8AAIAAAAAAADwvwIEeAskKA45QAL5oGez6nMfQAAAAAAYAAAA/PwA/AACAAAAAAAA8L8CgnNGlPbWN0ACSHL5D+lXI0AAAAAAGAAAAPz8APwAAgAAAAAAAPC/Alyxv+yebDhAAhlz1xLygSRAAAAAACAAAAD8/AD8AAIAAAAAAADwvwIqOpLLfzg5QALdtYR80BMkQAAAAAAYAAAA/PwA/AACAAAAAAAA8L8C5x2n6EhuOUACBFYOLbJ9IkAAAAAAAREAAAD8/AD8AAIAAAAAAADwvwIzxLEubuM4QAKNuWsJ+SAcQAAAAAA4AAQBZQQAAAAAAAAAAAAUAWUEAAAAAAAAAAAECAFlBAAAAAAAAAAACAwBZQQAAAAAAAAAAAwQAWUEAAAAAAAAAAAQFAFlBAAAAAAAAAAADBgBZQQQAAAAAAAAABgcAWUEAAAAAAAAAAAcMAFlBAAAAAAAAAAAHCABZQgAAAAAAAAAABgkAWUEAAAAAAAAAAAkKAFlBAAAAAAAAAAAKCwBZQQAAAAAAAAAACwwAWUEAAAAAAAAAAAAAAAA</t>
        </r>
      </text>
    </comment>
    <comment ref="A1818" authorId="0" shapeId="0" xr:uid="{C0E16195-25C2-4B5B-882D-2138FA376721}">
      <text>
        <r>
          <rPr>
            <sz val="9"/>
            <color indexed="81"/>
            <rFont val="MS P ゴシック"/>
            <family val="3"/>
            <charset val="128"/>
          </rPr>
          <t>Insight iXlW00001C0001818R0585476093S00003634P01088LAocjBAQBF1NjaVRlZ2ljLmRhdGEuTW9sZWN1bGUBbwF/ARJTY2lUZWdpYy5Nb2xlY3VsZQAAAQFkAv5qAQAAAAIAAjgYAAAA/PwA/AACAAAAAAAA8L8CxNMrZRni7j8CsJRliGP9K0AAAAAAHAAAAPz8APwAAgAAAAAAAPC/AtBm1edqK/w/AnS1FfvLjitAAAAAABgAAAD8/AD8AAIAAAAAAADwvwIqyxDHurgCQALx9EpZhrgsQAAAAAAYCAAA/PwA/AACAAAAAAAA8L8C9pfdk4cFAUACcT0K16NQLkAAAAAAGAAAAPz8APwAAgAAAAAAAPC/Atc07zhFR/U/Aj4K16NwvS5AAAAAABgAAAD8/AD8AAIAAAAAAADwvwJPQBNhw9PnPwL9GHPXEpItQAAAAAAcAAAA/PwA/AACAAAAAAAA8L8C5KWbxCCwBUACCawcWmR7L0AAAAAAGAAAAPz8APwAAgAAAAAAAPC/ArfRAN4CCQxAArHh6ZWyDC9AAAAAACAAAAD8/AD8AAIAAAAAAADwvwIPnDOitLcNQALaPXlYqHUtQAAAAAAYAAAA/PwA/AACAAAAAAAA8L8CBHgLJCj+A0AC0m9fB86JMEAAAAAAGAAAAPz8APwAAgAAAAAAAPC/ApeQD3o2qwhAAgIrhxbZHjFAAAAAABgAAAD8/AD8AAIAAAAAAADwvwJDrWnecQoPQAKdEaW9wecwQAAAAAAcAAAA/PwA/AACAAAAAAAA8L8CeXqlLENcEEACseHplbIcMEAAAAAAAREAAAD8/AD8AAIAAAAAAADwvwJq3nGKjuQJQAL3l92Th0UrQAAAAAA4AAQBZQQAAAAAAAAAAAAUAWUEAAAAAAAAAAAECAFlBAAAAAAAAAAACAwBZQQAAAAAAAAAAAwQAWUEAAAAAAAAAAAQFAFlBAAAAAAAAAAADBgBZQQQAAAAAAAAABgcAWUEAAAAAAAAAAAcMAFlBAAAAAAAAAAAHCABZQgAAAAAAAAAABgkAWUEAAAAAAAAAAAkKAFlBAAAAAAAAAAAKCwBZQQAAAAAAAAAACwwAWUEAAAAAAAAAAAAAAAA</t>
        </r>
      </text>
    </comment>
    <comment ref="A1819" authorId="0" shapeId="0" xr:uid="{2FA1B72A-61DE-46E6-969B-5558EBED6D74}">
      <text>
        <r>
          <rPr>
            <sz val="9"/>
            <color indexed="81"/>
            <rFont val="MS P ゴシック"/>
            <family val="3"/>
            <charset val="128"/>
          </rPr>
          <t>Insight iXlW00001C0001819R0585476093S00003636P01020LAocjBAQBF1NjaVRlZ2ljLmRhdGEuTW9sZWN1bGUBbwF/ARJTY2lUZWdpYy5Nb2xlY3VsZQAAAQFkAv5qAQAAAAIAAjQgAAAA/PwA/AACAAAAAAAA8L8CU5YhjnWxIkACDk+vlGWI/T8AAAAAGAAAAPz8APwAAgAAAAAAAPC/AlOWIY51sSJAAtsbfGEyVfA/AAAAABgAAAD8/AD8AAIAAAAAAADwvwK7SQwCKwckQAISpb3BFybhPwAAAAAYAAAA/PwA/AACAAAAAAAA8L8ChslUwaiEI0ACE/JBz2bVz78AAAAAGAAAAPz8APwAAgAAAAAAAPC/AiBj7lpC3iFAAhPyQc9m1c+/AAAAABwAAAD8/AD8AAIAAAAAAADwvwJdbcX+slshQAISpb3BFybhPwAAAAAYCAAA/PwA/AACAAAAAAAA8L8CiBbZzveTH0ACWag1zTtO6T8AAAAAGAAAAPz8APwAAgAAAAAAAPC/AqtgVFInIB1AAlR0JJf/kM4/AAAAABwAAAD8/AD8AAIAAAAAAADwvwJ4nKIjufwZQAK4QILix5jfPwAAAAAYAAAA/PwA/AACAAAAAAAA8L8CIo51cRtNGUAC5IOezarP9D8AAAAAGAAAAPz8APwAAgAAAAAAAPC/Av9D+u3rwBtAAobJVMGopP0/AAAAABgAAAD8/AD8AAIAAAAAAADwvwIyCKwcWuQeQALjx5i7lpD5PwAAAAABEQAAAPz8APwAAgAAAAAAAPC/Ao91cRsN4B9AAskHPZtVn+e/AAAAADQABAFlCAAAAAAAAAAABAgBZQQAAAAAAAAAAAgMAWUEAAAAAAAAAAAMEAFlBAAAAAAAAAAABBQBZQQAAAAAAAAAABAUAWUEAAAAAAAAAAAYFAFlBBAAAAAAAAAAGBwBZQQAAAAAAAAAABwgAWUEAAAAAAAAAAAgJAFlBAAAAAAAAAAAJCgBZQQAAAAAAAAAACgsAWUEAAAAAAAAAAAYLAFlBAAAAAAAAAAAAAAAAA==</t>
        </r>
      </text>
    </comment>
    <comment ref="A1820" authorId="0" shapeId="0" xr:uid="{7460379F-61B3-4592-9886-3AF43C199858}">
      <text>
        <r>
          <rPr>
            <sz val="9"/>
            <color indexed="81"/>
            <rFont val="MS P ゴシック"/>
            <family val="3"/>
            <charset val="128"/>
          </rPr>
          <t>Insight iXlW00001C0001820R0585476093S00003638P01448LAocjBAQBF1NjaVRlZ2ljLmRhdGEuTW9sZWN1bGUBbwF/ARJTY2lUZWdpYy5Nb2xlY3VsZQAAAQFkAv5qAQAAAAIAAgETGAAAAPz8APwAAgAAAAAAAPC/AulILv8hnUhAAgmsHFpkR1xAAAAAACAAAAD8/AD8AAIAAAAAAADwvwIzxLEubtNHQAILtaZ5x51cQAAAAAAYAAAA/PwA/AACAAAAAAAA8L8CM8SxLm7TR0ACG55eKctoXEAAAAAAGAAAAPz8APwAAgAAAAAAAPC/Ao9TdCSX10ZAAgdfmEwVLFxAAAAAABgAAAD8/AD8AAIAAAAAAADwvwIa4lgXt3FGQAL2udqK/TlcQAAAAAAcAAAA/PwA/AACAAAAAAAA8L8CyeU/pN9WRkACRkdy+Q9tXEAAAAAAGAAAAPz8APwAAgAAAAAAAPC/Aov9ZffkoUZAAkQc6+I2klxAAAAAABgAAAD8/AD8AAIAAAAAAADwvwIBb4EExQdHQAKjkjoBTYRcQAAAAAAYAAAA/PwA/AACAAAAAAAA8L8CUWuad5wiR0ACBTQRNjxRXEAAAAAAHAAAAPz8APwAAgAAAAAAAPC/AsfctYR8iEdAAskHPZtVQ1xAAAAAABwAAAD8/AD8AAIAAAAAAADwvwJseHqlLDNIQAIJrBxaZEdcQAAAAAAYAAAA/PwA/AACAAAAAAAA8L8CEhQ/xtytR0ACGXPXEvIRXEAAAAAAGAAAAPz8APwAAgAAAAAAAPC/AixlGeJYF0hAAgAi/fZ1FFxAAAAAABgAAAD8/AD8AAIAAAAAAADwvwI4Z0Rpb1BIQAIrGJXUCehbQAAAAAAYAAAA/PwA/AACAAAAAAAA8L8CjnVxGw0gSEAC1LzjFB25W0AAAAAAGAAAAPz8APwAAgAAAAAAAPC/AtiBc0aUtkdAAu4NvjCZtltAAAAAABwAAAD8/AD8AAIAAAAAAADwvwJoImx4en1HQALCFyZTBeNbQAAAAAABEQAAAPz8APwAAgAAAAAAAPC/ArRZ9bnaqkZAAkVpb/CF9VtAAAAAAAERAAAA/PwA/AACAAAAAAAA8L8CT9GRXP4LR0ACoKut2F/aW0AAAAAAARMoAAFlBAAAAAAAAAAACAQBZQgAAAAAAAAAAAgoAWUEAAAAAAAAAAAkCAFlBAAAAAAAAAAADCABZQQAAAAAAAAAABAMAWUEAAAAAAAAAAAUEAFlBAAAAAAAAAAAGBQBZQQAAAAAAAAAABwYAWUEAAAAAAAAAAAgHAFlBAAAAAAAAAAAJCABZQQAAAAAAAAAACQsAWUEAAAAAAAAAAAwKAFlBAAAAAAAAAAALAEQAWUEAAAAAAAAAAAwLAFlCAgAAAAAAAAANDABZQQAAAAAAAAAADg0AWUICAAAAAAAAAA8OAFlBAAAAAAAAAAAARA8AWUICAAAAAAAAAAAAAAA</t>
        </r>
      </text>
    </comment>
    <comment ref="A1821" authorId="0" shapeId="0" xr:uid="{B0982DBE-CAF3-4B1E-AA12-237F69062264}">
      <text>
        <r>
          <rPr>
            <sz val="9"/>
            <color indexed="81"/>
            <rFont val="MS P ゴシック"/>
            <family val="3"/>
            <charset val="128"/>
          </rPr>
          <t>Insight iXlW00001C0001821R0585476093S00003640P01252LAocjBAQBF1NjaVRlZ2ljLmRhdGEuTW9sZWN1bGUBbwF/ARJTY2lUZWdpYy5Nb2xlY3VsZQAAAQFkAv5qAQAAAAIAAgEQGAAAAPz8APwAAgAAAAAAAPC/Aqw+V1uxzzxAAlOWIY51yUFAAAAAABgAAAD8/AD8AAIAAAAAAADwvwIrqRPQRDg9QAK8BRIUP25BQAAAAAAYAAAA/PwA/AACAAAAAAAA8L8C8DhFR3IJPkACoImw4eltQUAAAAAAHAAAAPz8APwAAgAAAAAAAPC/At4kBoGVcz5AAn9qvHSTyEFAAAAAABgAAAD8/AD8AAIAAAAAAADwvwImdQKaCAs+QAJBE2HD0yNCQAAAAAAYAAAA/PwA/AACAAAAAAAA8L8CK6kT0EQ4PUAC+MJkqmAkQkAAAAAAGAAAAPz8APwAAgAAAAAAAPC/AgjOGVHaGzpAAk2EDU+v/EFAAAAAABgAAAD8/AD8AAIAAAAAAADwvwJ6xyk6khs6QAKYbhKDwJJBQAAAAAAYAAAA/PwA/AACAAAAAAAA8L8CGCZTBaPSOkACEhQ/xtxdQUAAAAAAGAAAAPz8APwAAgAAAAAAAPC/AhkEVg4t0jpAAgwkKH6MMUJAAAAAABgAAAD8/AD8AAIAAAAAAADwvwJhw9MrZYk7QAJMpgpGJf1BQAAAAAAYAAAA/PwA/AACAAAAAAAA8L8Ctch2vp+KO0ACejarPleTQUAAAAAAIAAAAPz8APwAAgAAAAAAAPC/AmpN845TVDxAAvvt68A5c0FAAAAAABgAAAD8/AD8AAIAAAAAAADwvwL8qfHSTVI8QAIuIR/0bB5CQAAAAAAkAAAA/PwA/AACAAAAAAAA8L8Cb4EExY/ROkACbHh6pSybQkAAAAAAAREAAAD8/AD8AAIAAAAAAADwvwKWQ4ts53s8QAKrYFRSJzBBQAAAAAABEQAEAWUEAAAAAAAAAAAAFAFlBAAAAAAAAAAABAgBZQQAAAAAAAAAAAgMAWUEAAAAAAAAAAAMEAFlBAAAAAAAAAAAEBQBZQQAAAAAAAAAABgcAWUICAAAAAAAAAAcIAFlBAAAAAAAAAAAICwBZQgIAAAAAAAAACgkAWUICAAAAAAAAAAkGAFlBAAAAAAAAAAAKCwBZQQAAAAAAAAAACwwAWUEAAAAAAAAAAAwAAFlBAAAAAAAAAAAADQBZQQAAAAAAAAAADQoAWUEAAAAAAAAAAAkOAFlBAAAAAAAAAAAAAAAAA==</t>
        </r>
      </text>
    </comment>
    <comment ref="A1822" authorId="0" shapeId="0" xr:uid="{F9DA00ED-38FB-4610-A6B0-299472EA9C5C}">
      <text>
        <r>
          <rPr>
            <sz val="9"/>
            <color indexed="81"/>
            <rFont val="MS P ゴシック"/>
            <family val="3"/>
            <charset val="128"/>
          </rPr>
          <t>Insight iXlW00001C0001822R0585476093S00003642P01252LAocjBAQBF1NjaVRlZ2ljLmRhdGEuTW9sZWN1bGUBbwF/ARJTY2lUZWdpYy5Nb2xlY3VsZQAAAQFkAv5qAQAAAAIAAgEQGAAAAPz8APwAAgAAAAAAAPC/At/gC5OpAiVAAl8pyxDHKkVAAAAAABgAAAD8/AD8AAIAAAAAAADwvwLdtYR80NMlQAJlO99Pjc9EQAAAAAAYAAAA/PwA/AACAAAAAAAA8L8CS+oENBF2J0ACSb99HTjPREAAAAAAHAAAAPz8APwAAgAAAAAAAPC/ArU3+MJkSihAAov9ZffkKUVAAAAAABgAAAD8/AD8AAIAAAAAAADwvwK3Yn/ZPXknQALpSC7/IYVFQAAAAAAYAAAA/PwA/AACAAAAAAAA8L8C3bWEfNDTJUACofgx5q6FRUAAAAAAGAAAAPz8APwAAgAAAAAAAPC/AkvqBDQRNh9AAlkXt9EAXkVAAAAAABgAAAD8/AD8AAIAAAAAAADwvwL45GGh1jQfQAJApN++DvREQAAAAAAYAAAA/PwA/AACAAAAAAAA8L8CuK8D54wIIUACggTFjzG/REAAAAAAGAAAAPz8APwAAgAAAAAAAPC/ArprCfmgByFAArRZ9bnakkVAAAAAABgAAAD8/AD8AAIAAAAAAADwvwK9dJMYBHYiQAJYObTIdl5FQAAAAAAYAAAA/PwA/AACAAAAAAAA8L8C8fRKWYZ4IkACI2x4eqX0REAAAAAAIAAAAPz8APwAAgAAAAAAAPC/AkETYcPTCyRAAqMjufyH1ERAAAAAABgAAAD8/AD8AAIAAAAAAADwvwLyQc9m1QckQAI6tMh2vn9FQAAAAAAkAAAA/PwA/AACAAAAAAAA8L8CnFWfq61YHEACZapgVFK/REAAAAAAAREAAAD8/AD8AAIAAAAAAADwvwL8qfHSTcIkQALgvg6cM3JEQAAAAAABEQAEAWUEAAAAAAAAAAAAFAFlBAAAAAAAAAAABAgBZQQAAAAAAAAAAAgMAWUEAAAAAAAAAAAMEAFlBAAAAAAAAAAAEBQBZQQAAAAAAAAAABgcAWUICAAAAAAAAAAcIAFlBAAAAAAAAAAAICwBZQgIAAAAAAAAACgkAWUICAAAAAAAAAAkGAFlBAAAAAAAAAAAKCwBZQQAAAAAAAAAACwwAWUEAAAAAAAAAAAwAAFlBAAAAAAAAAAAADQBZQQAAAAAAAAAADQoAWUEAAAAAAAAAAAcOAFlBAAAAAAAAAAAAAAAAA==</t>
        </r>
      </text>
    </comment>
    <comment ref="A1823" authorId="0" shapeId="0" xr:uid="{9311D6E4-8124-4A75-9979-9AAAD1E68518}">
      <text>
        <r>
          <rPr>
            <sz val="9"/>
            <color indexed="81"/>
            <rFont val="MS P ゴシック"/>
            <family val="3"/>
            <charset val="128"/>
          </rPr>
          <t>Insight iXlW00001C0001823R0585476093S00003644P01252LAocjBAQBF1NjaVRlZ2ljLmRhdGEuTW9sZWN1bGUBbwF/ARJTY2lUZWdpYy5Nb2xlY3VsZQAAAQFkAv5qAQAAAAIAAgEQGAAAAPz8APwAAgAAAAAAAPC/AszuycNCnTBAAhHHuriNHkVAAAAAABgAAAD8/AD8AAIAAAAAAADwvwKEns2qzwUxQAIX2c73U8NEQAAAAAAYAAAA/PwA/AACAAAAAAAA8L8CgnNGlPbWMUAC+1xtxf7CREAAAAAAHAAAAPz8APwAAgAAAAAAAPC/AjcawFsgQTJAAj2bVZ+rHUVAAAAAABgAAAD8/AD8AAIAAAAAAADwvwK4rwPnjNgxQAKb5h2n6HhFQAAAAAAYAAAA/PwA/AACAAAAAAAA8L8CS1mGONYFMUACU5YhjnV5RUAAAAAAGAAAAPz8APwAAgAAAAAAAPC/At9xio7k0itAAgu1pnnHUUVAAAAAABgAAAD8/AD8AAIAAAAAAADwvwI17zhFR9IrQALyQc9m1edEQAAAAAAYAAAA/PwA/AACAAAAAAAA8L8CcayL22hALUACNKK0N/iyREAAAAAAGAAAAPz8APwAAgAAAAAAAPC/AnNoke18Py1AAmb35GGhhkVAAAAAABgAAAD8/AD8AAIAAAAAAADwvwJ2cRsN4K0uQAIL16NwPVJFQAAAAAAYAAAA/PwA/AACAAAAAAAA8L8CqvHSTWKwLkAC1QloImzoREAAAAAAIAAAAPz8APwAAgAAAAAAAPC/Av2H9NvXITBAAlXBqKROyERAAAAAABgAAAD8/AD8AAIAAAAAAADwvwJWn6ut2B8wQALsUbgehXNFQAAAAAAkAAAA/PwA/AACAAAAAAAA8L8CjblrCflALUACcPCFyVRJREAAAAAAAREAAAD8/AD8AAIAAAAAAADwvwIxmSoYlYQwQAJuNIC3QGJEQAAAAAABEQAEAWUEAAAAAAAAAAAAFAFlBAAAAAAAAAAABAgBZQQAAAAAAAAAAAgMAWUEAAAAAAAAAAAMEAFlBAAAAAAAAAAAEBQBZQQAAAAAAAAAABgcAWUICAAAAAAAAAAcIAFlBAAAAAAAAAAAICwBZQgIAAAAAAAAACgkAWUICAAAAAAAAAAkGAFlBAAAAAAAAAAAKCwBZQQAAAAAAAAAACwwAWUEAAAAAAAAAAAwAAFlBAAAAAAAAAAAADQBZQQAAAAAAAAAADQoAWUEAAAAAAAAAAAgOAFlBAAAAAAAAAAAAAAAAA==</t>
        </r>
      </text>
    </comment>
    <comment ref="A1824" authorId="0" shapeId="0" xr:uid="{3596093C-CA5F-4937-968D-296346106A65}">
      <text>
        <r>
          <rPr>
            <sz val="9"/>
            <color indexed="81"/>
            <rFont val="MS P ゴシック"/>
            <family val="3"/>
            <charset val="128"/>
          </rPr>
          <t>Insight iXlW00001C0001824R0585476093S00003646P01304LAocjBAQBF1NjaVRlZ2ljLmRhdGEuTW9sZWN1bGUBbwF/ARJTY2lUZWdpYy5Nb2xlY3VsZQAAAQFkAv5qAQAAAAIAAgERGAgAAPz8APwAAgAAAAAAAPC/As/3U+OlGyRAAvYoXI/CdSFAAAAAABgAAAD8/AD8AAIAAAAAAADwvwJOYhBYObQlQAJKnYAmwgYhQAAAAAAYAAAA/PwA/AACAAAAAAAA8L8CWRe30QDeJkACxSCwcmgxIkAAAAAAGAgAAPz8APwAAgAAAAAAAPC/AhueXinLcCZAAkLPZtXnyiNAAAAAABgAAAD8/AD8AAIAAAAAAADwvwLXo3A9CtckQALy0k1iEDgkQAAAAAAYAAAA/PwA/AACAAAAAAAA8L8CtTf4wmSqI0ACJCh+jLkLI0AAAAAAHAAAAPz8APwAAgAAAAAAAPC/AiPb+X5qnCdAAtiBc0aU9iRAAAAAABgAAAD8/AD8AAIAAAAAAADwvwKIFtnO9zMpQAIs9pfdk4ckQAAAAAAYAAAA/PwA/AACAAAAAAAA8L8C5tAi2/leKkACjErqBDSxJUAAAAAAHAAAAPz8APwAAgAAAAAAAPC/AjerPldb8SJAAgyTqYJRSSBAAAAAABgAAAD8/AD8AAIAAAAAAADwvwK7uI0G8PYrQAKM22gAb0ElQAAAAAAYAAAA/PwA/AACAAAAAAAA8L8CcPCFyVQhLUACRkdy+Q9pJkAAAAAAGAAAAPz8APwAAgAAAAAAAPC/AvSOU3QktyxAAqjGSzeJAShAAAAAABgAAAD8/AD8AAIAAAAAAADwvwIdyeU/pB8rQAIbnl4py3AoQAAAAAAYAAAA/PwA/AACAAAAAAAA8L8CUdobfGHyKUACnoAmwoZHJ0AAAAAAJAAAAPz8APwAAgAAAAAAAPC/Ai4hH/Rsti5AAu9aQj7o+SVAAAAAAAERAAAA/PwA/AACAAAAAAAA8L8Crthfdk9eJ0ACV+wvuyfPH0AAAAAAAREABAFlBAAAAAAAAAAAABQBZQQAAAAAAAAAAAQIAWUEAAAAAAAAAAAIDAFlBAAAAAAAAAAADBABZQQAAAAAAAAAABAUAWUEAAAAAAAAAAAMGAFlBBAAAAAAAAAAGBwBZQQAAAAAAAAAABwgAWUEAAAAAAAAAAAAJAFlBBQAAAAAAAAAICgBZQQAAAAAAAAAACA4AWUIDAAAAAAAAAAoLAFlCAgAAAAAAAAALDABZQQAAAAAAAAAADA0AWUICAAAAAAAAAA0OAFlBAAAAAAAAAAALDwBZQQAAAAAAAAAAAAAAAA=</t>
        </r>
      </text>
    </comment>
    <comment ref="A1825" authorId="0" shapeId="0" xr:uid="{79BA1C03-5488-434A-A045-AA88F19D0AAF}">
      <text>
        <r>
          <rPr>
            <sz val="9"/>
            <color indexed="81"/>
            <rFont val="MS P ゴシック"/>
            <family val="3"/>
            <charset val="128"/>
          </rPr>
          <t>Insight iXlW00001C0001825R0585476093S00003648P00860LAocjBAQBF1NjaVRlZ2ljLmRhdGEuTW9sZWN1bGUBbwF/ARJTY2lUZWdpYy5Nb2xlY3VsZQAAAQFkAv5qAQAAAAIAAiwYAAAA/PwA/AACAAAAAAAA8L8Cofgx5q4l8T8Ct/P91Hjp6j8AAAAAGAAAAPz8APwAAgAAAAAAAPC/ApVliGNd3NY/AgeBlUOLbNs/AAAAABgAAAD8/AD8AAIAAAAAAADwvwKVZYhjXdzWvwK38/3UeOnqPwAAAAAgAAAA/PwA/AACAAAAAAAA8L8ClWWIY13c1r8CDy2yne+n+j8AAAAAIAAAAPz8APwAAgAAAAAAAPC/AqH4MeauJfG/AgeBlUOLbNs/AAAAABwAAAD8/AD8AAIAAAAAAADwvwKVZYhjXdzWPwLHSzeJQWDZvwAAAAAYAAAA/PwA/AACAAAAAAAA8L8CE2HD0ytl8D8ChzjWxW007L8AAAAAHAAAAPz8APwAAgAAAAAAAPC/Av5l9+Rhoeg/Ag8tsp3vp/q/AAAAABgAAAD8/AD8AAIAAAAAAADwvwKOBvAWSFCsvwIPLbKd76f6vwAAAAAYAAAA/PwA/AACAAAAAAAA8L8CYAfOGVHa078ChzjWxW007L8AAAAAAREAAAD8/AD8AAIAAAAAAADwvwItQxzr4rYEQAIMk6mCUUnjvwAAAAAoAAQBZQQAAAAAAAAAAAQIAWUEAAAAAAAAAAAIDAFlBAAAAAAAAAAACBABZQgAAAAAAAAAAAQUAWUEAAAAAAAAAAAUGAFlBAAAAAAAAAAAGBwBZQgIAAAAAAAAABwgAWUEAAAAAAAAAAAgJAFlCAgAAAAAAAAAFCQBZQQAAAAAAAAAAAAAAAA=</t>
        </r>
      </text>
    </comment>
    <comment ref="A1826" authorId="0" shapeId="0" xr:uid="{FCA72B52-96FC-4368-9789-0E5538A7D3CB}">
      <text>
        <r>
          <rPr>
            <sz val="9"/>
            <color indexed="81"/>
            <rFont val="MS P ゴシック"/>
            <family val="3"/>
            <charset val="128"/>
          </rPr>
          <t>Insight iXlW00001C0001826R0585476093S00003650P00932LAocjBAQBF1NjaVRlZ2ljLmRhdGEuTW9sZWN1bGUBbwF/ARJTY2lUZWdpYy5Nb2xlY3VsZQAAAQFkAv5qAQAAAAIAAjAcAAAA/PwA/AACAAAAAAAA8L8CUdobfGESJkAC097gC5MZNUAAAAAAGAAAAPz8APwAAgAAAAAAAPC/Ah6n6EgufydAAk5iEFg5hDVAAAAAABgAAAD8/AD8AAIAAAAAAADwvwKUh4Va03wnQAK62or9ZVc2QAAAAAAYAAAA/PwA/AACAAAAAAAA8L8CrkfhehTuKEACz/dT46UbNUAAAAAAGAAAAPz8APwAAgAAAAAAAPC/ApF++zpwjiRAAunZrPpcbTVAAAAAABwAAAD8/AD8AAIAAAAAAADwvwKhZ7Pqc3UjQAIB3gIJis80QAAAAAAYAAAA/PwA/AACAAAAAAAA8L8CJuSDns1KJEACm3ecoiMZNEAAAAAAGAAAAPz8APwAAgAAAAAAAPC/ArprCfmg5yVAArwFEhQ/RjRAAAAAACAAAAD8/AD8AAIAAAAAAADwvwI4Z0Rpb/AoQAKcxCCwckg0QAAAAAAgAAAA/PwA/AACAAAAAAAA8L8C0bNZ9blaKkACvAUSFD+GNUAAAAAAGAAAAPz8APwAAgAAAAAAAPC/Aih+jLlr6ShAAm6jAbwFwjZAAAAAAAERAAAA/PwA/AACAAAAAAAA8L8CgnNGlPaGJkACVHQkl//AM0AAAAAALAAEAWUEAAAAAAAAAAAECAFlBAAAAAAAAAAABAwBZQQAAAAAAAAAAAAQAWUEAAAAAAAAAAAQFAFlCAgAAAAAAAAAFBgBZQQAAAAAAAAAABgcAWUICAAAAAAAAAAcAAFlBAAAAAAAAAAADCABZQgAAAAAAAAAAAwkAWUEAAAAAAAAAAAIKAFlBAAAAAAAAAAAAAAAAA==</t>
        </r>
      </text>
    </comment>
    <comment ref="A1827" authorId="0" shapeId="0" xr:uid="{B29E1550-1881-448A-868D-ADD074C77153}">
      <text>
        <r>
          <rPr>
            <sz val="9"/>
            <color indexed="81"/>
            <rFont val="MS P ゴシック"/>
            <family val="3"/>
            <charset val="128"/>
          </rPr>
          <t>Insight iXlW00001C0001827R0585476093S00003652P01000LAocjBAQBF1NjaVRlZ2ljLmRhdGEuTW9sZWN1bGUBbwF/ARJTY2lUZWdpYy5Nb2xlY3VsZQAAAQFkAv5qAQAAAAIAAjQcAAAA/PwA/AACAAAAAAAA8L8CZohjXdyWM0AC3+ALk6nyNEAAAAAAGAAAAPz8APwAAgAAAAAAAPC/AszuycNCTTRAAlpkO99PXTVAAAAAABgAAAD8/AD8AAIAAAAAAADwvwIHX5hMFUw0QALH3LWEfDA2QAAAAAAYAAAA/PwA/AACAAAAAAAA8L8CFD/G3LUENUACorQ3+ML0NEAAAAAAGAAAAPz8APwAAgAAAAAAAPC/Ak0VjErq1DJAAvXb14FzRjVAAAAAABwAAAD8/AD8AAIAAAAAAADwvwLVCWgibEgyQALUmuYdp6g0QAAAAAAYAAAA/PwA/AACAAAAAAAA8L8CUI2XbhKzMkACp3nHKTryM0AAAAAAGAAAAPz8APwAAgAAAAAAAPC/AhpR2ht8gTNAApDC9ShcHzRAAAAAACAAAAD8/AD8AAIAAAAAAADwvwLZzvdT4wU1QAJvgQTFjyE0QAAAAAAgAAAA/PwA/AACAAAAAAAA8L8CJnUCmgi7NUACyQc9m1VfNUAAAAAAGAAAAPz8APwAAgAAAAAAAPC/AoofY+5aAjVAAnulLEMcmzZAAAAAABgAAAD8/AD8AAIAAAAAAADwvwIxmSoYlZQzQAINAiuHFpk2QAAAAAABEQAAAPz8APwAAgAAAAAAAPC/Ai9uowG8xTNAAo/k8h/SnzNAAAAAADAABAFlBAAAAAAAAAAABAgBZQQAAAAAAAAAAAQMAWUEAAAAAAAAAAAAEAFlBAAAAAAAAAAAEBQBZQgIAAAAAAAAABQYAWUEAAAAAAAAAAAYHAFlCAgAAAAAAAAAHAABZQQAAAAAAAAAAAwgAWUIAAAAAAAAAAAMJAFlBAAAAAAAAAAACCgBZQQAAAAAAAAAAAgsAWUEAAAAAAAAAAAAAAAA</t>
        </r>
      </text>
    </comment>
    <comment ref="A1828" authorId="0" shapeId="0" xr:uid="{8B1F80BA-C6A7-4215-9336-9CA61AD75CC4}">
      <text>
        <r>
          <rPr>
            <sz val="9"/>
            <color indexed="81"/>
            <rFont val="MS P ゴシック"/>
            <family val="3"/>
            <charset val="128"/>
          </rPr>
          <t>Insight iXlW00001C0001828R0585476093S00003654P01304LAocjBAQBF1NjaVRlZ2ljLmRhdGEuTW9sZWN1bGUBbwF/ARJTY2lUZWdpYy5Nb2xlY3VsZQAAAQFkAv5qAQAAAAIAAgERHAAAAPz8APwAAgAAAAAAAPC/AgdfmEwV/DpAAtJvXwfOqTRAAAAAABgAAAD8/AD8AAIAAAAAAADwvwJuxf6ye7I7QAIVrkfhehQ1QAAAAAAYAAAA/PwA/AACAAAAAAAA8L8CqTXNO06xO0ACSOF6FK7nNUAAAAAAGAAAAPz8APwAAgAAAAAAAPC/An3Qs1n1aTxAApZDi2znqzRAAAAAABgAAAD8/AD8AAIAAAAAAADwvwJgdk8eFjo6QAKvJeSDnv00QAAAAAAcAAAA/PwA/AACAAAAAAAA8L8C6Gor9petOUACyCk6kstfNEAAAAAAGAAAAPz8APwAAgAAAAAAAPC/AmPuWkI+GDpAAtNNYhBYqTNAAAAAABgAAAD8/AD8AAIAAAAAAADwvwL0bFZ9ruY6QAK8lpAPetYzQAAAAAAgAAAA/PwA/AACAAAAAAAA8L8CQmDl0CJrPEACnFWfq63YM0AAAAAAIAAAAPz8APwAAgAAAAAAAPC/AlXBqKROID1AAkoMAiuHFjVAAAAAABgAAAD8/AD8AAIAAAAAAADwvwLzsFBrmmc8QAL8qfHSTVI2QAAAAAAYAAAA/PwA/AACAAAAAAAA8L8COwFNhA0fPUACYjJVMCrpNUAAAAAAGAAAAPz8APwAAgAAAAAAAPC/AmmR7Xw/1T1AAqXfvg6cUzZAAAAAABgAAAD8/AD8AAIAAAAAAADwvwKHp1fKMtQ9QALXo3A9Cic3QAAAAAAYAAAA/PwA/AACAAAAAAAA8L8C0GbV52obPUACj1N0JJePN0AAAAAAGAAAAPz8APwAAgAAAAAAAPC/Ai//If32ZTxAAqMjufyHJDdAAAAAAAERAAAA/PwA/AACAAAAAAAA8L8Cklz+Q/rtOkACTvOOU3REM0AAAAAAAREABAFlBAAAAAAAAAAABAgBZQQAAAAAAAAAAAQMAWUEAAAAAAAAAAAAEAFlBAAAAAAAAAAAEBQBZQgIAAAAAAAAABQYAWUEAAAAAAAAAAAYHAFlCAgAAAAAAAAAHAABZQQAAAAAAAAAAAwgAWUIAAAAAAAAAAAMJAFlBAAAAAAAAAAACCgBZQQAAAAAAAAAACgsAWUIDAAAAAAAAAAsMAFlBAAAAAAAAAAAMDQBZQgIAAAAAAAAADQ4AWUEAAAAAAAAAAA4PAFlCAgAAAAAAAAAPCgBZQQAAAAAAAAAAAAAAAA=</t>
        </r>
      </text>
    </comment>
    <comment ref="A1829" authorId="0" shapeId="0" xr:uid="{17373FF1-5FBD-4B2F-B3DB-6072E95AB0B6}">
      <text>
        <r>
          <rPr>
            <sz val="9"/>
            <color indexed="81"/>
            <rFont val="MS P ゴシック"/>
            <family val="3"/>
            <charset val="128"/>
          </rPr>
          <t>Insight iXlW00001C0001829R0585476093S00003656P01232LAocjBAQBF1NjaVRlZ2ljLmRhdGEuTW9sZWN1bGUBbwF/ARJTY2lUZWdpYy5Nb2xlY3VsZQAAAQFkAv5qAQAAAAIAAgEQHAAAAPz8APwAAgAAAAAAAPC/AoBIv30diEFAAoGVQ4ts5zRAAAAAABgAAAD8/AD8AAIAAAAAAADwvwKze/KwUONBQAL9GHPXElI1QAAAAAAYAAAA/PwA/AACAAAAAAAA8L8C0bNZ9bniQUACaZHtfD8lNkAAAAAAGAAAAPz8APwAAgAAAAAAAPC/AjsBTYQNP0JAAkVpb/CF6TRAAAAAABgAAAD8/AD8AAIAAAAAAADwvwL0jlN0JCdBQAKXkA96Njs1QAAAAAAcAAAA/PwA/AACAAAAAAAA8L8COIlBYOXgQEACd08eFmqdNEAAAAAAGAAAAPz8APwAAgAAAAAAAPC/AlmoNc07FkFAAkku/yH95jNAAAAAABgAAAD8/AD8AAIAAAAAAADwvwLarPpcbX1BQAIydy0hHxQ0QAAAAAAgAAAA/PwA/AACAAAAAAAA8L8CHcnlP6Q/QkACETY8vVIWNEAAAAAAIAAAAPz8APwAAgAAAAAAAPC/AuC+DpwzmkJAAmu8dJMYVDVAAAAAABgAAAD8/AD8AAIAAAAAAADwvwKgGi/dJD5CQAJzaJHtfI82QAAAAAAYAAAA/PwA/AACAAAAAAAA8L8CTMgHPZs9QkACbsX+sntiN0AAAAAAGAAAAPz8APwAAgAAAAAAAPC/Am8Sg8DK4UFAAl5LyAc9yzdAAAAAABgAAAD8/AD8AAIAAAAAAADwvwLZ8PRKWYZBQAI6I0p7g183QAAAAAAYAAAA/PwA/AACAAAAAAAA8L8CyQc9m1WHQUACIv32deCMNkAAAAAAAREAAAD8/AD8AAIAAAAAAADwvwKZKhiV1JlBQAKfzarP1YYzQAAAAAABEAAEAWUEAAAAAAAAAAAECAFlBAAAAAAAAAAABAwBZQQAAAAAAAAAAAAQAWUEAAAAAAAAAAAQFAFlCAgAAAAAAAAAFBgBZQQAAAAAAAAAABgcAWUICAAAAAAAAAAcAAFlBAAAAAAAAAAADCABZQgAAAAAAAAAAAwkAWUEAAAAAAAAAAAIKAFlCAwAAAAAAAAAKCwBZQQAAAAAAAAAACwwAWUICAAAAAAAAAAwNAFlBAAAAAAAAAAANDgBZQgIAAAAAAAAADgIAWUEAAAAAAAAAAAAAAAA</t>
        </r>
      </text>
    </comment>
    <comment ref="A1830" authorId="0" shapeId="0" xr:uid="{D4A65D92-84F0-4773-8BAA-F2587B3E8EC4}">
      <text>
        <r>
          <rPr>
            <sz val="9"/>
            <color indexed="81"/>
            <rFont val="MS P ゴシック"/>
            <family val="3"/>
            <charset val="128"/>
          </rPr>
          <t>Insight iXlW00001C0001830R0585476093S00003658P01304LAocjBAQBF1NjaVRlZ2ljLmRhdGEuTW9sZWN1bGUBbwF/ARJTY2lUZWdpYy5Nb2xlY3VsZQAAAQFkAv5qAQAAAAIAAgERHAAAAPz8APwAAgAAAAAAAPC/Av0Yc9cSmktAAjqSy39I3zNAAAAAABgAAAD8/AD8AAIAAAAAAADwvwL3l92Th/VLQAINcayL20g0QAAAAAAYAAAA/PwA/AACAAAAAAAA8L8C95fdk4f1S0ACQKTfvg4cNUAAAAAAGAAAAPz8APwAAgAAAAAAAPC/AvAWSFD8UExAAjqSy39I3zNAAAAAABgAAAD8/AD8AAIAAAAAAADwvwI51sVtNDhLQALZ8PRKWTY0QAAAAAAcAAAA/PwA/AACAAAAAAAA8L8CJ8KGp1fySkACDy2yne+XM0AAAAAAGAAAAPz8APwAAgAAAAAAAPC/ArmNBvAWKEtAAouO5PIf4jJAAAAAABgAAAD8/AD8AAIAAAAAAADwvwJX7C+7J49LQAKrYFRSJxAzQAAAAAAgAAAA/PwA/AACAAAAAAAA8L8C8BZIUPxQTEACQKTfvg4MM0AAAAAAIAAAAPz8APwAAgAAAAAAAPC/AuqVsgxxrExAAg1xrIvbSDRAAAAAABgAAAD8/AD8AAIAAAAAAADwvwIjbHh6pVRMQAKjkjoBTYQ1QAAAAAAYAAAA/PwA/AACAAAAAAAA8L8Cd08eFmpVTEAC18VtNIBXNkAAAAAAGAAAAPz8APwAAgAAAAAAAPC/ApeQD3o2+0tAAqcKRiV1wjZAAAAAABgAAAD8/AD8AAIAAAAAAADwvwLnriXkg55LQAJDHOviNlo2QAAAAAAYAAAA/PwA/AACAAAAAAAA8L8CL26jAbydS0ACSS7/If2GNUAAAAAAJAAAAPz8APwAAgAAAAAAAPC/ApeQD3o2+0tAAto9eViolTdAAAAAAAERAAAA/PwA/AACAAAAAAAA8L8CrmnecYquS0ACNjy9UpZxMkAAAAAAAREABAFlBAAAAAAAAAAABAgBZQQAAAAAAAAAAAQMAWUEAAAAAAAAAAAAEAFlBAAAAAAAAAAAEBQBZQgIAAAAAAAAABQYAWUEAAAAAAAAAAAMIAFlCAAAAAAAAAAADCQBZQQAAAAAAAAAAAgoAWUIDAAAAAAAAAAoLAFlBAAAAAAAAAAALDABZQgIAAAAAAAAADA0AWUEAAAAAAAAAAA0OAFlCAgAAAAAAAAAOAgBZQQAAAAAAAAAADA8AWUEAAAAAAAAAAAYHAFlCAgAAAAAAAAAHAABZQQAAAAAAAAAAAAAAAA=</t>
        </r>
      </text>
    </comment>
    <comment ref="A1831" authorId="0" shapeId="0" xr:uid="{87CDB5B6-9E29-4D02-BB6C-A8D9A0551D11}">
      <text>
        <r>
          <rPr>
            <sz val="9"/>
            <color indexed="81"/>
            <rFont val="MS P ゴシック"/>
            <family val="3"/>
            <charset val="128"/>
          </rPr>
          <t>Insight iXlW00001C0001831R0585476093S00003660P01176LAocjBAQBF1NjaVRlZ2ljLmRhdGEuTW9sZWN1bGUBbwF/ARJTY2lUZWdpYy5Nb2xlY3VsZQAAAQFkAv5qAQAAAAIAAjwYAAAA/PwA/AACAAAAAAAA8L8CDCQofoxxQkACJzEIrBz6K0AAAAAAGAgAAPz8APwAAgAAAAAAAPC/AgwkKH6McUJAAsHKoUW2UypAAAAAABgAAAD8/AD8AAIAAAAAAADwvwIGo5I6Ac1CQAKOl24Sg4ApQAAAAAAYAAAA/PwA/AACAAAAAAAA8L8C/yH99nUoQ0ACwcqhRbZTKkAAAAAAGAwAAPz8APwAAgAAAAAAAPC/Av8h/fZ1KENAAicxCKwc+itAAAAAABgAAAD8/AD8AAIAAAAAAADwvwIGo5I6Ac1CQAJbZDvfT80sQAAAAAAYAAAA/PwA/AACAAAAAAAA8L8C+aBns+qDQ0ACW2Q730/NLEAAAAAAHAAAAPz8APwAAgAAAAAAAPC/AnUCmggbFkJAAo6XbhKDgClAAAAAACAAAAD8/AD8AAIAAAAAAADwvwKQwvUoXN9DQAInMQisHPorQAAAAAAgAAAA/PwA/AACAAAAAAAA8L8C+aBns+qDQ0ACwcqhRbZzLkAAAAAAGAAAAPz8APwAAgAAAAAAAPC/AhODwMqhtUFAAkA1XrpJLCpAAAAAABgAAAD8/AD8AAIAAAAAAADwvwLm0CLb+W5BQALgT42XbvIoQAAAAAAYAAAA/PwA/AACAAAAAAAA8L8Csp3vp8ajQUAC+FPjpZuEJ0AAAAAAGAAAAPz8APwAAgAAAAAAAPC/Au0vuycPC0JAAiPb+X5q3CdAAAAAACAAAAD8/AD8AAIAAAAAAADwvwJI4XoUrp9BQAK38/3UeMkrQAAAAAABEAAEAWUEAAAAAAAAAAAECAFlBAAAAAAAAAAACAwBZQQAAAAAAAAAAAwQAWUEAAAAAAAAAAAQFAFlBAAAAAAAAAAAFAABZQQAAAAAAAAAABAYAWUEFAAAAAAAAAAEHAFlBBAAAAAAAAAAGCABZQQAAAAAAAAAABgkAWUIAAAAAAAAAAAcKAFlBAAAAAAAAAAAKCwBZQQAAAAAAAAAACwwAWUEAAAAAAAAAAAwNAFlBAAAAAAAAAAANBwBZQQAAAAAAAAAACg4AWUIAAAAAAAAAAAAAAAA</t>
        </r>
      </text>
    </comment>
    <comment ref="A1832" authorId="0" shapeId="0" xr:uid="{C0FDA2F7-DDBA-4E13-BC90-CC860B65251B}">
      <text>
        <r>
          <rPr>
            <sz val="9"/>
            <color indexed="81"/>
            <rFont val="MS P ゴシック"/>
            <family val="3"/>
            <charset val="128"/>
          </rPr>
          <t>Insight iXlW00001C0001832R0585476093S00003662P01176LAocjBAQBF1NjaVRlZ2ljLmRhdGEuTW9sZWN1bGUBbwF/ARJTY2lUZWdpYy5Nb2xlY3VsZQAAAQFkAv5qAQAAAAIAAjwgAAAA/PwA/AACAAAAAAAA8L8CiWNd3EYD/r8CkQ96Nqs+6T8AAAAAGAAAAPz8APwAAgAAAAAAAPC/AoljXdxGA/6/Al1txf6ye6K/AAAAABwAAAD8/AD8AAIAAAAAAADwvwJMyAc9m1XzvwJbQj7o2azgvwAAAAAYCAAA/PwA/AACAAAAAAAA8L8CPSzUmuYd278CZMxdS8gH0b8AAAAAGAAAAPz8APwAAgAAAAAAAPC/At1GA3gLJNC/AjsBTYQNT+E/AAAAABgAAAD8/AD8AAIAAAAAAADwvwIofoy5awnhPwKCBMWPMXfpPwAAAAAYDAAA/PwA/AACAAAAAAAA8L8ChxbZzvdT8j8C+ORhodY0zz8AAAAAGAAAAPz8APwAAgAAAAAAAPC/AlMnoImw4f4/Agr5oGez6t8/AAAAACAAAAD8/AD8AAIAAAAAAADwvwKOBvAWSNAAQAL5MeauJeT0PwAAAAAgAAAA/PwA/AACAAAAAAAA8L8CY3/ZPXlYBEAC7uvAOSNKq78AAAAAGAAAAPz8APwAAgAAAAAAAPC/Al+6SQwCK+8/Ai9uowG8BeK/AAAAABgAAAD8/AD8AAIAAAAAAADwvwIgY+5aQj7IPwJ2cRsN4C3qvwAAAAAYAAAA/PwA/AACAAAAAAAA8L8C78nDQq1p978C+THmriXk9L8AAAAAGAAAAPz8APwAAgAAAAAAAPC/ApF++zpwTgLAAvkx5q4l5PS/AAAAACAAAAD8/AD8AAIAAAAAAADwvwJjf9k9eVgEwAJbQj7o2azgvwAAAAABEAAEAWUIAAAAAAAAAAAECAFlBAAAAAAAAAAADAgBZQQQAAAAAAAAAAwQAWUEAAAAAAAAAAAQFAFlBAAAAAAAAAAAGBQBZQQAAAAAAAAAABgcAWUEFAAAAAAAAAAcIAFlBAAAAAAAAAAAHCQBZQgAAAAAAAAAABgoAWUEAAAAAAAAAAAoLAFlBAAAAAAAAAAADCwBZQQAAAAAAAAAAAgwAWUEAAAAAAAAAAAwNAFlBAAAAAAAAAAANDgBZQQAAAAAAAAAAAQ4AWUEAAAAAAAAAAAAAAAA</t>
        </r>
      </text>
    </comment>
    <comment ref="A1833" authorId="0" shapeId="0" xr:uid="{6D9A246C-10BF-4BA8-9CCF-43B5C5F36177}">
      <text>
        <r>
          <rPr>
            <sz val="9"/>
            <color indexed="81"/>
            <rFont val="MS P ゴシック"/>
            <family val="3"/>
            <charset val="128"/>
          </rPr>
          <t>Insight iXlW00001C0001833R0585476093S00003664P01088LAocjBAQBF1NjaVRlZ2ljLmRhdGEuTW9sZWN1bGUBbwF/ARJTY2lUZWdpYy5Nb2xlY3VsZQAAAQFkAv5qAQAAAAIAAjgcAAAA/PwA/AACAAAAAAAA8L8C001iEFg59D8C6iYxCKwc7L8AAAAAGAAAAPz8APwAAgAAAAAAAPC/AmaIY13cRt8/AoZa07zjFOO/AAAAABgAAAD8/AD8AAIAAAAAAADwvwKBJsKGp1fCvwIRx7q4jQbyvwAAAAAYAAAA/PwA/AACAAAAAAAA8L8CkX77OnDO6L8ChlrTvOMU478AAAAAGAAAAPz8APwAAgAAAAAAAPC/AtNNYhBYOeS/AuqVsgxxrMs/AAAAABgAAAD8/AD8AAIAAAAAAADwvwLTTWIQWDn0vwIX2c73U+PnPwAAAAAYAAAA/PwA/AACAAAAAAAA8L8CAwmKH2Pu8b8CG8BbIEHx+D8AAAAAGAAAAPz8APwAAgAAAAAAAPC/AuomMQisHNa/Ak2mCkYldf0/AAAAABgAAAD8/AD8AAIAAAAAAADwvwK9dJMYBFbSPwJ+jLlrCfn0PwAAAAAkAAAA/PwA/AACAAAAAAAA8L8C6Ugu/yH98D8CsHJoke18+T8AAAAAGAAAAPz8APwAAgAAAAAAAPC/AoEmwoanV8I/Avkx5q4l5N8/AAAAABgAAAD8/AD8AAIAAAAAAADwvwImUwWjkjrRPwJNpgpGJXX9vwAAAAAYAAAA/PwA/AACAAAAAAAA8L8C1LzjFB3J4b8CTaYKRiV1/b8AAAAAAREAAAD8/AD8AAIAAAAAAADwvwLUvOMUHcnwPwKzDHGsi9v7vwAAAAA4AAQBZQQAAAAAAAAAAAQIAWUEAAAAAAAAAAAIDAFlBAAAAAAAAAAADBABZQQAAAAAAAAAABAUAWUIDAAAAAAAAAAUGAFlBAAAAAAAAAAAGBwBZQgIAAAAAAAAABwgAWUEAAAAAAAAAAAgJAFlBAAAAAAAAAAAICgBZQgIAAAAAAAAABAoAWUEAAAAAAAAAAAILAFlBAAAAAAAAAAALDABZQQAAAAAAAAAAAgwAWUEAAAAAAAAAAAAAAAA</t>
        </r>
      </text>
    </comment>
    <comment ref="A1834" authorId="0" shapeId="0" xr:uid="{EC59D38F-9148-4DDC-A100-6733A4CCB3B3}">
      <text>
        <r>
          <rPr>
            <sz val="9"/>
            <color indexed="81"/>
            <rFont val="MS P ゴシック"/>
            <family val="3"/>
            <charset val="128"/>
          </rPr>
          <t>Insight iXlW00001C0001834R0585476093S00003666P00892LAocjBAQBF1NjaVRlZ2ljLmRhdGEuTW9sZWN1bGUBbwF/ARJTY2lUZWdpYy5Nb2xlY3VsZQAAAQFkAv5qAQAAAAIAAiwYAAAA/PwA/AACAAAAAAAA8L8CokW28/20LUACCtejcD1aUUAAAAAAIAAAAPz8APwAAgAAAAAAAPC/AvzL7snDIi9AAk9AE2HDP1FAAAAAABgAAAD8/AD8AAIAAAAAAADwvwKegCbChkcwQAJEi2zn+1lRQAAAAAAYAAAA/PwA/AACAAAAAAAA8L8CR5T2Bl9IMEACEVg5tMiOUUAAAAAAHAAAAPz8APwAAgAAAAAAAPC/AqYsQxzrIi9AAhrAWyBBqVFAAAAAABgAAAD8/AD8AAIAAAAAAADwvwL6fmq8dLMtQAIJih9j7o5RQAAAAAAYAAAA/PwA/AACAAAAAAAA8L8CJZf/kH7bKkACCtejcD1aUUAAAAAAGAAAAPz8APwAAgAAAAAAAPC/AiWX/5B+2ypAAkXY8PRKJVFAAAAAABgAAAD8/AD8AAIAAAAAAADwvwJGR3L5D0ksQAK06nO1FQtRQAAAAAAYAAAA/PwA/AACAAAAAAAA8L8CZvfkYaG2LUACRdjw9EolUUAAAAAAGAAAAPz8APwAAgAAAAAAAPC/AkZHcvkPSSxAAj7o2az6dFFAAAAAADAABAFlBAAAAAAAAAAAABQBZQQAAAAAAAAAAAQIAWUEAAAAAAAAAAAIDAFlBAAAAAAAAAAADBABZQQAAAAAAAAAABAUAWUEAAAAAAAAAAAYHAFlBAAAAAAAAAAAGCgBZQQAAAAAAAAAABwgAWUEAAAAAAAAAAAgJAFlBAAAAAAAAAAAJAABZQQAAAAAAAAAAAAoAWUEAAAAAAAAAAAAAAAA</t>
        </r>
      </text>
    </comment>
    <comment ref="A1835" authorId="0" shapeId="0" xr:uid="{516CDB65-0D23-44D1-B595-03EF60BD0A0C}">
      <text>
        <r>
          <rPr>
            <sz val="9"/>
            <color indexed="81"/>
            <rFont val="MS P ゴシック"/>
            <family val="3"/>
            <charset val="128"/>
          </rPr>
          <t>Insight iXlW00001C0001835R0585476093S00003668P01176LAocjBAQBF1NjaVRlZ2ljLmRhdGEuTW9sZWN1bGUBbwF/ARJTY2lUZWdpYy5Nb2xlY3VsZQAAAQFkAv5qAQAAAAIAAjwYAAAA/PwA/AACAAAAAAAA8L8CcoqO5PIf8L8C1CtlGeJY3z8AAAAAGAAAAPz8APwAAgAAAAAAAPC/Ak7zjlN0JPC/AgFvgQTFj9W/AAAAABgAAAD8/AD8AAIAAAAAAADwvwINAiuHFtnSvwK06nO1FfvnvwAAAAAYAAAA/PwA/AACAAAAAAAA8L8C6Ugu/yH92j8CaERpb/CF1b8AAAAAGAAAAPz8APwAAgAAAAAAAPC/Aq8l5IOezdo/Aqd5xyk6kt8/AAAAABgAAAD8/AD8AAIAAAAAAADwvwIU0ETY8PTSvwIdyeU/pN/sPwAAAAAYAAAA/PwA/AACAAAAAAAA8L8CHA3gLZCg+78CVAWjkjoB7T8AAAAAIAAAAPz8APwAAgAAAAAAAPC/AswQx7q4jfu/Ahb7y+7Jw/s/AAAAACAAAAD8/AD8AAIAAAAAAADwvwKZKhiV1IkDwALUK2UZ4ljfPwAAAAAcAAAA/PwA/AACAAAAAAAA8L8CBcWPMXct8j8CsAPnjCjt578AAAAAGAAAAPz8APwAAgAAAAAAAPC/AoPix5i7lvM/Au0vuycPC/m/AAAAABgAAAD8/AD8AAIAAAAAAADwvwJzaJHtfD8AQAIW+8vuycP7vwAAAAAcAAAA/PwA/AACAAAAAAAA8L8CmSoYldSJA0ACFmpN845T8L8AAAAAGAAAAPz8APwAAgAAAAAAAPC/Apj/kH77Ov4/Ar+fGi/dJNq/AAAAACAAAAD8/AD8AAIAAAAAAADwvwIrhxbZzncAQALOGVHaG3zZPwAAAAABEAAEAWUICAAAAAAAAAAECAFlBAAAAAAAAAAACAwBZQgIAAAAAAAAAAwQAWUEAAAAAAAAAAAQFAFlCAgAAAAAAAAAFAABZQQAAAAAAAAAAAAYAWUEAAAAAAAAAAAYHAFlBAAAAAAAAAAAGCABZQgAAAAAAAAAAAwkAWUEAAAAAAAAAAAkKAFlBAAAAAAAAAAAKCwBZQQAAAAAAAAAACwwAWUEAAAAAAAAAAAwNAFlBAAAAAAAAAAANCQBZQQAAAAAAAAAADQ4AWUIAAAAAAAAAAAAAAAA</t>
        </r>
      </text>
    </comment>
    <comment ref="A1836" authorId="0" shapeId="0" xr:uid="{9A1C4F9E-40AB-4B4E-9A29-9548B2E7EA2E}">
      <text>
        <r>
          <rPr>
            <sz val="9"/>
            <color indexed="81"/>
            <rFont val="MS P ゴシック"/>
            <family val="3"/>
            <charset val="128"/>
          </rPr>
          <t>Insight iXlW00001C0001836R0585476093S00003670P01176LAocjBAQBF1NjaVRlZ2ljLmRhdGEuTW9sZWN1bGUBbwF/ARJTY2lUZWdpYy5Nb2xlY3VsZQAAAQFkAv5qAQAAAAIAAjwgAAAA/PwA/AACAAAAAAAA8L8CrmnecYquNkACvAUSFD+GEcAAAAAAIAAAAPz8APwAAgAAAAAAAPC/AqFns+pzZTdAAhKlvcEXJgnAAAAAABgAAAD8/AD8AAIAAAAAAADwvwKuad5xiq42QALfcYqO5HIMwAAAAAAYAAAA/PwA/AACAAAAAAAA8L8CumsJ+aD3NUACeAskKH6MAsAAAAAAGAAAAPz8APwAAgAAAAAAAPC/ArprCfmg9zVAAhKlvcEXJgnAAAAAABgAAAD8/AD8AAIAAAAAAADwvwKNKO0NvkA1QALfcYqO5HIMwAAAAAAYAAAA/PwA/AACAAAAAAAA8L8CmSoYldSJNEACEqW9wRcmCcAAAAAAGAAAAPz8APwAAgAAAAAAAPC/ApkqGJXUiTRAAngLJCh+jALAAAAAABgAAAD8/AD8AAIAAAAAAADwvwKNKO0NvkA1QAJXfa62Yn/+vwAAAAAcAAAA/PwA/AACAAAAAAAA8L8CpixDHOvSM0ACV32utmJ//r8AAAAAGAAAAPz8APwAAgAAAAAAAPC/AltCPujZvDNAAgOaCBueXvG/AAAAABwAAAD8/AD8AAIAAAAAAADwvwIgY+5aQu4yQAJVwaikTkDtvwAAAAAYAAAA/PwA/AACAAAAAAAA8L8ChslUwaiEMkAC5j+k374O+r8AAAAAGAAAAPz8APwAAgAAAAAAAPC/AuAtkKD4ETNAAnS1FfvL7gHAAAAAABgAAAD8/AD8AAIAAAAAAADwvwLSb18Hzlk0QALCqKROQBPhvwAAAAABEAgAAWUIAAAAAAAAAAAIBAFlBAAAAAAAAAAAEAgBZQQAAAAAAAAAABAMAWUEAAAAAAAAAAAgDAFlCAgAAAAAAAAAFBABZQgMAAAAAAAAABgUAWUEAAAAAAAAAAAcGAFlCAgAAAAAAAAAIBwBZQQAAAAAAAAAABwkAWUEAAAAAAAAAAAkKAFlBAAAAAAAAAAAJDQBZQQAAAAAAAAAACgsAWUICAAAAAAAAAAoOAFlBAAAAAAAAAAALDABZQQAAAAAAAAAADA0AWUICAAAAAAAAAAAAAAA</t>
        </r>
      </text>
    </comment>
    <comment ref="A1837" authorId="0" shapeId="0" xr:uid="{D6B859B3-5DE9-4A5C-A8C7-038540EA67FD}">
      <text>
        <r>
          <rPr>
            <sz val="9"/>
            <color indexed="81"/>
            <rFont val="MS P ゴシック"/>
            <family val="3"/>
            <charset val="128"/>
          </rPr>
          <t>Insight iXlW00001C0001837R0585476093S00003672P01244LAocjBAQBF1NjaVRlZ2ljLmRhdGEuTW9sZWN1bGUBbwF/ARJTY2lUZWdpYy5Nb2xlY3VsZQAAAQFkAv5qAQAAAAIAAjwYAAAA/PwA/AACAAAAAAAA8L8CnMQgsHJo+L8CfPKwUGua0z8AAAAAGAAAAPz8APwAAgAAAAAAAPC/Auj7qfHSzQLAAintDb4wmeC/AAAAABwAAAD8/AD8AAIAAAAAAADwvwKcxCCwcmj4vwIp7Q2+MJngvwAAAAAYAAAA/PwA/AACAAAAAAAA8L8Cofgx5q4l7r8C4L4OnDOi8b8AAAAAGAAAAPz8APwAAgAAAAAAAPC/Auj7qfHSzQLAAtJvXwfOGfI/AAAAABgAAAD8/AD8AAIAAAAAAADwvwLo+6nx0s0CwAJ88rBQa5rTPwAAAAAYAAAA/PwA/AACAAAAAAAA8L8CPZtVn6stCcAC4L4OnDOi4D8AAAAAIAAAAPz8APwAAgAAAAAAAPC/Aj2bVZ+rLQnAAqOSOgFNhPU/AAAAACAAAAD8/AD8AAIAAAAAAADwvwLbiv1l9+QOwAJkXdxGA3i7PwAAAAAYAAAA/PwA/AACAAAAAAAA8L8CwOyePCzU+78C9dvXgXNGB8AAAAAAGAAAAPz8APwAAgAAAAAAAPC/Ald9rrZi/wXAAiZ1ApoImwLAAAAAABgAAAD8/AD8AAIAAAAAAADwvwKHFtnO91MBwAJe3EYDeAv1vwAAAAAgAAAA/PwA/AACAAAAAAAA8L8CIR/0bFZ98r8C/Knx0k1i/r8AAAAAGAAAAPz8APwAAgAAAAAAAPC/ApEPejarPv+/Ar3jFB3J5QDAAAAAACAAAAD8/AD8AAIAAAAAAADwvwKgibDh6ZXCvwI830+Nl27svwAAAAA8ABQBZQQAAAAAAAAAAAgAAWUEAAAAAAAAAAAUBAFlBAAAAAAAAAAABAgBZQQAAAAAAAAAAAgMAWUEAAAAAAAAAAAUEAFlBAAAAAAAAAAAFBgBZQQAAAAAAAAAABgcAWUIAAAAAAAAAAAYIAFlBAAAAAAAAAAAMAwBZQQAAAAAAAAAAAw4AWUIAAAAAAAAAAA0JAFlBAAAAAAAAAAANCgBZQQAAAAAAAAAADQsAWUEAAAAAAAAAAA0MAFlBAAAAAAAAAAAAAABAAAAAAAAAAAAAAAEDAEs0dHT09PT0/r2A0JvY/YH9gP2CfYK9gv2DPYN9g7x8dPR9gT68fnx8frx+vEAAAAAAAAA</t>
        </r>
      </text>
    </comment>
    <comment ref="A1838" authorId="0" shapeId="0" xr:uid="{F2CD218D-792C-4DE2-A76D-60C96D2C70E8}">
      <text>
        <r>
          <rPr>
            <sz val="9"/>
            <color indexed="81"/>
            <rFont val="MS P ゴシック"/>
            <family val="3"/>
            <charset val="128"/>
          </rPr>
          <t>Insight iXlW00001C0001838R0585476093S00003674P01232LAocjBAQBF1NjaVRlZ2ljLmRhdGEuTW9sZWN1bGUBbwF/ARJTY2lUZWdpYy5Nb2xlY3VsZQAAAQFkAv5qAQAAAAIAAgEQGAAAAPz8APwAAgAAAAAAAPC/Au58PzVeutU/As1dS8gHPeU/AAAAABwAAAD8/AD8AAIAAAAAAADwvwLufD81XrrVPwJoImx4eqXEvwAAAAAYAAAA/PwA/AACAAAAAAAA8L8CbxKDwMqh8j8CaCJseHqlxL8AAAAAGAAAAPz8APwAAgAAAAAAAPC/Am8Sg8DKofI/As1dS8gHPeU/AAAAABgAAAD8/AD8AAIAAAAAAADwvwL45GGh1jTPvwJt5/up8dLnvwAAAAAgAAAA/PwA/AACAAAAAAAA8L8CdEaU9gZfmL8CS1mGONbF+L8AAAAAIAAAAPz8APwAAgAAAAAAAPC/Apm7lpAPevC/AvT91HjpJuG/AAAAABgAAAD8/AD8AAIAAAAAAADwvwIrqRPQRNj5vwIT8kHPZtXxvwAAAAAYAAAA/PwA/AACAAAAAAAA8L8Cnu+nxks3A8ACEOm3rwPn7L8AAAAAGAAAAPz8APwAAgAAAAAAAPC/AqqCUUmdgPI/AsTTK2UZ4vc/AAAAABgAAAD8/AD8AAIAAAAAAADwvwKHp1fKMsT/PwIhQfFjzF3lPwAAAAAgAAAA/PwA/AACAAAAAAAA8L8CysNCrWne/T8CfPKwUGua/j8AAAAAIAAAAPz8APwAAgAAAAAAAPC/AtV46SYxCNw/Alafq63YX/4/AAAAABgAAAD8/AD8AAIAAAAAAADwvwJGtvP91Hj2vwJ88rBQa5r+vwAAAAAYAAAA/PwA/AACAAAAAAAA8L8C2c73U+OlAcACeXqlLEMc+78AAAAAGAAAAPz8APwAAgAAAAAAAPC/Ap7vp8ZLNwNAAkGC4seYu6a/AAAAAAEQAAQBZQQAAAAAAAAAAAQIAWUEAAAAAAAAAAAIDAFlBAAAAAAAAAAADAABZQQAAAAAAAAAAAQQAWUEAAAAAAAAAAAQFAFlCAAAAAAAAAAAEBgBZQQAAAAAAAAAABgcAWUEAAAAAAAAAAAcIAFlBAAAAAAAAAAADCQBZQQAAAAAAAAAAAwoAWUEAAAAAAAAAAAkLAFlBAAAAAAAAAAAJDABZQgAAAAAAAAAABw0AWUEAAAAAAAAAAAcOAFlBAAAAAAAAAAAKDwBZQQAAAAAAAAAAAAAAAA=</t>
        </r>
      </text>
    </comment>
    <comment ref="A1839" authorId="0" shapeId="0" xr:uid="{657F5ACC-FD93-4160-8714-D88690C87B48}">
      <text>
        <r>
          <rPr>
            <sz val="9"/>
            <color indexed="81"/>
            <rFont val="MS P ゴシック"/>
            <family val="3"/>
            <charset val="128"/>
          </rPr>
          <t>Insight iXlW00001C0001839R0585476093S00003676P01304LAocjBAQBF1NjaVRlZ2ljLmRhdGEuTW9sZWN1bGUBbwF/ARJTY2lUZWdpYy5Nb2xlY3VsZQAAAQFkAv5qAQAAAAIAAgERGAAAAPz8APwAAgAAAAAAAPC/AiKOdXEbDfm/Agu1pnnHKe6/AAAAABwAAAD8/AD8AAIAAAAAAADwvwJvEoPAyqH1vwKiRbbz/dT7vwAAAAAYAAAA/PwA/AACAAAAAAAA8L8CLpCg+DHm4L8CaERpb/CF/L8AAAAAGAAAAPz8APwAAgAAAAAAAPC/AsP1KFyPws2/AsKGp1fKMvC/AAAAABwAAAD8/AD8AAIAAAAAAADwvwJn1edqK/brvwLjx5i7lpDfvwAAAAAYAAAA/PwA/AACAAAAAAAA8L8Cr7Zif9k9AsAC2IFzRpT24L8AAAAAGAAAAPz8APwAAgAAAAAAAPC/AmfV52or9uu/AusENBE2PNU/AAAAABgAAAD8/AD8AAIAAAAAAADwvwJz+Q/pt6+zvwI17zhFR3LhPwAAAAAYAAAA/PwA/AACAAAAAAAA8L8CSb99HThn5D8CB/AWSFD8wD8AAAAAGAAAAPz8APwAAgAAAAAAAPC/Am8Sg8DKofU/AjXvOEVHcuE/AAAAABgAAAD8/AD8AAIAAAAAAADwvwJvEoPAyqH1PwLOqs/VVuz1PwAAAAAYAAAA/PwA/AACAAAAAAAA8L8CSb99HThn5D8CaERpb/CF/D8AAAAAGAAAAPz8APwAAgAAAAAAAPC/AnP5D+m3r7O/As6qz9VW7PU/AAAAABwAAAD8/AD8AAIAAAAAAADwvwJj7lpCPugGwAJVMCqpE9DxvwAAAAAgAAAA/PwA/AACAAAAAAAA8L8C1XjpJjGIAEACaERpb/CF/D8AAAAAGAAAAPz8APwAAgAAAAAAAPC/AmPuWkI+6AZAAgjOGVHaG/k/AAAAAAERAAAA/PwA/AACAAAAAAAA8L8Cw2SqYFRSAUACDJOpglFJ878AAAAAAREABAFlCAgAAAAAAAAABAgBZQQAAAAAAAAAAAgMAWUICAAAAAAAAAAMEAFlBAAAAAAAAAAAEAABZQQAAAAAAAAAAAAUAWUEAAAAAAAAAAAQGAFlBAAAAAAAAAAAGBwBZQQAAAAAAAAAABwgAWUIDAAAAAAAAAAgJAFlBAAAAAAAAAAAJCgBZQgIAAAAAAAAACgsAWUEAAAAAAAAAAAsMAFlCAgAAAAAAAAAMBwBZQQAAAAAAAAAABQ0AWUEAAAAAAAAAAAoOAFlBAAAAAAAAAAAODwBZQQAAAAAAAAAAAAAAAA=</t>
        </r>
      </text>
    </comment>
    <comment ref="A1840" authorId="0" shapeId="0" xr:uid="{CF5AAFDB-CB8B-4EAC-B326-4EFFD289383C}">
      <text>
        <r>
          <rPr>
            <sz val="9"/>
            <color indexed="81"/>
            <rFont val="MS P ゴシック"/>
            <family val="3"/>
            <charset val="128"/>
          </rPr>
          <t>Insight iXlW00001C0001840R0585476093S00003678P01392LAocjBAQBF1NjaVRlZ2ljLmRhdGEuTW9sZWN1bGUBbwF/ARJTY2lUZWdpYy5Nb2xlY3VsZQAAAQFkAv5qAQAAAAIAAgESGAAAAPz8APwAAgAAAAAAAPC/AgU0ETY8vf6/AlVSJ6CJsPC/AAAAABgAAAD8/AD8AAIAAAAAAADwvwL45GGh1jT4vwIfhetRuB78vwAAAAAYAAAA/PwA/AACAAAAAAAA8L8C3UYDeAsk5r8C7g2+MJkq/L8AAAAAGAAAAPz8APwAAgAAAAAAAPC/AtS84xQdydG/AifChqdXyvC/AAAAABgAAAD8/AD8AAIAAAAAAADwvwJ2cRsN4C34vwL5oGez6nPVvwAAAAAYAAAA/PwA/AACAAAAAAAA8L8C5BQdyeU/5r8Cx0s3iUFg1b8AAAAAHAAAAPz8APwAAgAAAAAAAPC/AmpN845TdNy/AjEqqRPQRNw/AAAAABgAAAD8/AD8AAIAAAAAAADwvwKuR+F6FK7xvwLc+X5qvHTtPwAAAAAcAAAA/PwA/AACAAAAAAAA8L8C8fRKWYY4/L8CKVyPwvUo3D8AAAAAGAAAAPz8APwAAgAAAAAAAPC/Akku/yH99tU/As47TtGRXOY/AAAAABgAAAD8/AD8AAIAAAAAAADwvwJSSZ2AJsLuPwIN4C2QoPjBPwAAAAAYAAAA/PwA/AACAAAAAAAA8L8Cx7q4jQbw+z8C+8vuycNC2T8AAAAAHAAAAPz8APwAAgAAAAAAAPC/AgU0ETY8vf4/AoQvTKYKRvM/AAAAABgAAAD8/AD8AAIAAAAAAADwvwIX2c73U+P0PwLuDb4wmSr8PwAAAAAYAAAA/PwA/AACAAAAAAAA8L8CEVg5tMh24D8Cf2q8dJMY+D8AAAAAJAAAAPz8APwAAgAAAAAAAPC/AkqdgCbChuE/AifChqdXyvC/AAAAABgAAAD8/AD8AAIAAAAAAADwvwKKsOHplbLxvwIll/+Qfvv7PwAAAAABEQAAAPz8APwAAgAAAAAAAPC/AujZrPpcbfA/AryWkA96NvK/AAAAAAETAAQBZQgIAAAAAAAAAAQIAWUEAAAAAAAAAAAIDAFlCAgAAAAAAAAADBQBZQQAAAAAAAAAABAAAWUEAAAAAAAAAAAQFAFlCAgAAAAAAAAAFBgBZQQAAAAAAAAAABgcAWUEAAAAAAAAAAAcIAFlCAgAAAAAAAAAIBABZQQAAAAAAAAAABgkAWUEAAAAAAAAAAAkKAFlBAAAAAAAAAAAJDgBZQQAAAAAAAAAACgsAWUEAAAAAAAAAAAsMAFlBAAAAAAAAAAAMDQBZQQAAAAAAAAAADQ4AWUEAAAAAAAAAAAMPAFlBAAAAAAAAAAAHAEQAWUEAAAAAAAAAAAAAAAA</t>
        </r>
      </text>
    </comment>
    <comment ref="A1841" authorId="0" shapeId="0" xr:uid="{86C4144D-D1C8-4BAA-B0EF-CC957FA88647}">
      <text>
        <r>
          <rPr>
            <sz val="9"/>
            <color indexed="81"/>
            <rFont val="MS P ゴシック"/>
            <family val="3"/>
            <charset val="128"/>
          </rPr>
          <t>Insight iXlW00001C0001841R0585476093S00003680P01392LAocjBAQBF1NjaVRlZ2ljLmRhdGEuTW9sZWN1bGUBbwF/ARJTY2lUZWdpYy5Nb2xlY3VsZQAAAQFkAv5qAQAAAAIAAgESGAAAAPz8APwAAgAAAAAAAPC/Ao6XbhKDwP6/AnicoiO5/OW/AAAAABgAAAD8/AD8AAIAAAAAAADwvwLx9EpZhjj4vwIAkX77OnD2vwAAAAAYAAAA/PwA/AACAAAAAAAA8L8CZapgVFIn5r8CXW3F/rJ79r8AAAAAGAAAAPz8APwAAgAAAAAAAPC/Aqk1zTtO0dG/Ahx8YTJVMOa/AAAAABgAAAD8/AD8AAIAAAAAAADwvwLJdr6fGi/4vwKhZ7Pqc7WVPwAAAAAYAAAA/PwA/AACAAAAAAAA8L8CuY0G8BZI5r8ChJ7Nqs/Vlj8AAAAAHAAAAPz8APwAAgAAAAAAAPC/Ai//If32ddy/AtIA3gIJiuk/AAAAABgAAAD8/AD8AAIAAAAAAADwvwJVUiegibDxvwIGgZVDi2z0PwAAAAAcAAAA/PwA/AACAAAAAAAA8L8CXLG/7J48/L8CzhlR2ht86T8AAAAAGAAAAPz8APwAAgAAAAAAAPC/AoV80LNZ9dU/AjWAt0CC4vA/AAAAABgAAAD8/AD8AAIAAAAAAADwvwL4U+Olm8TuPwJ6xyk6ksvfPwAAAAAYAAAA/PwA/AACAAAAAAAA8L8CjGzn+6nx+z8CTRWMSuoE6D8AAAAAHAAAAPz8APwAAgAAAAAAAPC/Ao6XbhKDwP4/AkM+6Nms+vg/AAAAABgAAAD8/AD8AAIAAAAAAADwvwL5MeauJeT0PwIeOGdEae8AQAAAAAAYAAAA/PwA/AACAAAAAAAA8L8CEVg5tMh24D8CPnlYqDXN/T8AAAAAJAAAAPz8APwAAgAAAAAAAPC/AoofY+5aQtK/Ah44Z0Rp7wDAAAAAABgAAAD8/AD8AAIAAAAAAADwvwKhZ7Pqc7XxvwIqqRPQRNgAQAAAAAABEQAAAPz8APwAAgAAAAAAAPC/AgAAAAAAgAFAAt9PjZduEvC/AAAAAAETAAQBZQgIAAAAAAAAAAQIAWUEAAAAAAAAAAAIDAFlCAgAAAAAAAAADBQBZQQAAAAAAAAAABAAAWUEAAAAAAAAAAAQFAFlCAgAAAAAAAAAFBgBZQQAAAAAAAAAABgcAWUEAAAAAAAAAAAcIAFlCAgAAAAAAAAAIBABZQQAAAAAAAAAABgkAWUEAAAAAAAAAAAkKAFlBAAAAAAAAAAAJDgBZQQAAAAAAAAAACgsAWUEAAAAAAAAAAAsMAFlBAAAAAAAAAAAMDQBZQQAAAAAAAAAADQ4AWUEAAAAAAAAAAAIPAFlBAAAAAAAAAAAHAEQAWUEAAAAAAAAAAAAAAAA</t>
        </r>
      </text>
    </comment>
    <comment ref="A1842" authorId="0" shapeId="0" xr:uid="{C9818312-706B-4C52-92F8-9B364D0C993B}">
      <text>
        <r>
          <rPr>
            <sz val="9"/>
            <color indexed="81"/>
            <rFont val="MS P ゴシック"/>
            <family val="3"/>
            <charset val="128"/>
          </rPr>
          <t>Insight iXlW00001C0001842R0585476093S00003682P01392LAocjBAQBF1NjaVRlZ2ljLmRhdGEuTW9sZWN1bGUBbwF/ARJTY2lUZWdpYy5Nb2xlY3VsZQAAAQFkAv5qAQAAAAIAAgESGAAAAPz8APwAAgAAAAAAAPC/AmgibHh6pf6/AqcKRiV1Aua/AAAAABgAAAD8/AD8AAIAAAAAAADwvwKu2F92Tx74vwIAkX77OnD2vwAAAAAYAAAA/PwA/AACAAAAAAAA8L8CoyO5/If05b8CzhlR2ht89r8AAAAAGAAAAPz8APwAAgAAAAAAAPC/Ak+vlGWIY9G/AkvqBDQRNua/AAAAABgAAAD8/AD8AAIAAAAAAADwvwKGWtO84xT4vwKhZ7Pqc7WVPwAAAAAYAAAA/PwA/AACAAAAAAAA8L8CqvHSTWIQ5r8ChJ7Nqs/Vlj8AAAAAHAAAAPz8APwAAgAAAAAAAPC/Aqrx0k1iENy/AngLJCh+jOk/AAAAABgAAAD8/AD8AAIAAAAAAADwvwKC4seYu5bxvwI830+Nl270PwAAAAAcAAAA/PwA/AACAAAAAAAA8L8CGZXUCWgi/L8CdSSX/5B+6T8AAAAAGAAAAPz8APwAAgAAAAAAAPC/Alafq63YX9Y/Avkx5q4l5PA/AAAAABgAAAD8/AD8AAIAAAAAAADwvwJDPujZrPruPwI+eVioNc3fPwAAAAAYAAAA/PwA/AACAAAAAAAA8L8CkzoBTYQN/D8CEce6uI0G6D8AAAAAHAAAAPz8APwAAgAAAAAAAPC/ArMMcayL2/4/AkM+6Nms+vg/AAAAABgAAAD8/AD8AAIAAAAAAADwvwIAAAAAAAD1PwLHuriNBvAAQAAAAAAYAAAA/PwA/AACAAAAAAAA8L8CeekmMQis4D8CryXkg57N/T8AAAAAJAAAAPz8APwAAgAAAAAAAPC/ArMMcayL2/6/Ase6uI0G8ADAAAAAABgAAAD8/AD8AAIAAAAAAADwvwJeS8gHPZvxvwJjf9k9edgAQAAAAAABEQAAAPz8APwAAgAAAAAAAPC/AtS84xQdyQVAArMMcayL2/G/AAAAAAETAAQBZQgIAAAAAAAAAAQIAWUEAAAAAAAAAAAIDAFlCAgAAAAAAAAADBQBZQQAAAAAAAAAABAAAWUEAAAAAAAAAAAQFAFlCAgAAAAAAAAAFBgBZQQAAAAAAAAAABgcAWUEAAAAAAAAAAAcIAFlCAgAAAAAAAAAIBABZQQAAAAAAAAAABgkAWUEAAAAAAAAAAAkKAFlBAAAAAAAAAAAJDgBZQQAAAAAAAAAACgsAWUEAAAAAAAAAAAsMAFlBAAAAAAAAAAAMDQBZQQAAAAAAAAAADQ4AWUEAAAAAAAAAAAEPAFlBAAAAAAAAAAAHAEQAWUEAAAAAAAAAAAAAAAA</t>
        </r>
      </text>
    </comment>
    <comment ref="A1843" authorId="0" shapeId="0" xr:uid="{D8F8946B-D8C1-4F88-B444-D644A32B621C}">
      <text>
        <r>
          <rPr>
            <sz val="9"/>
            <color indexed="81"/>
            <rFont val="MS P ゴシック"/>
            <family val="3"/>
            <charset val="128"/>
          </rPr>
          <t>Insight iXlW00001C0001843R0585476093S00003684P01392LAocjBAQBF1NjaVRlZ2ljLmRhdGEuTW9sZWN1bGUBbwF/ARJTY2lUZWdpYy5Nb2xlY3VsZQAAAQFkAv5qAQAAAAIAAgESGAAAAPz8APwAAgAAAAAAAPC/AuomMQisHPi/Asb+snvysPC/AAAAABgAAAD8/AD8AAIAAAAAAADwvwIv3SQGgZXxvwKQMXctIR/8vwAAAAAYAAAA/PwA/AACAAAAAAAA8L8Ch6dXyjLE0b8CX7pJDAIr/L8AAAAAGAAAAPz8APwAAgAAAAAAAPC/AiQofoy5a8E/AphuEoPAyvC/AAAAABgAAAD8/AD8AAIAAAAAAADwvwIHX5hMFYzxvwL5oGez6nPVvwAAAAAYAAAA/PwA/AACAAAAAAAA8L8CL26jAbwF0r8Cx0s3iUFg1b8AAAAAHAAAAPz8APwAAgAAAAAAAPC/Ao/k8h/Sb5+/AjEqqRPQRNw/AAAAABgAAAD8/AD8AAIAAAAAAADwvwLMf0i/fR3mvwK+UpYhjnXtPwAAAAAcAAAA/PwA/AACAAAAAAAA8L8CmpmZmZmZ9b8CKVyPwvUo3D8AAAAAGAAAAPz8APwAAgAAAAAAAPC/AtNNYhBYOeg/ArCUZYhjXeY/AAAAABgAAAD8/AD8AAIAAAAAAADwvwLiWBe30QD2PwIN4C2QoPjBPwAAAAAYAAAA/PwA/AACAAAAAAAA8L8CSOF6FK5HAUAC+8vuycNC2T8AAAAAHAAAAPz8APwAAgAAAAAAAPC/AqvP1VbsrwJAAvXb14FzRvM/AAAAABgAAAD8/AD8AAIAAAAAAADwvwL3l92Th4X7PwJfukkMAiv8PwAAAAAYAAAA/PwA/AACAAAAAAAA8L8Cvw6cM6K07T8C8BZIUPwY+D8AAAAAJAAAAPz8APwAAgAAAAAAAPC/AqvP1VbsrwLAAvSOU3Qkl/C/AAAAABgAAAD8/AD8AAIAAAAAAADwvwJlqmBUUifmvwKWQ4ts5/v7PwAAAAABEQAAAPz8APwAAgAAAAAAAPC/AvCnxks3iQRAAgAAAAAAAPS/AAAAAAETAAQBZQgIAAAAAAAAAAQIAWUEAAAAAAAAAAAIDAFlCAgAAAAAAAAADBQBZQQAAAAAAAAAABAAAWUEAAAAAAAAAAAQFAFlCAgAAAAAAAAAFBgBZQQAAAAAAAAAABgcAWUEAAAAAAAAAAAcIAFlCAgAAAAAAAAAIBABZQQAAAAAAAAAABgkAWUEAAAAAAAAAAAkKAFlBAAAAAAAAAAAJDgBZQQAAAAAAAAAACgsAWUEAAAAAAAAAAAsMAFlBAAAAAAAAAAAMDQBZQQAAAAAAAAAADQ4AWUEAAAAAAAAAAAAPAFlBAAAAAAAAAAAHAEQAWUEAAAAAAAAAAAAAAAA</t>
        </r>
      </text>
    </comment>
    <comment ref="A1844" authorId="0" shapeId="0" xr:uid="{7A6BB535-0694-420C-B083-1F28F1CBA749}">
      <text>
        <r>
          <rPr>
            <sz val="9"/>
            <color indexed="81"/>
            <rFont val="MS P ゴシック"/>
            <family val="3"/>
            <charset val="128"/>
          </rPr>
          <t>Insight iXlW00001C0001844R0585476093S00003686P01304LAocjBAQBF1NjaVRlZ2ljLmRhdGEuTW9sZWN1bGUBbwF/ARJTY2lUZWdpYy5Nb2xlY3VsZQAAAQFkAv5qAQAAAAIAAgERHAAAAPz8APwAAgAAAAAAAPC/AobJVMGoXEhAApqZmZmZ+TRAAAAAABgAAAD8/AD8AAIAAAAAAADwvwLyQc9m1bdIQAJOYhBYOWQ1QAAAAAAYAAAA/PwA/AACAAAAAAAA8L8CEHo2qz63SEACutqK/WU3NkAAAAAAGAAAAPz8APwAAgAAAAAAAPC/AhZqTfOOE0lAApayDHGs+zRAAAAAABgAAAD8/AD8AAIAAAAAAADwvwJdbcX+svtHQALp2az6XE01QAAAAAAcAAAA/PwA/AACAAAAAAAA8L8CBcWPMXe1R0ACj1N0JJevNEAAAAAAGAAAAPz8APwAAgAAAAAAAPC/AsKGp1fK6kdAArdif9k9+TNAAAAAABgAAAD8/AD8AAIAAAAAAADwvwLgLZCg+FFIQAIRNjy9UiY0QAAAAAAgAAAA/PwA/AACAAAAAAAA8L8C+THmriUUSUACuK8D54woNEAAAAAAIAAAAPz8APwAAgAAAAAAAPC/AljKMsSxbklAAoPAyqFFZjVAAAAAABgAAAD8/AD8AAIAAAAAAADwvwLf4AuTqRJJQAI2PL1SlqE2QAAAAAAYAAAA/PwA/AACAAAAAAAA8L8CJzEIrBwSSUACoyO5/Id0N0AAAAAAGAAAAPz8APwAAgAAAAAAAPC/Aq7YX3ZPtkhAApOpglFJ3TdAAAAAABgAAAD8/AD8AAIAAAAAAADwvwJ7FK5H4VpIQAI2PL1SlnE3QAAAAAAYAAAA/PwA/AACAAAAAAAA8L8Cz4jS3uBbSEAC5tAi2/meNkAAAAAAJAAAAPz8APwAAgAAAAAAAPC/AoXrUbgebUlAAsgpOpLL3zdAAAAAAAERAAAA/PwA/AACAAAAAAAA8L8C1ZrmHaeQSEACDQIrhxaJM0AAAAAAAREABAFlBAAAAAAAAAAABAgBZQQAAAAAAAAAAAQMAWUEAAAAAAAAAAAAEAFlBAAAAAAAAAAAEBQBZQgIAAAAAAAAABQYAWUEAAAAAAAAAAAYHAFlCAgAAAAAAAAAHAABZQQAAAAAAAAAAAwgAWUIAAAAAAAAAAAMJAFlBAAAAAAAAAAACCgBZQgMAAAAAAAAACgsAWUEAAAAAAAAAAAsMAFlCAgAAAAAAAAAMDQBZQQAAAAAAAAAADQ4AWUICAAAAAAAAAA4CAFlBAAAAAAAAAAALDwBZQQAAAAAAAAAAAAAAAA=</t>
        </r>
      </text>
    </comment>
    <comment ref="A1845" authorId="0" shapeId="0" xr:uid="{E5FAAC26-3701-497A-87F8-EBC5C6284A27}">
      <text>
        <r>
          <rPr>
            <sz val="9"/>
            <color indexed="81"/>
            <rFont val="MS P ゴシック"/>
            <family val="3"/>
            <charset val="128"/>
          </rPr>
          <t>Insight iXlW00001C0001845R0585476093S00003688P01248LAocjBAQBF1NjaVRlZ2ljLmRhdGEuTW9sZWN1bGUBbwF/ARJTY2lUZWdpYy5Nb2xlY3VsZQAAAQFkAv5qAQAAAAIAAgEQGAAAAPz8APwAAgAAAAAAAPC/Av7UeOkmcSlAAka28/3UOCxAAAAAABgIAAD8/AD8AAIAAAAAAADwvwL+1HjpJnEpQALgT42XbpIqQAAAAAAYAAAA/PwA/AACAAAAAAAA8L8CWFuxv+zeKkACrBxaZDu/KUAAAAAAGAAAAPz8APwAAgAAAAAAAPC/Aj9XW7G/TCxAAuBPjZdukipAAAAAABgMAAD8/AD8AAIAAAAAAADwvwI/V1uxv0wsQAJGtvP91DgsQAAAAAAYAAAA/PwA/AACAAAAAAAA8L8CWFuxv+zeKkACeekmMQgMLUAAAAAAGAAAAPz8APwAAgAAAAAAAPC/AiZTBaOSui1AAnnpJjEIDC1AAAAAABwAAAD8/AD8AAIAAAAAAADwvwIX2c73UwMoQAKsHFpkO78pQAAAAAAgAAAA/PwA/AACAAAAAAAA8L8CgNk9eVgoL0ACRrbz/dQ4LEAAAAAAIAAAAPz8APwAAgAAAAAAAPC/AiZTBaOSui1AAuBPjZdusi5AAAAAABgAAAD8/AD8AAIAAAAAAADwvwIv3SQGgZUmQALgT42XbpIqQAAAAAAgAAAA/PwA/AACAAAAAAAA8L8C1lbsL7snJUACrBxaZDu/KUAAAAAAGAAAAPz8APwAAgAAAAAAAPC/AtZW7C+7JyVAAka28/3UGChAAAAAABgAAAD8/AD8AAIAAAAAAADwvwIv3SQGgZUmQAITg8DKoUUnQAAAAAAYAAAA/PwA/AACAAAAAAAA8L8CF9nO91MDKEACRrbz/dQYKEAAAAAAIAAAAPz8APwAAgAAAAAAAPC/Ai/dJAaBlSZAAka28/3UOCxAAAAAAAERAAQBZQQAAAAAAAAAAAQIAWUEAAAAAAAAAAAIDAFlBAAAAAAAAAAADBABZQQAAAAAAAAAABAUAWUEAAAAAAAAAAAUAAFlBAAAAAAAAAAAEBgBZQQUAAAAAAAAAAQcAWUEEAAAAAAAAAAYIAFlBAAAAAAAAAAAGCQBZQgAAAAAAAAAABwoAWUEAAAAAAAAAAAoLAFlBAAAAAAAAAAALDABZQQAAAAAAAAAADA0AWUEAAAAAAAAAAA0OAFlBAAAAAAAAAAAOBwBZQQAAAAAAAAAACg8AWUIAAAAAAAAAAAAAAAA</t>
        </r>
      </text>
    </comment>
    <comment ref="A1846" authorId="0" shapeId="0" xr:uid="{8BD032B7-E4F4-4140-ACC7-CEC59083BBFE}">
      <text>
        <r>
          <rPr>
            <sz val="9"/>
            <color indexed="81"/>
            <rFont val="MS P ゴシック"/>
            <family val="3"/>
            <charset val="128"/>
          </rPr>
          <t>Insight iXlW00001C0001846R0585476093S00003690P01248LAocjBAQBF1NjaVRlZ2ljLmRhdGEuTW9sZWN1bGUBbwF/ARJTY2lUZWdpYy5Nb2xlY3VsZQAAAQFkAv5qAQAAAAIAAgEQGAAAAPz8APwAAgAAAAAAAPC/AkqdgCbCBgPAAigPC7Wmed8/AAAAABgAAAD8/AD8AAIAAAAAAADwvwK30QDeAgkDwAKCBMWPMXfVvwAAAAAYAAAA/PwA/AACAAAAAAAA8L8CpHA9Ctej+r8C33GKjuTy578AAAAAGAAAAPz8APwAAgAAAAAAAPC/AkXY8PRKWe6/Aq2L22gAb9W/AAAAABgAAAD8/AD8AAIAAAAAAADwvwIAkX77OnDuvwL7XG3F/rLfPwAAAAAYAAAA/PwA/AACAAAAAAAA8L8CJuSDns2q+r8C5WGh1jTv7D8AAAAAGAAAAPz8APwAAgAAAAAAAPC/AhfZzvdT482/AtuK/WX35Oe/AAAAABwAAAD8/AD8AAIAAAAAAADwvwKgibDh6ZXCvwIRx7q4jQb5vwAAAAAgAAAA/PwA/AACAAAAAAAA8L8C5x2n6Egu5T8CrD5XW7G/+78AAAAAGAAAAPz8APwAAgAAAAAAAPC/ArK/7J48LPE/Aqyt2F92T/C/AAAAABwAAAD8/AD8AAIAAAAAAADwvwIs1JrmHafgPwLZX3ZPHhbavwAAAAAYAAAA/PwA/AACAAAAAAAA8L8CJEp7gy9M/j8Cx9y1hHzQ7b8AAAAAGAAAAPz8APwAAgAAAAAAAPC/AkOtad5xis6/Amyad5yiI+0/AAAAACAAAAD8/AD8AAIAAAAAAADwvwKQwvUoXI/ePwKJY13cRgPgPwAAAAAgAAAA/PwA/AACAAAAAAAA8L8C6Ugu/yH9zr8CrD5XW7G/+z8AAAAAGAAAAPz8APwAAgAAAAAAAPC/ArfRAN4CCQNAAvp+arx0k/m/AAAAAAERAAQBZQgIAAAAAAAAAAQIAWUEAAAAAAAAAAAIDAFlCAgAAAAAAAAADBABZQQAAAAAAAAAABAUAWUICAAAAAAAAAAUAAFlBAAAAAAAAAAADBgBZQQAAAAAAAAAABgcAWUIDAAAAAAAAAAcIAFlBAAAAAAAAAAAICQBZQQAAAAAAAAAACQoAWUICAAAAAAAAAAoGAFlBAAAAAAAAAAAJCwBZQQAAAAAAAAAABAwAWUEAAAAAAAAAAAwNAFlBAAAAAAAAAAAMDgBZQgAAAAAAAAAACw8AWUEAAAAAAAAAAAAAAAA</t>
        </r>
      </text>
    </comment>
    <comment ref="A1847" authorId="0" shapeId="0" xr:uid="{F6EB5498-F72B-41ED-A3BA-484D648B67B5}">
      <text>
        <r>
          <rPr>
            <sz val="9"/>
            <color indexed="81"/>
            <rFont val="MS P ゴシック"/>
            <family val="3"/>
            <charset val="128"/>
          </rPr>
          <t>Insight iXlW00001C0001847R0585476093S00003692P01248LAocjBAQBF1NjaVRlZ2ljLmRhdGEuTW9sZWN1bGUBbwF/ARJTY2lUZWdpYy5Nb2xlY3VsZQAAAQFkAv5qAQAAAAIAAgEQGAAAAPz8APwAAgAAAAAAAPC/Amsr9pfdk/q/AiFB8WPMXd8/AAAAABgAAAD8/AD8AAIAAAAAAADwvwJHlPYGX5j6vwJNhA1Pr5TVvwAAAAAYAAAA/PwA/AACAAAAAAAA8L8CrK3YX3ZP7r8C4lgXt9EA6L8AAAAAGAAAAPz8APwAAgAAAAAAAPC/Atbnaiv2l82/ArRZ9bnaitW/AAAAABgAAAD8/AD8AAIAAAAAAADwvwLByqFFtvPNvwL0jlN0JJffPwAAAAAYAAAA/PwA/AACAAAAAAAA8L8C/Knx0k1i7r8C4noUrkfh7D8AAAAAGAAAAPz8APwAAgAAAAAAAPC/Al7cRgN4CwPAAjZeukkMAu0/AAAAACAAAAD8/AD8AAIAAAAAAADwvwLiWBe30QADwAKeXinLEMf7PwAAAAAgAAAA/PwA/AACAAAAAAAA8L8ChC9MpgrGCMACIUHxY8xd3z8AAAAAGAAAAPz8APwAAgAAAAAAAPC/AtiBc0aU9t4/ApJc/kP67ee/AAAAABwAAAD8/AD8AAIAAAAAAADwvwLKVMGopE7iPwJ1kxgEVg75vwAAAAAcAAAA/PwA/AACAAAAAAAA8L8CjErqBDQR9j8Cnl4pyxDH+78AAAAAGAAAAPz8APwAAgAAAAAAAPC/Akt7gy9Mpvw/Ai4hH/RsVvC/AAAAACAAAAD8/AD8AAIAAAAAAADwvwKvJeSDns3zPwLgLZCg+DHavwAAAAAYAAAA/PwA/AACAAAAAAAA8L8C3gIJih/jBEACrBxaZDvf7b8AAAAAGAAAAPz8APwAAgAAAAAAAPC/AoQvTKYKxghAArhAguLHmPm/AAAAAAERAAQBZQgIAAAAAAAAAAQIAWUEAAAAAAAAAAAIDAFlCAgAAAAAAAAADBABZQQAAAAAAAAAABAUAWUICAAAAAAAAAAUAAFlBAAAAAAAAAAAABgBZQQAAAAAAAAAABgcAWUEAAAAAAAAAAAYIAFlCAAAAAAAAAAADCQBZQQAAAAAAAAAACQoAWUIDAAAAAAAAAAoLAFlBAAAAAAAAAAALDABZQgIAAAAAAAAADA0AWUEAAAAAAAAAAA0JAFlBAAAAAAAAAAAMDgBZQQAAAAAAAAAADg8AWUEAAAAAAAAAAAAAAAA</t>
        </r>
      </text>
    </comment>
    <comment ref="A1848" authorId="0" shapeId="0" xr:uid="{90DC92A9-CF7F-43F9-BE89-2E8C29CDD4F6}">
      <text>
        <r>
          <rPr>
            <sz val="9"/>
            <color indexed="81"/>
            <rFont val="MS P ゴシック"/>
            <family val="3"/>
            <charset val="128"/>
          </rPr>
          <t>Insight iXlW00001C0001848R0585476093S00003694P01160LAocjBAQBF1NjaVRlZ2ljLmRhdGEuTW9sZWN1bGUBbwF/ARJTY2lUZWdpYy5Nb2xlY3VsZQAAAQFkAv5qAQAAAAIAAjwYAAAA/PwA/AACAAAAAAAA8L8Csr/snjws6L8C6dms+lxt/L8AAAAAGAAAAPz8APwAAgAAAAAAAPC/AgvXo3A9Cqe/AvtcbcX+svW/AAAAABwAAAD8/AD8AAIAAAAAAADwvwLvWkI+6NnMvwLJBz2bVZ/hvwAAAAAcAAAA/PwA/AACAAAAAAAA8L8CNKK0N/jC8L8CX5hMFYxK3r8AAAAAGAAAAPz8APwAAgAAAAAAAPC/Aq36XG3F/vW/AmwJ+aBns/O/AAAAABgAAAD8/AD8AAIAAAAAAADwvwLrc7UV+8vmPwJ0tRX7y+76vwAAAAAYAAAA/PwA/AACAAAAAAAA8L8CexSuR+F61D8CAW+BBMWPsT8AAAAAHAAAAPz8APwAAgAAAAAAAPC/Aq36XG3F/vU/AlfsL7snD/O/AAAAABgAAAD8/AD8AAIAAAAAAADwvwJYW7G/7J6sPwIWjErqBDTrPwAAAAAYAAAA/PwA/AACAAAAAAAA8L8C/7J78rBQ4z8CggTFjzF39z8AAAAAGAAAAPz8APwAAgAAAAAAAPC/AlwgQfFjzNU/AkM+6Nms+gFAAAAAABgAAAD8/AD8AAIAAAAAAADwvwKnCkYldQLevwLUvOMUHUkDQAAAAAAYAAAA/PwA/AACAAAAAAAA8L8CzV1LyAc98L8Cg+LHmLuW/D8AAAAAGAAAAPz8APwAAgAAAAAAAPC/Ag3gLZCg+Oe/AgHeAgmKH/A/AAAAAAERAAAA/PwA/AACAAAAAAAA8L8CfT81XrpJ3D8C5BQdyeW/AMAAAAAAPAAEAWUICAAAAAAAAAAECAFlBAAAAAAAAAAACAwBZQQAAAAAAAAAAAwQAWUICAAAAAAAAAAQAAFlBAAAAAAAAAAABBQBZQQAAAAAAAAAAAgYAWUEAAAAAAAAAAAUHAFlBAAAAAAAAAAAGCABZQQAAAAAAAAAACAkAWUIDAAAAAAAAAAkKAFlBAAAAAAAAAAAKCwBZQgIAAAAAAAAACwwAWUEAAAAAAAAAAAwNAFlCAgAAAAAAAAANCABZQQAAAAAAAAAAAAAAAA=</t>
        </r>
      </text>
    </comment>
    <comment ref="A1849" authorId="0" shapeId="0" xr:uid="{F6A772DD-D5C8-4954-A865-F7D431E441C5}">
      <text>
        <r>
          <rPr>
            <sz val="9"/>
            <color indexed="81"/>
            <rFont val="MS P ゴシック"/>
            <family val="3"/>
            <charset val="128"/>
          </rPr>
          <t>Insight iXlW00001C0001849R0585476093S00003696P01232LAocjBAQBF1NjaVRlZ2ljLmRhdGEuTW9sZWN1bGUBbwF/ARJTY2lUZWdpYy5Nb2xlY3VsZQAAAQFkAv5qAQAAAAIAAgEQGAAAAPz8APwAAgAAAAAAAPC/Agu1pnnHKei/AnYCmggbnv+/AAAAABgAAAD8/AD8AAIAAAAAAADwvwIL16NwPQqnvwL5MeauJeT4vwAAAAAcAAAA/PwA/AACAAAAAAAA8L8CZvfkYaHWzL8Ca7x0kxgE6L8AAAAAHAAAAPz8APwAAgAAAAAAAPC/AnDwhclUwfC/ArRZ9bnaiuW/AAAAABgAAAD8/AD8AAIAAAAAAADwvwJ4nKIjufz1vwJq3nGKjuT2vwAAAAAYAAAA/PwA/AACAAAAAAAA8L8CJ8KGp1fK5j8CcoqO5PIf/r8AAAAAGAAAAPz8APwAAgAAAAAAAPC/Ardif9k9edQ/AhriWBe30cC/AAAAABwAAAD8/AD8AAIAAAAAAADwvwJ4nKIjufz1PwIgY+5aQj72vwAAAAAYAAAA/PwA/AACAAAAAAAA8L8CWFuxv+yerD8Cc9cS8kHP5D8AAAAAGAAAAPz8APwAAgAAAAAAAPC/AjsBTYQNT+M/AqjGSzeJQfQ/AAAAABgAAAD8/AD8AAIAAAAAAADwvwKYbhKDwMrVPwIdyeU/pF8AQAAAAAAYAAAA/PwA/AACAAAAAAAA8L8CHqfoSC7/3b8CdnEbDeCtAUAAAAAAGAAAAPz8APwAAgAAAAAAAPC/AgisHFpkO/C/AqmkTkATYfk/AAAAABgAAAD8/AD8AAIAAAAAAADwvwJn1edqK/bnvwJgB84ZUdrpPwAAAAAkAAAA/PwA/AACAAAAAAAA8L8CggTFjzF3578CWoY41sXtB0AAAAAAAREAAAD8/AD8AAIAAAAAAADwvwIYJlMFo5LWPwLKw0Ktad4DwAAAAAABEAAEAWUICAAAAAAAAAAECAFlBAAAAAAAAAAACAwBZQQAAAAAAAAAAAwQAWUICAAAAAAAAAAQAAFlBAAAAAAAAAAABBQBZQQAAAAAAAAAAAgYAWUEAAAAAAAAAAAUHAFlBAAAAAAAAAAAGCABZQQAAAAAAAAAACAkAWUIDAAAAAAAAAAkKAFlBAAAAAAAAAAAKCwBZQgIAAAAAAAAACwwAWUEAAAAAAAAAAAwNAFlCAgAAAAAAAAANCABZQQAAAAAAAAAACw4AWUEAAAAAAAAAAAAAAAA</t>
        </r>
      </text>
    </comment>
    <comment ref="A1850" authorId="0" shapeId="0" xr:uid="{4D2AEC15-B56B-4A00-984C-76272C96C587}">
      <text>
        <r>
          <rPr>
            <sz val="9"/>
            <color indexed="81"/>
            <rFont val="MS P ゴシック"/>
            <family val="3"/>
            <charset val="128"/>
          </rPr>
          <t>Insight iXlW00001C0001850R0585476093S00003698P01088LAocjBAQBF1NjaVRlZ2ljLmRhdGEuTW9sZWN1bGUBbwF/ARJTY2lUZWdpYy5Nb2xlY3VsZQAAAQFkAv5qAQAAAAIAAjgYAAAA/PwA/AACAAAAAAAA8L8CUB4Wak3z7L8C1JrmHafo8b8AAAAAGAAAAPz8APwAAgAAAAAAAPC/AjtwzojS3si/AicxCKwcWua/AAAAABwAAAD8/AD8AAIAAAAAAADwvwI8TtGRXP7XvwIyCKwcWmS7PwAAAAAcAAAA/PwA/AACAAAAAAAA8L8CZapgVFIn878C0gDeAgmKxz8AAAAAGAAAAPz8APwAAgAAAAAAAPC/AhpR2ht8Yfi/ApLtfD81XuK/AAAAABgAAAD8/AD8AAIAAAAAAADwvwJrvHSTGATiPwLvycNCrWnwvwAAAAAYAAAA/PwA/AACAAAAAAAA8L8CXCBB8WPMxT8C6wQ0ETY85z8AAAAAHAAAAPz8APwAAgAAAAAAAPC/AgtGJXUCmvM/Av32deCcEeG/AAAAABgAAAD8/AD8AAIAAAAAAADwvwJqb/CFyVTvPwJTJ6CJsOHhPwAAAAAYAAAA/PwA/AACAAAAAAAA8L8CGlHaG3xh+D8CwOyePCzU8j8AAAAAGAAAAPz8APwAAgAAAAAAAPC/AtBm1edqK/Q/AuziNhrAW/8/AAAAABgAAAD8/AD8AAIAAAAAAADwvwJYW7G/7J7cPwIRWDm0yPYAQAAAAAAYAAAA/PwA/AACAAAAAAAA8L8CD5wzorQ3uL8CGLfRAN4C+D8AAAAAAREAAAD8/AD8AAIAAAAAAADwvwJmGeJYF7fpPwJ7pSxDHOv5vwAAAAA4AAQBZQgIAAAAAAAAAAQIAWUEAAAAAAAAAAAIDAFlBAAAAAAAAAAADBABZQgIAAAAAAAAABAAAWUEAAAAAAAAAAAEFAFlBAAAAAAAAAAACBgBZQQAAAAAAAAAABQcAWUEAAAAAAAAAAAYIAFlCAwAAAAAAAAAICQBZQQAAAAAAAAAACQoAWUICAAAAAAAAAAoLAFlBAAAAAAAAAAALDABZQgIAAAAAAAAADAYAWUEAAAAAAAAAAAAAAAA</t>
        </r>
      </text>
    </comment>
    <comment ref="A1851" authorId="0" shapeId="0" xr:uid="{B2684246-B56A-4642-9259-DEECEFA677BD}">
      <text>
        <r>
          <rPr>
            <sz val="9"/>
            <color indexed="81"/>
            <rFont val="MS P ゴシック"/>
            <family val="3"/>
            <charset val="128"/>
          </rPr>
          <t>Insight iXlW00001C0001851R0585476093S00003700P01160LAocjBAQBF1NjaVRlZ2ljLmRhdGEuTW9sZWN1bGUBbwF/ARJTY2lUZWdpYy5Nb2xlY3VsZQAAAQFkAv5qAQAAAAIAAjwYAAAA/PwA/AACAAAAAAAA8L8CUB4Wak3z7L8C8kHPZtXn8b8AAAAAGAAAAPz8APwAAgAAAAAAAPC/AjtwzojS3si/AmN/2T15WOa/AAAAABwAAAD8/AD8AAIAAAAAAADwvwI8TtGRXP7XvwJTliGOdXG7PwAAAAAcAAAA/PwA/AACAAAAAAAA8L8C9P3UeOkm878CWmQ730+Nxz8AAAAAGAAAAPz8APwAAgAAAAAAAPC/AqmkTkATYfi/ArCUZYhjXeK/AAAAABgAAAD8/AD8AAIAAAAAAADwvwKJY13cRgPiPwINcayL22jwvwAAAAAYAAAA/PwA/AACAAAAAAAA8L8CXCBB8WPMxT8CzV1LyAc95z8AAAAAHAAAAPz8APwAAgAAAAAAAPC/AgtGJXUCmvM/AjlFR3L5D+G/AAAAABgAAAD8/AD8AAIAAAAAAADwvwJqb/CFyVTvPwI1gLdAguLhPwAAAAAYAAAA/PwA/AACAAAAAAAA8L8CqaROQBNh+D8CMZkqGJXU8j8AAAAAGAAAAPz8APwAAgAAAAAAAPC/AtBm1edqK/Q/Al2PwvUoXP8/AAAAABgAAAD8/AD8AAIAAAAAAADwvwJYW7G/7J7cPwIRWDm0yPYAQAAAAAAYAAAA/PwA/AACAAAAAAAA8L8CD5wzorQ3uL8CiWNd3EYD+D8AAAAAJAAAAPz8APwAAgAAAAAAAPC/AgMJih9j7uy/AgFvgQTFj/o/AAAAAAERAAAA/PwA/AACAAAAAAAA8L8CZhniWBe32T8CCvmgZ7Pq+b8AAAAAPAAEAWUICAAAAAAAAAAECAFlBAAAAAAAAAAACAwBZQQAAAAAAAAAAAwQAWUICAAAAAAAAAAQAAFlBAAAAAAAAAAABBQBZQQAAAAAAAAAAAgYAWUEAAAAAAAAAAAUHAFlBAAAAAAAAAAAGCABZQgMAAAAAAAAACAkAWUEAAAAAAAAAAAkKAFlCAgAAAAAAAAAKCwBZQQAAAAAAAAAACwwAWUICAAAAAAAAAAwGAFlBAAAAAAAAAAAMDQBZQQAAAAAAAAAAAAAAAA=</t>
        </r>
      </text>
    </comment>
    <comment ref="A1852" authorId="0" shapeId="0" xr:uid="{58B28CA8-45BC-400B-9A47-461A2000ED9B}">
      <text>
        <r>
          <rPr>
            <sz val="9"/>
            <color indexed="81"/>
            <rFont val="MS P ゴシック"/>
            <family val="3"/>
            <charset val="128"/>
          </rPr>
          <t>Insight iXlW00001C0001852R0585476093S00003702P01160LAocjBAQBF1NjaVRlZ2ljLmRhdGEuTW9sZWN1bGUBbwF/ARJTY2lUZWdpYy5Nb2xlY3VsZQAAAQFkAv5qAQAAAAIAAjwYAAAA/PwA/AACAAAAAAAA8L8CAwmKH2Pu9L8CAiuHFtnO8L8AAAAAGAAAAPz8APwAAgAAAAAAAPC/Ak7zjlN0JOO/Ailcj8L1KOS/AAAAABwAAAD8/AD8AAIAAAAAAADwvwJ7pSxDHOvovwLvycNCrWnGPwAAAAAcAAAA/PwA/AACAAAAAAAA8L8CXkvIBz2b+b8CVOOlm8Qg0D8AAAAAGAAAAPz8APwAAgAAAAAAAPC/AtejcD0K1/6/ApQYBFYOLeC/AAAAABgAAAD8/AD8AAIAAAAAAADwvwKOBvAWSFDEPwIcDeAtkKDuvwAAAAAYAAAA/PwA/AACAAAAAAAA8L8CsAPnjCjtzb8CumsJ+aBn6T8AAAAAHAAAAPz8APwAAgAAAAAAAPC/AqjGSzeJQeo/Av9D+u3rwN2/AAAAABgAAAD8/AD8AAIAAAAAAADwvwLAWyBB8WPiPwIE54wo7Q3kPwAAAAAYAAAA/PwA/AACAAAAAAAA8L8CgZVDi2zn8T8CRUdy+Q/p8z8AAAAAGAAAAPz8APwAAgAAAAAAAPC/AjIIrBxaZOs/AtbFbTSANwBAAAAAABgAAAD8/AD8AAIAAAAAAADwvwKhZ7Pqc7WlPwIAAAAAAIABQAAAAAAYAAAA/PwA/AACAAAAAAAA8L8CgZVDi2zn378Cu7iNBvAW+T8AAAAAJAAAAPz8APwAAgAAAAAAAPC/AtejcD0K1/4/AlmoNc07TvE/AAAAAAERAAAA/PwA/AACAAAAAAAA8L8CWoY41sVt8D8CgZVDi2zn+b8AAAAAPAAEAWUICAAAAAAAAAAECAFlBAAAAAAAAAAACAwBZQQAAAAAAAAAAAwQAWUICAAAAAAAAAAQAAFlBAAAAAAAAAAABBQBZQQAAAAAAAAAAAgYAWUEAAAAAAAAAAAUHAFlBAAAAAAAAAAAGCABZQgMAAAAAAAAACAkAWUEAAAAAAAAAAAkKAFlCAgAAAAAAAAAKCwBZQQAAAAAAAAAACwwAWUICAAAAAAAAAAwGAFlBAAAAAAAAAAAJDQBZQQAAAAAAAAAAAAAAAA=</t>
        </r>
      </text>
    </comment>
    <comment ref="A1853" authorId="0" shapeId="0" xr:uid="{039F83C2-C6B5-4F30-A869-371FAF2E368C}">
      <text>
        <r>
          <rPr>
            <sz val="9"/>
            <color indexed="81"/>
            <rFont val="MS P ゴシック"/>
            <family val="3"/>
            <charset val="128"/>
          </rPr>
          <t>Insight iXlW00001C0001853R0585476093S00003704P01216LAocjBAQBF1NjaVRlZ2ljLmRhdGEuTW9sZWN1bGUBbwF/ARJTY2lUZWdpYy5Nb2xlY3VsZQAAAQFkAv5qAQAAAAIAAgEQHAAAAPz8APwAAgAAAAAAAPC/AoG3QILix9y/Au58PzVeuvW/AAAAABgAAAD8/AD8AAIAAAAAAADwvwJNFYxK6gTYPwLufD81Xrr1vwAAAAAYAAAA/PwA/AACAAAAAAAA8L8CD5wzorQ35D8CzTtO0ZFc4r8AAAAAHAAAAPz8APwAAgAAAAAAAPC/As+I0t7gC6O/Alafq63YX7a/AAAAABgAAAD8/AD8AAIAAAAAAADwvwK3Yn/ZPXnmvwLNO07RkVzivwAAAAAYAAAA/PwA/AACAAAAAAAA8L8CescpOpLL978C4umVsgxx1L8AAAAAHAAAAPz8APwAAgAAAAAAAPC/AgajkjoBzQDAAtuK/WX35Ou/AAAAABgAAAD8/AD8AAIAAAAAAADwvwIrhxbZzvejvwKamZmZmZnnPwAAAAAYAAAA/PwA/AACAAAAAAAA8L8C1udqK/aX5T8C0SLb+X5q8j8AAAAAGAAAAPz8APwAAgAAAAAAAPC/Ao0o7Q2+MPY/AlFrmnecouc/AAAAABgAAAD8/AD8AAIAAAAAAADwvwIGo5I6Ac0AQALRItv5fmryPwAAAAAYAAAA/PwA/AACAAAAAAAA8L8Csp3vp8bLAEACUWuad5yi/z8AAAAAGAAAAPz8APwAAgAAAAAAAPC/AuBPjZduEvY/ApchjnVxGwNAAAAAABwAAAD8/AD8AAIAAAAAAADwvwJ+HThnRGnlPwKneccpOpL/PwAAAAABEQAAAPz8APwAAgAAAAAAAPC/AvCnxks3iQRAAgOaCBueXuW/AAAAAAERAAAA/PwA/AACAAAAAAAA8L8CejarPlfbAUACDuAtkKD4/b8AAAAAPAAEAWUEAAAAAAAAAAAECAFlCAgAAAAAAAAACAwBZQQAAAAAAAAAAAwQAWUEAAAAAAAAAAAQAAFlCAgAAAAAAAAAEBQBZQQAAAAAAAAAABQYAWUEAAAAAAAAAAAMHAFlBAAAAAAAAAAAHCABZQQAAAAAAAAAACAkAWUIDAAAAAAAAAAkKAFlBAAAAAAAAAAAKCwBZQgIAAAAAAAAACwwAWUEAAAAAAAAAAAwNAFlCAgAAAAAAAAANCABZQQAAAAAAAAAAAAAAAA=</t>
        </r>
      </text>
    </comment>
    <comment ref="A1854" authorId="0" shapeId="0" xr:uid="{E11EC9E9-5325-4EB0-90F3-3DA84FEB8BAC}">
      <text>
        <r>
          <rPr>
            <sz val="9"/>
            <color indexed="81"/>
            <rFont val="MS P ゴシック"/>
            <family val="3"/>
            <charset val="128"/>
          </rPr>
          <t>Insight iXlW00001C0001854R0585476093S00003706P01216LAocjBAQBF1NjaVRlZ2ljLmRhdGEuTW9sZWN1bGUBbwF/ARJTY2lUZWdpYy5Nb2xlY3VsZQAAAQFkAv5qAQAAAAIAAgEQHAAAAPz8APwAAgAAAAAAAPC/As3MzMzMzNy/AsuhRbbz/f2/AAAAABgAAAD8/AD8AAIAAAAAAADwvwLVeOkmMQjYPwLLoUW28/39vwAAAAAYAAAA/PwA/AACAAAAAAAA8L8CelioNc075D8CHjhnRGlv8b8AAAAAHAAAAPz8APwAAgAAAAAAAPC/As+I0t7gC6O/ArKd76fGS+O/AAAAABgAAAD8/AD8AAIAAAAAAADwvwIhH/RsVn3mvwIeOGdEaW/xvwAAAAAYAAAA/PwA/AACAAAAAAAA8L8Cc9cS8kHP978CfdCzWfW56r8AAAAAHAAAAPz8APwAAgAAAAAAAPC/Ah1aZDvfzwDAAoc41sVtNPa/AAAAABgAAAD8/AD8AAIAAAAAAADwvwIrhxbZzvejvwLzsFBrmnfMPwAAAAAYAAAA/PwA/AACAAAAAAAA8L8CQKTfvg6c5T8CzTtO0ZFc5D8AAAAAGAAAAPz8APwAAgAAAAAAAPC/Aoc41sVtNPY/As/3U+Olm8w/AAAAABgAAAD8/AD8AAIAAAAAAADwvwIdWmQ7388AQALNO07RkVzkPwAAAAAcAAAA/PwA/AACAAAAAAAA8L8CylTBqKTOAEACKxiV1Alo9z8AAAAAGAAAAPz8APwAAgAAAAAAAPC/Atlfdk8eFvY/AsuhRbbz/f0/AAAAABgAAAD8/AD8AAIAAAAAAADwvwLp2az6XG3lPwKBJsKGp1f3PwAAAAABEQAAAPz8APwAAgAAAAAAAPC/ApchjnVxmwpAAvVsVn2utu6/AAAAAAERAAAA/PwA/AACAAAAAAAA8L8C8KfGSzcJAkAC1LzjFB3J9b8AAAAAPAAEAWUEAAAAAAAAAAAECAFlCAgAAAAAAAAACAwBZQQAAAAAAAAAAAwQAWUEAAAAAAAAAAAQAAFlCAgAAAAAAAAAEBQBZQQAAAAAAAAAABQYAWUEAAAAAAAAAAAMHAFlBAAAAAAAAAAAHCABZQQAAAAAAAAAACAkAWUIDAAAAAAAAAAkKAFlBAAAAAAAAAAAKCwBZQgIAAAAAAAAACwwAWUEAAAAAAAAAAAwNAFlCAgAAAAAAAAANCABZQQAAAAAAAAAAAAAAAA=</t>
        </r>
      </text>
    </comment>
    <comment ref="A1855" authorId="0" shapeId="0" xr:uid="{480CB90A-BE33-4F61-A471-8FDF109C251F}">
      <text>
        <r>
          <rPr>
            <sz val="9"/>
            <color indexed="81"/>
            <rFont val="MS P ゴシック"/>
            <family val="3"/>
            <charset val="128"/>
          </rPr>
          <t>Insight iXlW00001C0001855R0585476093S00003708P01232LAocjBAQBF1NjaVRlZ2ljLmRhdGEuTW9sZWN1bGUBbwF/ARJTY2lUZWdpYy5Nb2xlY3VsZQAAAQFkAv5qAQAAAAIAAgEQGAAAAPz8APwAAgAAAAAAAPC/AvhT46WbxOi/At1GA3gLJP2/AAAAABgAAAD8/AD8AAIAAAAAAADwvwK5jQbwFkiwvwLvycNCrWn2vwAAAAAcAAAA/PwA/AACAAAAAAAA8L8CkQ96Nqs+z78CseHplbIM478AAAAAHAAAAPz8APwAAgAAAAAAAPC/AlfsL7snD/G/AhgmUwWjkuC/AAAAABgAAAD8/AD8AAIAAAAAAADwvwLQRNjw9Er2vwJgdk8eFmr0vwAAAAAYAAAA/PwA/AACAAAAAAAA8L8Cpd++Dpwz5j8CaCJseHql+78AAAAAGAAAAPz8APwAAgAAAAAAAPC/Au7rwDkjStM/Avp+arx0k5g/AAAAABwAAAD8/AD8AAIAAAAAAADwvwKKsOHplbL1PwJLWYY41sXzvwAAAAAYAAAA/PwA/AACAAAAAAAA8L8Cz4jS3uALoz8CLbKd76fG6T8AAAAAGAAAAPz8APwAAgAAAAAAAPC/AtbFbTSAt+I/Ao6XbhKDwPY/AAAAABgAAAD8/AD8AAIAAAAAAADwvwLP91PjpZvUPwLJBz2bVZ8BQAAAAAAYAAAA/PwA/AACAAAAAAAA8L8C+ORhodY0378CWoY41sXtAkAAAAAAGAAAAPz8APwAAgAAAAAAAPC/AvCnxks3ifC/Ao91cRsN4Ps/AAAAABgAAAD8/AD8AAIAAAAAAADwvwJUdCSX/5DovwIa4lgXt9HuPwAAAAAkAAAA/PwA/AACAAAAAAAA8L8C0ETY8PRK9j8CH4XrUbge9D8AAAAAAREAAAD8/AD8AAIAAAAAAADwvwKvtmJ/2T3BvwLkFB3J5b8AwAAAAAABEAAEAWUICAAAAAAAAAAECAFlBAAAAAAAAAAACAwBZQQAAAAAAAAAAAwQAWUICAAAAAAAAAAQAAFlBAAAAAAAAAAABBQBZQQAAAAAAAAAAAgYAWUEAAAAAAAAAAAUHAFlBAAAAAAAAAAAGCABZQQAAAAAAAAAACAkAWUIDAAAAAAAAAAkKAFlBAAAAAAAAAAAKCwBZQgIAAAAAAAAACwwAWUEAAAAAAAAAAAwNAFlCAgAAAAAAAAANCABZQQAAAAAAAAAACQ4AWUEAAAAAAAAAAAAAAAA</t>
        </r>
      </text>
    </comment>
    <comment ref="A1856" authorId="0" shapeId="0" xr:uid="{E31EF9A9-C661-431A-90DF-7C3B7205946F}">
      <text>
        <r>
          <rPr>
            <sz val="9"/>
            <color indexed="81"/>
            <rFont val="MS P ゴシック"/>
            <family val="3"/>
            <charset val="128"/>
          </rPr>
          <t>Insight iXlW00001C0001856R0585476093S00003710P01176LAocjBAQBF1NjaVRlZ2ljLmRhdGEuTW9sZWN1bGUBbwF/ARJTY2lUZWdpYy5Nb2xlY3VsZQAAAQFkAv5qAQAAAAIAAjwYAAAA/PwA/AACAAAAAAAA8L8CGJXUCWgi8b8CwhcmUwWjyr8AAAAAGAAAAPz8APwAAgAAAAAAAPC/AmWqYFRSJ/G/AlpkO99PjfC/AAAAABgAAAD8/AD8AAIAAAAAAADwvwIukKD4MebWvwJHA3gLJCj3vwAAAAAYAAAA/PwA/AACAAAAAAAA8L8Cz4jS3uAL178C6iYxCKwcyj8AAAAAGAAAAPz8APwAAgAAAAAAAPC/AvRsVn2uttY/Ahx8YTJVMMq/AAAAABgAAAD8/AD8AAIAAAAAAADwvwKGyVTBqKTWPwIUP8bctYTwvwAAAAAgAAAA/PwA/AACAAAAAAAA8L8CkzoBTYQN8T8CH4XrUbge978AAAAAGAAAAPz8APwAAgAAAAAAAPC/AgdfmEwVjPw/AiUGgZVDi/C/AAAAABgAAAD8/AD8AAIAAAAAAADwvwLjx5i7lpD8PwIrGJXUCWjKvwAAAAAYAAAA/PwA/AACAAAAAAAA8L8C8BZIUPwY8T8CrfpcbcX+yj8AAAAAGAAAAPz8APwAAgAAAAAAAPC/AvAWSFD8GPE/AgFvgQTFj/A/AAAAACAAAAD8/AD8AAIAAAAAAADwvwKuad5xio78vwLqJjEIrBzKPwAAAAAgAAAA/PwA/AACAAAAAAAA8L8ChutRuB6F/D8CRwN4CyQo9z8AAAAAIAAAAPz8APwAAgAAAAAAAPC/AltCPujZrNY/AkcDeAskKPc/AAAAABgAAAD8/AD8AAIAAAAAAADwvwLjx5i7lpD8vwL5oGez6nPwPwAAAAABEAAEAWUICAAAAAAAAAAECAFlBAAAAAAAAAAACBQBZQgIAAAAAAAAABAMAWUICAAAAAAAAAAMAAFlBAAAAAAAAAAAEBQBZQQAAAAAAAAAABAkAWUEAAAAAAAAAAAUGAFlBAAAAAAAAAAAGBwBZQQAAAAAAAAAABwgAWUEAAAAAAAAAAAgJAFlBAAAAAAAAAAAJCgBZQQAAAAAAAAAAAAsAWUEAAAAAAAAAAAoMAFlBAAAAAAAAAAAKDQBZQgAAAAAAAAAACw4AWUEAAAAAAAAAAAAAAAA</t>
        </r>
      </text>
    </comment>
    <comment ref="A1857" authorId="0" shapeId="0" xr:uid="{906E2A35-42C5-4576-BACD-8CD839B00385}">
      <text>
        <r>
          <rPr>
            <sz val="9"/>
            <color indexed="81"/>
            <rFont val="MS P ゴシック"/>
            <family val="3"/>
            <charset val="128"/>
          </rPr>
          <t>Insight iXlW00001C0001857R0585476093S00003712P01176LAocjBAQBF1NjaVRlZ2ljLmRhdGEuTW9sZWN1bGUBbwF/ARJTY2lUZWdpYy5Nb2xlY3VsZQAAAQFkAv5qAQAAAAIAAjwYAAAA/PwA/AACAAAAAAAA8L8CufyH9NvX9r8CrK3YX3ZP2j8AAAAAGAAAAPz8APwAAgAAAAAAAPC/ApVliGNd3Pa/AmU730+Nl9q/AAAAABgAAAD8/AD8AAIAAAAAAADwvwKVZYhjXdzmvwLIKTqSy3/qvwAAAAAYAAAA/PwA/AACAAAAAAAA8L8Cx7q4jQbw5r8CRdjw9EpZ6j8AAAAAGAAAAPz8APwAAgAAAAAAAPC/ApPLf0i/fV2/AkOtad5xito/AAAAABgAAAD8/AD8AAIAAAAAAADwvwLhnBGlvcFnvwIAkX77OnDavwAAAAAgAAAA/PwA/AACAAAAAAAA8L8C18VtNIC35j8CWoY41sVt6r8AAAAAGAAAAPz8APwAAgAAAAAAAPC/Arn8h/Tb1/Y/AkOtad5xitq/AAAAABgAAAD8/AD8AAIAAAAAAADwvwKVZYhjXdz2PwIAkX77OnDaPwAAAAAYAAAA/PwA/AACAAAAAAAA8L8CJ8KGp1fK5j8C6bevA+eM6j8AAAAAGAAAAPz8APwAAgAAAAAAAPC/AifChqdXyuY/AqCrrdhfdvo/AAAAACAAAAD8/AD8AAIAAAAAAADwvwKRfvs6cM7mvwKP5PIf0m/6vwAAAAAgAAAA/PwA/AACAAAAAAAA8L8CqTXNO07R9j8C8x/Sb1+HAEAAAAAAIAAAAPz8APwAAgAAAAAAAPC/ApPLf0i/fV2/AvMf0m9fhwBAAAAAABgAAAD8/AD8AAIAAAAAAADwvwJWMCqpE9D2vwLzH9JvX4cAwAAAAAABEAAEAWUICAAAAAAAAAAECAFlBAAAAAAAAAAACBQBZQgIAAAAAAAAABAMAWUICAAAAAAAAAAMAAFlBAAAAAAAAAAAEBQBZQQAAAAAAAAAABAkAWUEAAAAAAAAAAAUGAFlBAAAAAAAAAAAGBwBZQQAAAAAAAAAABwgAWUEAAAAAAAAAAAgJAFlBAAAAAAAAAAAJCgBZQQAAAAAAAAAAAgsAWUEAAAAAAAAAAAoMAFlBAAAAAAAAAAAKDQBZQgAAAAAAAAAACw4AWUEAAAAAAAAAAAAAAAA</t>
        </r>
      </text>
    </comment>
    <comment ref="A1858" authorId="0" shapeId="0" xr:uid="{F88E4864-91C6-46F0-A6A2-B7CC60A614FE}">
      <text>
        <r>
          <rPr>
            <sz val="9"/>
            <color indexed="81"/>
            <rFont val="MS P ゴシック"/>
            <family val="3"/>
            <charset val="128"/>
          </rPr>
          <t>Insight iXlW00001C0001858R0585476093S00003714P01240LAocjBAQBF1NjaVRlZ2ljLmRhdGEuTW9sZWN1bGUBbwF/ARJTY2lUZWdpYy5Nb2xlY3VsZQAAAQFkAv5qAQAAAAIAAjwYAAAA/PwA/AACAAAAAAAA8L8COwFNhA1PG0AC0SLb+X6qJEAAAAAAGAAAAPz8APwAAgAAAAAAAPC/An6utmJ/GRlAAnE9CtejcCNAAAAAABwAAAD8/AD8AAIAAAAAAADwvwLnriXkgx4aQAIfhetRuN4hQAAAAAAYAAAA/PwA/AACAAAAAAAA8L8CKe0NvjBZHUACEOm3rwOHIUAAAAAAGAAAAPz8APwAAgAAAAAAAPC/Aj29UpYhjh9AAnDOiNLewCJAAAAAABgAAAD8/AD8AAIAAAAAAADwvwK40QDeAokeQALChqdXylIkQAAAAAAYAAAA/PwA/AACAAAAAAAA8L8CkzoBTYRtIUACcM6I0t7AIkAAAAAAHAAAAPz8APwAAgAAAAAAAPC/Ase6uI0G8CFAAsKGp1fKUiRAAAAAABwAAAD8/AD8AAIAAAAAAADwvwJgB84ZUZogQALQRNjw9EolQAAAAAAYAAAA/PwA/AACAAAAAAAA8L8CYAfOGVGaIEACq8/VVuzvJkAAAAAAGAAAAPz8APwAAgAAAAAAAPC/AvAWSFD8WB5AAt4CCYofwydAAAAAAAERAAAA/PwA/AACAAAAAAAA8L8CEqW9wRemFEAC7zhFR3JZI0AAAAAAJAAAAPz8APwAAgAAAAAAAPC/Aq+2Yn/Z/R9AAqvP1VbsLylAAAAAACQAAAD8/AD8AAIAAAAAAADwvwJzaJHtfH8bQAK+UpYhjpUoQAAAAAAkAAAA/PwA/AACAAAAAAAA8L8C3bWEfNCzHEAC9GxWfa5WJkAAAAAAPAAEAWUEAAAAAAAAAAAECAFlBAAAAAAAAAAACAwBZQQAAAAAAAAAAAwQAWUEAAAAAAAAAAAQFAFlCAgAAAAAAAAAFAABZQQAAAAAAAAAABAYAWUEAAAAAAAAAAAYHAFlCAgAAAAAAAAAHCABZQQAAAAAAAAAACAUAWUEAAAAAAAAAAAgJAFlBAAAAAAAAAAAKCQBZQQAAAAAAAAAACgwAWUEAAAAAAAAAAAoNAFlBAAAAAAAAAAAKDgBZQQAAAAAAAAAAAAAAQAAAAAAAAAAAAAABAwBJtHR09PT09P69gNDRjP2BPYK9gz2DfYO8fHT0fYL+vH58fH68frxAAAAAAAAAA==</t>
        </r>
      </text>
    </comment>
    <comment ref="A1859" authorId="0" shapeId="0" xr:uid="{666E0AEF-AF34-4B61-BE4B-63BA21797104}">
      <text>
        <r>
          <rPr>
            <sz val="9"/>
            <color indexed="81"/>
            <rFont val="MS P ゴシック"/>
            <family val="3"/>
            <charset val="128"/>
          </rPr>
          <t>Insight iXlW00001C0001859R0585476093S00003716P00592LAocjBAQBF1NjaVRlZ2ljLmRhdGEuTW9sZWN1bGUBbwF/ARJTY2lUZWdpYy5Nb2xlY3VsZQAAAQFkAv5qAQAAAAIAAhwYAAAA/PwA/AACAAAAAAAA8L8COdbFbTSA878C5BQdyeU/0D8AAAAAGAAAAPz8APwAAgAAAAAAAPC/AtJvXwfOGfq/AuQUHcnlP/C/AAAAABwAAAD8/AD8AAIAAAAAAADwvwJ2cRsN4C3+vwLFILByaJHNvwAAAAAcAAAA/PwA/AACAAAAAAAA8L8CFR3J5T+k4b8CxSCwcmiRzb8AAAAAIAAAAPz8APwAAgAAAAAAAPC/AlwgQfFjzOm/AuQUHcnlP/C/AAAAABgAAAD8/AD8AAIAAAAAAADwvwKSXP5D+u0AwAIhsHJoke36vwAAAAAcAAAA/PwA/AACAAAAAAAA8L8COdbFbTSA878CbHh6pSxD8T8AAAAAHAAIAWUEAAAAAAAAAAAADAFlCAgAAAAAAAAACAQBZQgIAAAAAAAAAAQQAWUEAAAAAAAAAAAQDAFlBAAAAAAAAAAAABgBZQQAAAAAAAAAAAQUAWUEAAAAAAAAAAAAAAAA</t>
        </r>
      </text>
    </comment>
    <comment ref="A1860" authorId="0" shapeId="0" xr:uid="{FB110FD2-0BCE-4BFE-9D8F-DA280A14A048}">
      <text>
        <r>
          <rPr>
            <sz val="9"/>
            <color indexed="81"/>
            <rFont val="MS P ゴシック"/>
            <family val="3"/>
            <charset val="128"/>
          </rPr>
          <t>Insight iXlW00001C0001860R0585476093S00003718P00752LAocjBAQBF1NjaVRlZ2ljLmRhdGEuTW9sZWN1bGUBbwF/ARJTY2lUZWdpYy5Nb2xlY3VsZQAAAQFkAv5qAQAAAAIAAiQcAAAA/PwA/AACAAAAAAAA8L8CUrgehetRGEACkKD4MeauEcAAAAAAGAAAAPz8APwAAgAAAAAAAPC/Apt3nKIjeRVAAsDsnjwsVBPAAAAAABwAAAD8/AD8AAIAAAAAAADwvwIU0ETY8HQSQAKwcmiR7fwRwAAAAAAYAAAA/PwA/AACAAAAAAAA8L8C5BQdyeU/EEACN6s+V1txFMAAAAAAIAAAAPz8APwAAgAAAAAAAPC/AmdmZmZm5hFAAngLJCh+TBfAAAAAABwAAAD8/AD8AAIAAAAAAADwvwKppE5AEyEVQAKxUGuad5wWwAAAAAAYAAAA/PwA/AACAAAAAAAA8L8CwcqhRbbzCUACYcPTK2UZFMAAAAAAGAAAAPz8APwAAgAAAAAAAPC/AuomMQisnARAAilcj8L1KBLAAAAAABgAAAD8/AD8AAIAAAAAAADwvwI/V1uxv+wDQAL+1HjpJnEVwAAAAAAoAAQBZQQAAAAAAAAAAAQIAWUEAAAAAAAAAAAUBAFlCAwAAAAAAAAACAwBZQgIAAAAAAAAAAwQAWUEAAAAAAAAAAAMGAFlBAAAAAAAAAAAEBQBZQQAAAAAAAAAABgcAWUEAAAAAAAAAAAgGAFlBAAAAAAAAAAAHCABZQQAAAAAAAAAAAAAAAA=</t>
        </r>
      </text>
    </comment>
    <comment ref="A1861" authorId="0" shapeId="0" xr:uid="{E0D3ADFA-9B7D-4B7A-8F9D-2E56D0A5E472}">
      <text>
        <r>
          <rPr>
            <sz val="9"/>
            <color indexed="81"/>
            <rFont val="MS P ゴシック"/>
            <family val="3"/>
            <charset val="128"/>
          </rPr>
          <t>Insight iXlW00001C0001861R0585476093S00003720P01020LAocjBAQBF1NjaVRlZ2ljLmRhdGEuTW9sZWN1bGUBbwF/ARJTY2lUZWdpYy5Nb2xlY3VsZQAAAQFkAv5qAQAAAAIAAjQYAAAA/PwA/AACAAAAAAAA8L8CFvvL7snD9r8Cc/kP6bevy78AAAAAGAAAAPz8APwAAgAAAAAAAPC/AueMKO0Nvua/At21hHzQs8k/AAAAABgAAAD8/AD8AAIAAAAAAADwvwL6fmq8dJN4PwKhibDh6ZXKvwAAAAAYAAAA/PwA/AACAAAAAAAA8L8C0gDeAgmKfz8CQ61p3nGK8L8AAAAAGAAAAPz8APwAAgAAAAAAAPC/AnxhMlUwKuc/AjNVMCqpE/e/AAAAABgAAAD8/AD8AAIAAAAAAADwvwKt+lxtxf72PwLvycNCrWnwvwAAAAAYAAAA/PwA/AACAAAAAAAA8L8CjnVxGw3g9j8CW9O84xQdyb8AAAAAGAAAAPz8APwAAgAAAAAAAPC/AoSezarP1eY/AtPe4AuTqco/AAAAACAAAAD8/AD8AAIAAAAAAADwvwI9LNSa5h0BwAILRiV1AprIPwAAAAAgAAAA/PwA/AACAAAAAAAA8L8CN6s+V1ux9r8CYjJVMCqp8L8AAAAAGAAAAPz8APwAAgAAAAAAAPC/AoiFWtO84+a/Au/Jw0KtafA/AAAAABgAAAD8/AD8AAIAAAAAAADwvwItQxzr4jZqvwIzVTAqqRP3PwAAAAABEQAAAPz8APwAAgAAAAAAAPC/Aj0s1JrmHQFAAp/Nqs/VVsw/AAAAADQABAFlBAAAAAAAAAAABAgBZQQAAAAAAAAAAAgMAWUIDAAAAAAAAAAMEAFlBAAAAAAAAAAAEBQBZQgIAAAAAAAAABQYAWUEAAAAAAAAAAAYHAFlCAgAAAAAAAAAHAgBZQQAAAAAAAAAAAAgAWUEAAAAAAAAAAAAJAFlCAAAAAAAAAAABCgBZQQAAAAAAAAAACgsAWUEAAAAAAAAAAAYMAFlBAAAAAAAAAAAAAAAAA==</t>
        </r>
      </text>
    </comment>
    <comment ref="A1862" authorId="0" shapeId="0" xr:uid="{9DA2B9CC-E214-4EC7-ACED-54506C7244C5}">
      <text>
        <r>
          <rPr>
            <sz val="9"/>
            <color indexed="81"/>
            <rFont val="MS P ゴシック"/>
            <family val="3"/>
            <charset val="128"/>
          </rPr>
          <t>Insight iXlW00001C0001862R0585476093S00003722P01252LAocjBAQBF1NjaVRlZ2ljLmRhdGEuTW9sZWN1bGUBbwF/ARJTY2lUZWdpYy5Nb2xlY3VsZQAAAQFkAv5qAQAAAAIAAgEQGAAAAPz8APwAAgAAAAAAAPC/AulILv8h/QlAAt6Th4Va+0pAAAAAABgAAAD8/AD8AAIAAAAAAADwvwKi1jTvOEUNQAI6tMh2vp9KQAAAAAAcAAAA/PwA/AACAAAAAAAA8L8C7Q2+MJnqEUACutqK/WWfSkAAAAAAGAAAAPz8APwAAgAAAAAAAPC/Ar4wmSoYlRNAAgpoImx4+kpAAAAAABgAAAD8/AD8AAIAAAAAAADwvwLG/rJ78vARQAKuR+F6FFZLQAAAAAAYAAAA/PwA/AACAAAAAAAA8L8CotY07zhFDUACZvfkYaFWS0AAAAAAGAAAAPz8APwAAgAAAAAAAPC/AvjkYaHWtAZAAuVhodY0n0pAAAAAACAAAAD8/AD8AAIAAAAAAADwvwJuNIC3QIL5PwK2FfvL7vlKQAAAAAAYAAAA/PwA/AACAAAAAAAA8L8CuECC4scYAEACEqW9wReeSkAAAAAAGAAAAPz8APwAAgAAAAAAAPC/AvCnxks3CQBAAq5H4XoUVktAAAAAABgAAAD8/AD8AAIAAAAAAADwvwJO845TdKQGQAKDwMqhRVZLQAAAAAAYAAAA/PwA/AACAAAAAAAA8L8CJCh+jLnrCUACC7WmecexS0AAAAAAGAAAAPz8APwAAgAAAAAAAPC/AgtGJXUCmgZAAulILv8hDUxAAAAAABgAAAD8/AD8AAIAAAAAAADwvwKqE9BE2PD/PwKHONbFbQxMQAAAAAAYAAAA/PwA/AACAAAAAAAA8L8CU5YhjnVx+T8CDXGsi9uwS0AAAAAAAREAAAD8/AD8AAIAAAAAAADwvwL9h/Tb18EYQAJCz2bV5+JKQAAAAAABEQAEAWUEAAAAAAAAAAAAFAFlBAAAAAAAAAAABAgBZQQAAAAAAAAAAAgMAWUEAAAAAAAAAAAMEAFlBAAAAAAAAAAAEBQBZQQAAAAAAAAAABgAAWUEAAAAAAAAAAAYIAFlBAAAAAAAAAAAACgBZQQAAAAAAAAAACQcAWUEAAAAAAAAAAAcIAFlBAAAAAAAAAAAJCgBZQgIAAAAAAAAACgsAWUEAAAAAAAAAAAsMAFlCAgAAAAAAAAAMDQBZQQAAAAAAAAAADQ4AWUICAAAAAAAAAA4JAFlBAAAAAAAAAAAAAAAAA==</t>
        </r>
      </text>
    </comment>
    <comment ref="A1863" authorId="0" shapeId="0" xr:uid="{82AB148B-66BF-4024-8822-4D92E822EA18}">
      <text>
        <r>
          <rPr>
            <sz val="9"/>
            <color indexed="81"/>
            <rFont val="MS P ゴシック"/>
            <family val="3"/>
            <charset val="128"/>
          </rPr>
          <t>Insight iXlW00001C0001863R0585476093S00003724P01852LAocjBAQBF1NjaVRlZ2ljLmRhdGEuTW9sZWN1bGUBbwF/ARJTY2lUZWdpYy5Nb2xlY3VsZQAAAQFkAv5qAQAAAAIAAgEYGAAAAPz8APwAAgAAAAAAAPC/Ane+nxov3QbAAsnlP6TfvvO/AAAAABgAAAD8/AD8AAIAAAAAAADwvwLl8h/Sb98GwAKSy39Iv30AwAAAAAAYAAAA/PwA/AACAAAAAAAA8L8CgNk9eVgoAcACescpOpLLA8AAAAAAGAAAAPz8APwAAgAAAAAAAPC/AkETYcPTKwHAAl+YTBWMSuq/AAAAABgAAAD8/AD8AAIAAAAAAADwvwLbiv1l9+T2vwJVUiegibDzvwAAAAAYAAAA/PwA/AACAAAAAAAA8L8Ct/P91Hjp9r8Cfoy5awl5AMAAAAAAHAAAAPz8APwAAgAAAAAAAPC/AtxoAG+BBOe/AmaIY13cxgPAAAAAABgAAAD8/AD8AAIAAAAAAADwvwJiMlUwKqkzvwI/xty1hHwAwAAAAAAYAAAA/PwA/AACAAAAAAAA8L8Ck8t/SL99TT8C1sVtNIC3878AAAAAHAAAAPz8APwAAgAAAAAAAPC/Aoxs5/up8ea/Aru4jQbwFuq/AAAAABgIAAD8/AD8AAIAAAAAAADwvwKMbOf7qfHmvwLoaiv2l92DPwAAAAAYAAAA/PwA/AACAAAAAAAA8L8Ck8t/SL99Tb8CFvvL7snD2j8AAAAAHAAAAPz8APwAAgAAAAAAAPC/Ase6uI0G8FY/Ak9AE2HD0/M/AAAAABgAAAD8/AD8AAIAAAAAAADwvwI0orQ3+MLmvwKTy39Iv336PwAAAAAYAAAA/PwA/AACAAAAAAAA8L8CZvfkYaHW9r8CRUdy+Q/p8z8AAAAAGAAAAPz8APwAAgAAAAAAAPC/AhDpt68D5/a/AqhXyjLEsdo/AAAAABgAAAD8/AD8AAIAAAAAAADwvwLYgXNGlPbmPwLAWyBB8WP6PwAAAAAgAAAA/PwA/AACAAAAAAAA8L8CNYC3QILi9j8CyeU/pN++8z8AAAAAIAAAAPz8APwAAgAAAAAAAPC/ApM6AU2EDec/AnrHKTqSywNAAAAAABgAAAD8/AD8AAIAAAAAAADwvwJBE2HD0ysBQAKV9gZfmEz6PwAAAAAYAAAA/PwA/AACAAAAAAAA8L8C5fIf0m/fBkACLdSa5h2n8z8AAAAAGAAAAPz8APwAAgAAAAAAAPC/AqhXyjLEMQFAAuQUHcnlvwNAAAAAABgAAAD8/AD8AAIAAAAAAADwvwJjf9k9edgGQAKSy39Iv30AQAAAAAAgAAAA/PwA/AACAAAAAAAA8L8CP1dbsb/s5j8CX5hMFYxK6r8AAAAAARoABAFlCAgAAAAAAAAABAgBZQQAAAAAAAAAAAgUAWUICAAAAAAAAAAQDAFlCAgAAAAAAAAADAABZQQAAAAAAAAAABAUAWUEAAAAAAAAAAAQJAFlBAAAAAAAAAAAFBgBZQQAAAAAAAAAABgcAWUEAAAAAAAAAAAcIAFlBAAAAAAAAAAAICQBZQQAAAAAAAAAACgkAWUEFAAAAAAAAAAoLAFlBAAAAAAAAAAAKDwBZQQAAAAAAAAAACwwAWUEAAAAAAAAAAAwNAFlBAAAAAAAAAAANDgBZQQAAAAAAAAAADg8AWUEAAAAAAAAAAAwARABZQQAAAAAAAAAAAEQAREBZQQAAAAAAAAAAAEQARIBZQgAAAAAAAAAAAERARMBZQQAAAAAAAAAAAETARQBZQQAAAAAAAAAAAETARUBZQQAAAAAAAAAAAETARYBZQQAAAAAAAAAACABFwFlCAAAAAAAAAAAAAAAAA==</t>
        </r>
      </text>
    </comment>
    <comment ref="A1864" authorId="0" shapeId="0" xr:uid="{AB44C230-54D5-4091-8380-40CEDA945F36}">
      <text>
        <r>
          <rPr>
            <sz val="9"/>
            <color indexed="81"/>
            <rFont val="MS P ゴシック"/>
            <family val="3"/>
            <charset val="128"/>
          </rPr>
          <t>Insight iXlW00001C0001864R0585476093S00003726P00964LAocjBAQBF1NjaVRlZ2ljLmRhdGEuTW9sZWN1bGUBbwF/ARJTY2lUZWdpYy5Nb2xlY3VsZQAAAQFkAv5qAQAAAAIAAjAYAAAA/PwA/AACAAAAAAAA8L8CvjCZKhiV978CXf5D+u3r5r8AAAAAHAAAAPz8APwAAgAAAAAAAPC/AlJJnYAmwuS/Al3+Q/rt6+a/AAAAABgAAAD8/AD8AAIAAAAAAADwvwJKDAIrhxbZvwK9UpYhjnWxPwAAAAAcAAAA/PwA/AACAAAAAAAA8L8CtOpztRX78L8C/0P67evA4T8AAAAAIAAAAPz8APwAAgAAAAAAAPC/AhwN4C2QoPu/Ar1SliGOdbE/AAAAABgAAAD8/AD8AAIAAAAAAADwvwK4rwPnjCjZPwKTqYJRSZ3UPwAAAAAcAAAA/PwA/AACAAAAAAAA8L8CXY/C9Shc/78CGJXUCWgi9r8AAAAAGAAAAPz8APwAAgAAAAAAAPC/AvMf0m9fB/A/Avd14JwRpc2/AAAAABgAAAD8/AD8AAIAAAAAAADwvwL0jlN0JJf8PwI0ETY8vVKWPwAAAAAYAAAA/PwA/AACAAAAAAAA8L8CXY/C9Shc/z8CzBDHuriN6j8AAAAAGAAAAPz8APwAAgAAAAAAAPC/Al1txf6ye/U/AhiV1AloIvY/AAAAABgAAAD8/AD8AAIAAAAAAADwvwJWDi2yne/hPwK30QDeAgnyPwAAAAA0AAQBZQgIAAAAAAAAAAQIAWUEAAAAAAAAAAAIDAFlCAgAAAAAAAAADBABZQQAAAAAAAAAABAAAWUEAAAAAAAAAAAIFAFlBAAAAAAAAAAAABgBZQQAAAAAAAAAABQcAWUIDAAAAAAAAAAcIAFlBAAAAAAAAAAAICQBZQgIAAAAAAAAACQoAWUEAAAAAAAAAAAoLAFlCAgAAAAAAAAALBQBZQQAAAAAAAAAAAAAAAA=</t>
        </r>
      </text>
    </comment>
    <comment ref="A1865" authorId="0" shapeId="0" xr:uid="{B4D825FB-EF92-45BD-9EA4-5983D55617F1}">
      <text>
        <r>
          <rPr>
            <sz val="9"/>
            <color indexed="81"/>
            <rFont val="MS P ゴシック"/>
            <family val="3"/>
            <charset val="128"/>
          </rPr>
          <t>Insight iXlW00001C0001865R0585476093S00003728P01216LAocjBAQBF1NjaVRlZ2ljLmRhdGEuTW9sZWN1bGUBbwF/ARJTY2lUZWdpYy5Nb2xlY3VsZQAAAQFkAv5qAQAAAAIAAgEQAREAAAD8/AD8AAIAAAAAAADwvwLA7J48LNT0vwIU0ETY8PTsPwAAAAABEQAAAPz8APwAAgAAAAAAAPC/AmFUUiegCQTAAhdIUPwYc6c/AAAAABwAAAD8/AD8AAIAAAAAAADwvwIsZRniWBf6vwJyGw3gLZD1vwAAAAAYAAAA/PwA/AACAAAAAAAA8L8CbAn5oGez6r8CTRWMSuoE+b8AAAAAGAAAAPz8APwAAgAAAAAAAPC/AspUwaikTtC/AmB2Tx4Wau+/AAAAABgAAAD8/AD8AAIAAAAAAADwvwIooImw4endvwIEVg4tsp3HvwAAAAAYAAAA/PwA/AACAAAAAAAA8L8CVcGopE5A9L8CvAUSFD/GnD8AAAAAGAAAAPz8APwAAgAAAAAAAPC/AnYCmggbnv2/AsbctYR80OG/AAAAABwAAAD8/AD8AAIAAAAAAADwvwJLWYY41sW9PwJ4CyQofozZPwAAAAAYAAAA/PwA/AACAAAAAAAA8L8CCawcWmQ77T8C4ZwRpb3Bxz8AAAAAGAAAAPz8APwAAgAAAAAAAPC/ArTqc7UV+/E/AonS3uALk+O/AAAAABgAAAD8/AD8AAIAAAAAAADwvwJ90LNZ9bn+PwINcayL22jqvwAAAAAYAAAA/PwA/AACAAAAAAAA8L8CYVRSJ6AJBEAClWWIY13czr8AAAAAGAAAAPz8APwAAgAAAAAAAPC/As3MzMzMTAJAAhfZzvdT4+E/AAAAABgAAAD8/AD8AAIAAAAAAADwvwJ3vp8aL933PwKxUGuad5zoPwAAAAAkAAAA/PwA/AACAAAAAAAA8L8C9rnaiv1l9D8CTRWMSuoE+T8AAAAAPAgMAWUEAAAAAAAAAAAIHAFlBAAAAAAAAAAADBABZQQAAAAAAAAAABAUAWUEAAAAAAAAAAAUGAFlBAAAAAAAAAAAGBwBZQQAAAAAAAAAABQgAWUEAAAAAAAAAAAgJAFlBAAAAAAAAAAAJCgBZQgMAAAAAAAAACgsAWUEAAAAAAAAAAAsMAFlCAgAAAAAAAAAMDQBZQQAAAAAAAAAADQ4AWUICAAAAAAAAAA4JAFlBAAAAAAAAAAAODwBZQQAAAAAAAAAAAAAAAA=</t>
        </r>
      </text>
    </comment>
    <comment ref="A1866" authorId="0" shapeId="0" xr:uid="{442C4ECB-AF0C-4859-9543-B102FDCF612E}">
      <text>
        <r>
          <rPr>
            <sz val="9"/>
            <color indexed="81"/>
            <rFont val="MS P ゴシック"/>
            <family val="3"/>
            <charset val="128"/>
          </rPr>
          <t>Insight iXlW00001C0001866R0585476093S00003730P01216LAocjBAQBF1NjaVRlZ2ljLmRhdGEuTW9sZWN1bGUBbwF/ARJTY2lUZWdpYy5Nb2xlY3VsZQAAAQFkAv5qAQAAAAIAAgEQHAAAAPz8APwAAgAAAAAAAPC/AlvTvOMUHQHAAoc41sVtNPK/AAAAABgAAAD8/AD8AAIAAAAAAADwvwIhH/RsVn31vwKXkA96Nqv1vwAAAAAYAAAA/PwA/AACAAAAAAAA8L8CPN9PjZdu6L8C18VtNIC36L8AAAAAGAAAAPz8APwAAgAAAAAAAPC/AidTBaOSOu+/Ald9rrZif5k/AAAAABgAAAD8/AD8AAIAAAAAAADwvwIaUdobfGH8vwLeAgmKH2POPwAAAAAYAAAA/PwA/AACAAAAAAAA8L8COPjCZKrgAsACelioNc071r8AAAAAHAAAAPz8APwAAgAAAAAAAPC/AtJvXwfOGdm/AigPC7WmeeM/AAAAABgAAAD8/AD8AAIAAAAAAADwvwIooImw4enZPwJZqDXNO07ZPwAAAAAYAAAA/PwA/AACAAAAAAAA8L8Cc/kP6bev4z8CO5LLf0i/2b8AAAAAGAAAAPz8APwAAgAAAAAAAPC/AoPix5i7lvY/AmUZ4lgXt+O/AAAAABgAAAD8/AD8AAIAAAAAAADwvwJWDi2yne//PwK5jQbwFkigvwAAAAAYAAAA/PwA/AACAAAAAAAA8L8CEVg5tMh2/D8C7Z48LNSa6D8AAAAAGAAAAPz8APwAAgAAAAAAAPC/AhdIUPwYc+8/Ah1aZDvfT+8/AAAAACQAAAD8/AD8AAIAAAAAAADwvwI4+MJkquACQAKXkA96Nqv1PwAAAAABEQAAAPz8APwAAgAAAAAAAPC/AgAAAAAAANS/AuNYF7fRAP4/AAAAAAERAAAA/PwA/AACAAAAAAAA8L8Cbef7qfHSCMACJLn8h/Tb8b8AAAAAPAAEAWUEAAAAAAAAAAAAFAFlBAAAAAAAAAAABAgBZQQAAAAAAAAAAAgMAWUEAAAAAAAAAAAMEAFlBAAAAAAAAAAAEBQBZQQAAAAAAAAAAAwYAWUEAAAAAAAAAAAYHAFlBAAAAAAAAAAAHCABZQgMAAAAAAAAACAkAWUEAAAAAAAAAAAkKAFlCAgAAAAAAAAAKCwBZQQAAAAAAAAAACwwAWUICAAAAAAAAAAwHAFlBAAAAAAAAAAALDQBZQQAAAAAAAAAAAAAAAA=</t>
        </r>
      </text>
    </comment>
    <comment ref="A1867" authorId="0" shapeId="0" xr:uid="{552F79ED-A6FA-4055-AB3B-192C0C57CCAA}">
      <text>
        <r>
          <rPr>
            <sz val="9"/>
            <color indexed="81"/>
            <rFont val="MS P ゴシック"/>
            <family val="3"/>
            <charset val="128"/>
          </rPr>
          <t>Insight iXlW00001C0001867R0585476093S00003732P01216LAocjBAQBF1NjaVRlZ2ljLmRhdGEuTW9sZWN1bGUBbwF/ARJTY2lUZWdpYy5Nb2xlY3VsZQAAAQFkAv5qAQAAAAIAAgEQHAAAAPz8APwAAgAAAAAAAPC/AmN/2T152ALAAqO0N/jCZO6/AAAAABgAAAD8/AD8AAIAAAAAAADwvwKjI7n8h/T4vwLxhclUwajyvwAAAAAYAAAA/PwA/AACAAAAAAAA8L8CP+jZrPpc778CTmIQWDm04r8AAAAAGAAAAPz8APwAAgAAAAAAAPC/AoZa07zjFPO/AkT67evAOcs/AAAAABgAAAD8/AD8AAIAAAAAAADwvwKcVZ+rrdj/vwK8lpAPejbbPwAAAAAYAAAA/PwA/AACAAAAAAAA8L8CQKTfvg6cBMAC0SLb+X5qxL8AAAAAHAAAAPz8APwAAgAAAAAAAPC/ArByaJHtfOO/AuzAOSNKe+k/AAAAABgAAAD8/AD8AAIAAAAAAADwvwIzVTAqqRPIPwK1N/jCZKriPwAAAAAYAAAA/PwA/AACAAAAAAAA8L8Ck8t/SL992T8C3Pl+arx0y78AAAAAGAAAAPz8APwAAgAAAAAAAPC/Aq7YX3ZPHvM/Ava52or9Zdu/AAAAABgAAAD8/AD8AAIAAAAAAADwvwKCBMWPMXf8PwIrhxbZzvfDPwAAAAAYAAAA/PwA/AACAAAAAAAA8L8Cy6FFtvP9+D8Ck6mCUUmd7j8AAAAAGAAAAPz8APwAAgAAAAAAAPC/AlCNl24Sg+g/AvGFyVTBqPI/AAAAACQAAAD8/AD8AAIAAAAAAADwvwJApN++DpwEQAIAIv32deCsvwAAAAABEQAAAPz8APwAAgAAAAAAAPC/ApvmHafoSOi/AtS84xQdyfo/AAAAAAERAAAA/PwA/AACAAAAAAAA8L8C1LzjFB1JCMACDJOpglFJ878AAAAAPAAEAWUEAAAAAAAAAAAAFAFlBAAAAAAAAAAABAgBZQQAAAAAAAAAAAgMAWUEAAAAAAAAAAAMEAFlBAAAAAAAAAAAEBQBZQQAAAAAAAAAAAwYAWUEAAAAAAAAAAAYHAFlBAAAAAAAAAAAHCABZQgMAAAAAAAAACAkAWUEAAAAAAAAAAAkKAFlCAgAAAAAAAAAKCwBZQQAAAAAAAAAACwwAWUICAAAAAAAAAAwHAFlBAAAAAAAAAAAKDQBZQQAAAAAAAAAAAAAAAA=</t>
        </r>
      </text>
    </comment>
    <comment ref="A1868" authorId="0" shapeId="0" xr:uid="{1B36432E-9851-4D76-9BE4-8CA87A9E88B2}">
      <text>
        <r>
          <rPr>
            <sz val="9"/>
            <color indexed="81"/>
            <rFont val="MS P ゴシック"/>
            <family val="3"/>
            <charset val="128"/>
          </rPr>
          <t>Insight iXlW00001C0001868R0585476093S00003734P01288LAocjBAQBF1NjaVRlZ2ljLmRhdGEuTW9sZWN1bGUBbwF/ARJTY2lUZWdpYy5Nb2xlY3VsZQAAAQFkAv5qAQAAAAIAAgERHAAAAPz8APwAAgAAAAAAAPC/AmmR7Xw/Nf+/Ag5Pr5RliNu/AAAAABgAAAD8/AD8AAIAAAAAAADwvwIlBoGVQ4vyvwLCFyZTBaPkvwAAAAAYAAAA/PwA/AACAAAAAAAA8L8C/mX35GGh4r8CoBov3SQGsb8AAAAAGAAAAPz8APwAAgAAAAAAAPC/AhRhw9MrZem/Ahlz1xLyQec/AAAAABgAAAD8/AD8AAIAAAAAAADwvwKFDU+vlGX5vwKaKhiV1AnuPwAAAAAYAAAA/PwA/AACAAAAAAAA8L8CJLn8h/RbAcAChJ7Nqs/V1j8AAAAAHAAAAPz8APwAAgAAAAAAAPC/AndPHhZqTcu/Al3+Q/rt6/Q/AAAAABgAAAD8/AD8AAIAAAAAAADwvwL6fmq8dJPiPwJMpgpGJXXxPwAAAAAYAAAA/PwA/AACAAAAAAAA8L8C2j15WKg16T8CdQKaCBue0j8AAAAAGAAAAPz8APwAAgAAAAAAAPC/AhRhw9MrZck/AvjCZKpgVNK/AAAAABgAAAD8/AD8AAIAAAAAAADwvwJ0tRX7y+7ZPwL8qfHSTWLxvwAAAAAYAAAA/PwA/AACAAAAAAAA8L8C5BQdyeU/8z8CXf5D+u3r9L8AAAAAGAAAAPz8APwAAgAAAAAAAPC/AjC7Jw8Ltfw/AsWPMXctIee/AAAAABgAAAD8/AD8AAIAAAAAAADwvwKBJsKGp1f5PwJE+u3rwDmzPwAAAAAkAAAA/PwA/AACAAAAAAAA8L8CJLn8h/RbAUACUwWjkjoB5T8AAAAAAREAAAD8/AD8AAIAAAAAAADwvwLp2az6XG3vvwKfXinLEMf9PwAAAAABEQAAAPz8APwAAgAAAAAAAPC/Ai1DHOvitgTAAsZtNIC3QNo/AAAAAAEQAAQBZQQAAAAAAAAAAAAUAWUEAAAAAAAAAAAECAFlBAAAAAAAAAAACAwBZQQAAAAAAAAAAAwQAWUEAAAAAAAAAAAQFAFlBAAAAAAAAAAADBgBZQQAAAAAAAAAABgcAWUEAAAAAAAAAAAcIAFlBAAAAAAAAAAAICQBZQgMAAAAAAAAACQoAWUEAAAAAAAAAAAoLAFlCAgAAAAAAAAALDABZQQAAAAAAAAAADA0AWUICAAAAAAAAAA0IAFlBAAAAAAAAAAANDgBZQQAAAAAAAAAAAAAAAA=</t>
        </r>
      </text>
    </comment>
    <comment ref="A1869" authorId="0" shapeId="0" xr:uid="{84088086-86FC-4F2B-9645-D59383005C8A}">
      <text>
        <r>
          <rPr>
            <sz val="9"/>
            <color indexed="81"/>
            <rFont val="MS P ゴシック"/>
            <family val="3"/>
            <charset val="128"/>
          </rPr>
          <t>Insight iXlW00001C0001869R0585476093S00003736P01288LAocjBAQBF1NjaVRlZ2ljLmRhdGEuTW9sZWN1bGUBbwF/ARJTY2lUZWdpYy5Nb2xlY3VsZQAAAQFkAv5qAQAAAAIAAgERHAAAAPz8APwAAgAAAAAAAPC/An0/NV66SQHAAtIA3gIJitu/AAAAABgAAAD8/AD8AAIAAAAAAADwvwLUmuYdp+j1vwKGyVTBqKTkvwAAAAAYAAAA/PwA/AACAAAAAAAA8L8CmN2Th4Va6b8CoBov3SQGsb8AAAAAGAAAAPz8APwAAgAAAAAAAPC/AlfsL7snD/C/At0kBoGVQ+c/AAAAABgAAAD8/AD8AAIAAAAAAADwvwIW+8vuycP8vwJANV66SQzuPwAAAAAYAAAA/PwA/AACAAAAAAAA8L8CJQaBlUMLA8ACSFD8GHPX1j8AAAAAHAAAAPz8APwAAgAAAAAAAPC/AvAWSFD8GNu/AiGwcmiR7fQ/AAAAABgAAAD8/AD8AAIAAAAAAADwvwIMJCh+jLnXPwKgq63YX3bxPwAAAAAYAAAA/PwA/AACAAAAAAAA8L8CyCk6kst/4j8COrTIdr6f0j8AAAAAGAAAAPz8APwAAgAAAAAAAPC/AlpkO99PjYe/Ar10kxgEVtK/AAAAABgAAAD8/AD8AAIAAAAAAADwvwIYt9EA3gLJPwJPr5RliGPxvwAAAAAYAAAA/PwA/AACAAAAAAAA8L8CthX7y+7J7z8CIbByaJHt9L8AAAAAGAAAAPz8APwAAgAAAAAAAPC/AgmKH2PuWvk/AopBYOXQIue/AAAAABgAAAD8/AD8AAIAAAAAAADwvwJa9bnaiv31PwJE+u3rwDmzPwAAAAAkAAAA/PwA/AACAAAAAAAA8L8CJQaBlUMLA0AC2V92Tx4W7r8AAAAAAREAAAD8/AD8AAIAAAAAAADwvwJahjjWxW3wvwJyGw3gLZD/PwAAAAABEQAAAPz8APwAAgAAAAAAAPC/AsNkqmBUUgbAAifChqdXyso/AAAAAAEQAAQBZQQAAAAAAAAAAAAUAWUEAAAAAAAAAAAECAFlBAAAAAAAAAAACAwBZQQAAAAAAAAAAAwQAWUEAAAAAAAAAAAQFAFlBAAAAAAAAAAADBgBZQQAAAAAAAAAABgcAWUEAAAAAAAAAAAcIAFlBAAAAAAAAAAAICQBZQgMAAAAAAAAACQoAWUEAAAAAAAAAAAoLAFlCAgAAAAAAAAALDABZQQAAAAAAAAAADA0AWUICAAAAAAAAAA0IAFlBAAAAAAAAAAAMDgBZQQAAAAAAAAAAAAAAAA=</t>
        </r>
      </text>
    </comment>
    <comment ref="A1870" authorId="0" shapeId="0" xr:uid="{4AE6D2ED-BA25-4D63-BB4D-64A68B165575}">
      <text>
        <r>
          <rPr>
            <sz val="9"/>
            <color indexed="81"/>
            <rFont val="MS P ゴシック"/>
            <family val="3"/>
            <charset val="128"/>
          </rPr>
          <t>Insight iXlW00001C0001870R0585476093S00003738P01232LAocjBAQBF1NjaVRlZ2ljLmRhdGEuTW9sZWN1bGUBbwF/ARJTY2lUZWdpYy5Nb2xlY3VsZQAAAQFkAv5qAQAAAAIAAgEQGAAAAPz8APwAAgAAAAAAAPC/AhTQRNjw9OC/AuQUHcnlvwDAAAAAABgAAAD8/AD8AAIAAAAAAADwvwKCc0aU9gbHPwLarPpcbcX6vwAAAAAcAAAA/PwA/AACAAAAAAAA8L8CYjJVMCqpQ78Ch6dXyjLE678AAAAAHAAAAPz8APwAAgAAAAAAAPC/AhZqTfOOU+q/Au7rwDkjSum/AAAAABgAAAD8/AD8AAIAAAAAAADwvwKFDU+vlGXyvwJLWYY41sX4vwAAAAAYAAAA/PwA/AACAAAAAAAA8L8CPE7RkVz+7T8CqoJRSZ0AAMAAAAAAGAAAAPz8APwAAgAAAAAAAPC/Aq2L22gAb+E/AnrHKTqSy8+/AAAAABwAAAD8/AD8AAIAAAAAAADwvwLW52or9pf5PwI2PL1SliH4vwAAAAAYAAAA/PwA/AACAAAAAAAA8L8CSS7/If320T8CV+wvuycP4T8AAAAAGAAAAPz8APwAAgAAAAAAAPC/Am40gLdAguo/AqK0N/jCZPI/AAAAABgAAAD8/AD8AAIAAAAAAADwvwJ/arx0kxjiPwKmLEMc6+L+PwAAAAAYAAAA/PwA/AACAAAAAAAA8L8CkQ96Nqs+z78C5BQdyeW/AEAAAAAAGAAAAPz8APwAAgAAAAAAAPC/Aio6kst/SOm/AqOSOgFNhPc/AAAAABgAAAD8/AD8AAIAAAAAAADwvwK8BRIUP8bgvwJDHOviNhrmPwAAAAAkAAAA/PwA/AACAAAAAAAA8L8C1udqK/aX+b8CG55eKcsQ+j8AAAAAAREAAAD8/AD8AAIAAAAAAADwvwJO845TdCTfPwLDZKpgVFIGwAAAAAABEAAEAWUICAAAAAAAAAAECAFlBAAAAAAAAAAACAwBZQQAAAAAAAAAAAwQAWUICAAAAAAAAAAQAAFlBAAAAAAAAAAABBQBZQQAAAAAAAAAAAgYAWUEAAAAAAAAAAAUHAFlBAAAAAAAAAAAGCABZQQAAAAAAAAAACAkAWUIDAAAAAAAAAAkKAFlBAAAAAAAAAAAKCwBZQgIAAAAAAAAACwwAWUEAAAAAAAAAAAwNAFlCAgAAAAAAAAANCABZQQAAAAAAAAAADA4AWUEAAAAAAAAAAAAAAAA</t>
        </r>
      </text>
    </comment>
    <comment ref="A1871" authorId="0" shapeId="0" xr:uid="{435D79A1-327E-48D0-8DF1-A1B24E586ADC}">
      <text>
        <r>
          <rPr>
            <sz val="9"/>
            <color indexed="81"/>
            <rFont val="MS P ゴシック"/>
            <family val="3"/>
            <charset val="128"/>
          </rPr>
          <t>Insight iXlW00001C0001871R0585476093S00003740P01320LAocjBAQBF1NjaVRlZ2ljLmRhdGEuTW9sZWN1bGUBbwF/ARJTY2lUZWdpYy5Nb2xlY3VsZQAAAQFkAv5qAQAAAAIAAgERGAAAAPz8APwAAgAAAAAAAPC/AobJVMGopNY/Ase6uI0G8IY/AAAAABgAAAD8/AD8AAIAAAAAAADwvwJX7C+7Jw/xPwLl8h/Sb1/bPwAAAAAYAAAA/PwA/AACAAAAAAAA8L8CB/AWSFD88D8CSS7/If328z8AAAAAHAAAAPz8APwAAgAAAAAAAPC/Agu1pnnHKdY/ArtJDAIrh/o/AAAAABgAAAD8/AD8AAIAAAAAAADwvwJ+HThnRGnXvwIdyeU/pN/zPwAAAAAYAAAA/PwA/AACAAAAAAAA8L8CRPrt68A5178CVHQkl/+Q2j8AAAAAHAAAAPz8APwAAgAAAAAAAPC/AqvP1VbsL/E/AuAtkKD4Mdq/AAAAABgAAAD8/AD8AAIAAAAAAADwvwLnriXkg578vwIiH/RsVn3avwAAAAAYAAAA/PwA/AACAAAAAAAA8L8CwhcmUwWj/L8CQmDl0CLb878AAAAAGAAAAPz8APwAAgAAAAAAAPC/AvjkYaHWNPG/Atv5fmq8dPq/AAAAABgAAAD8/AD8AAIAAAAAAADwvwJ5WKg1zTvxvwLHuriNBvBWvwAAAAAYAAAA/PwA/AACAAAAAAAA8L8C1lbsL7sn178CelioNc072r8AAAAAGAAAAPz8APwAAgAAAAAAAPC/AkT67evAOde/AsTTK2UZ4vO/AAAAABwAAAD8/AD8AAIAAAAAAADwvwLtnjws1JrWPwK7SQwCK4f6vwAAAAAYAAAA/PwA/AACAAAAAAAA8L8Cnu+nxks38T8C7FG4HoXr878AAAAAIAAAAPz8APwAAgAAAAAAAPC/AsIXJlMFo/w/ArtJDAIrh/q/AAAAAAERAAAA/PwA/AACAAAAAAAA8L8CPN9PjZdu9b8CAwmKH2Pu9z8AAAAAARIABAFlBAAAAAAAAAAAABQBZQQAAAAAAAAAAAQIAWUEAAAAAAAAAAAIDAFlBAAAAAAAAAAADBABZQQAAAAAAAAAABAUAWUEAAAAAAAAAAAcIAFlCAgAAAAAAAAAICQBZQQAAAAAAAAAACQwAWUICAAAAAAAAAAsKAFlCAgAAAAAAAAAKBwBZQQAAAAAAAAAACwwAWUEAAAAAAAAAAAsAAFlBAAAAAAAAAAAMDQBZQQAAAAAAAAAADQ4AWUEAAAAAAAAAAA4GAFlBAAAAAAAAAAAGAABZQQAAAAAAAAAADg8AWUIAAAAAAAAAAAAAAAA</t>
        </r>
      </text>
    </comment>
    <comment ref="A1872" authorId="0" shapeId="0" xr:uid="{924A14FD-074A-4882-9942-B8432FF703A9}">
      <text>
        <r>
          <rPr>
            <sz val="9"/>
            <color indexed="81"/>
            <rFont val="MS P ゴシック"/>
            <family val="3"/>
            <charset val="128"/>
          </rPr>
          <t>Insight iXlW00001C0001872R0585476093S00003742P01144LAocjBAQBF1NjaVRlZ2ljLmRhdGEuTW9sZWN1bGUBbwF/ARJTY2lUZWdpYy5Nb2xlY3VsZQAAAQFkAv5qAQAAAAIAAjwcAAAA/PwA/AACAAAAAAAA8L8CVOOlm8RgJEACG55eKcsQK8AAAAAAGAAAAPz8APwAAgAAAAAAAPC/Akhy+Q/p9yVAAskHPZtVfyvAAAAAABgAAAD8/AD8AAIAAAAAAADwvwKqglFJnSAnQAJos+pztVUqwAAAAAAYAAAA/PwA/AACAAAAAAAA8L8C3bWEfNCzJkACk8t/SL+9KMAAAAAAGAAAAPz8APwAAgAAAAAAAPC/AiWX/5B+GyVAAlR0JJf/UCjAAAAAABgAAAD8/AD8AAIAAAAAAADwvwKrz9VW7O8jQAJ5eqUsQ3wpwAAAAAAcAAAA/PwA/AACAAAAAAAA8L8Crthfdk/eJ0ACpb3BFyaTJ8AAAAAAGAAAAPz8APwAAgAAAAAAAPC/AvRsVn2udilAAoofY+5aAijAAAAAABgAAAD8/AD8AAIAAAAAAADwvwJw8IXJVOEpQAKS7Xw/NZ4pwAAAAAAYAAAA/PwA/AACAAAAAAAA8L8C87BQa5p3K0ACdnEbDeANKsAAAAAAIAAAAPz8APwAAgAAAAAAAPC/Ai9uowG8pSxAAr7BFyZT5SjAAAAAABgAAAD8/AD8AAIAAAAAAADwvwJfKcsQxzosQAJB8WPMXUsnwAAAAAAYAAAA/PwA/AACAAAAAAAA8L8CxbEubqOhKkACfdCzWfXZJsAAAAAAAREAAAD8/AD8AAIAAAAAAADwvwJTliGOdfEnQAKqglFJncAlwAAAAAABEQAAAPz8APwAAgAAAAAAAPC/AuhqK/aXvSJAAixlGeJYdyrAAAAAADgABAFlBAAAAAAAAAAAABQBZQQAAAAAAAAAAAQIAWUEAAAAAAAAAAAIDAFlBAAAAAAAAAAADBABZQQAAAAAAAAAABAUAWUEAAAAAAAAAAAMGAFlBAAAAAAAAAAAGBwBZQQAAAAAAAAAABwgAWUEAAAAAAAAAAAcMAFlBAAAAAAAAAAAICQBZQQAAAAAAAAAACQoAWUEAAAAAAAAAAAoLAFlBAAAAAAAAAAALDABZQQAAAAAAAAAAAAAAAA=</t>
        </r>
      </text>
    </comment>
    <comment ref="A1873" authorId="0" shapeId="0" xr:uid="{79A46DAC-A308-4B07-9F92-6C2383F91836}">
      <text>
        <r>
          <rPr>
            <sz val="9"/>
            <color indexed="81"/>
            <rFont val="MS P ゴシック"/>
            <family val="3"/>
            <charset val="128"/>
          </rPr>
          <t>Insight iXlW00001C0001873R0585476093S00003744P01288LAocjBAQBF1NjaVRlZ2ljLmRhdGEuTW9sZWN1bGUBbwF/ARJTY2lUZWdpYy5Nb2xlY3VsZQAAAQFkAv5qAQAAAAIAAgERHAAAAPz8APwAAgAAAAAAAPC/AhaMSuoENPy/AhUdyeU/pJ+/AAAAABgAAAD8/AD8AAIAAAAAAADwvwLCqKROQBPvvwIXSFD8GHPPvwAAAAAYAAAA/PwA/AACAAAAAAAA8L8Cc2iR7Xw/2b8ClfYGX5hM1T8AAAAAGAAAAPz8APwAAgAAAAAAAPC/Am1Wfa62YuO/Ak0VjErqBPI/AAAAABgAAAD8/AD8AAIAAAAAAADwvwKjtDf4wmT2vwKcxCCwcmj1PwAAAAAYAAAA/PwA/AACAAAAAAAA8L8CZhniWBe3/78C/tR46SYx6D8AAAAAHAAAAPz8APwAAgAAAAAAAPC/AuomMQisHJq/Aqyt2F92T/s/AAAAABgAAAD8/AD8AAIAAAAAAADwvwKD4seYu5boPwIrqRPQRNj3PwAAAAAYAAAA/PwA/AACAAAAAAAA8L8CYqHWNO847z8C2V92Tx4W5j8AAAAAGAAAAPz8APwAAgAAAAAAAPC/Al8pyxDHutg/AhDpt68D57w/AAAAABgAAAD8/AD8AAIAAAAAAADwvwIll/+QfvviPwI8TtGRXP7lvwAAAAAYAAAA/PwA/AACAAAAAAAA8L8CqMZLN4lB9j8C/vZ14JwR7b8AAAAAGAAAAPz8APwAAgAAAAAAAPC/AmYZ4lgXt/8/AhIUP8bctdS/AAAAABgAAAD8/AD8AAIAAAAAAADwvwJF2PD0Sln8PwIJih9j7lrePwAAAAAkAAAA/PwA/AACAAAAAAAA8L8CvjCZKhiV+T8CrK3YX3ZP+78AAAAAAREAAAD8/AD8AAIAAAAAAADwvwKVZYhjXdzmvwI2zTtO0ZEBQAAAAAABEQAAAPz8APwAAgAAAAAAAPC/Am3n+6nx0gPAAkOtad5xit4/AAAAAAEQAAQBZQQAAAAAAAAAAAAUAWUEAAAAAAAAAAAECAFlBAAAAAAAAAAACAwBZQQAAAAAAAAAAAwQAWUEAAAAAAAAAAAQFAFlBAAAAAAAAAAADBgBZQQAAAAAAAAAABgcAWUEAAAAAAAAAAAcIAFlBAAAAAAAAAAAICQBZQgMAAAAAAAAACQoAWUEAAAAAAAAAAAoLAFlCAgAAAAAAAAALDABZQQAAAAAAAAAADA0AWUICAAAAAAAAAA0IAFlBAAAAAAAAAAALDgBZQQAAAAAAAAAAAAAAAA=</t>
        </r>
      </text>
    </comment>
    <comment ref="A1874" authorId="0" shapeId="0" xr:uid="{4AE869F1-4BBC-45DC-B65B-FE1EF13987C4}">
      <text>
        <r>
          <rPr>
            <sz val="9"/>
            <color indexed="81"/>
            <rFont val="MS P ゴシック"/>
            <family val="3"/>
            <charset val="128"/>
          </rPr>
          <t>Insight iXlW00001C0001874R0585476093S00003746P01688LAocjBAQBF1NjaVRlZ2ljLmRhdGEuTW9sZWN1bGUBbwF/ARJTY2lUZWdpYy5Nb2xlY3VsZQAAAQFkAv5qAQAAAAIAAgEWGAAAAPz8APwAAgAAAAAAAPC/AtWa5h2n6P+/AgFNhA1Pr+C/AAAAABwAAAD8/AD8AAIAAAAAAADwvwLVmuYdp+j/vwK0WfW52or1vwAAAAAYAAAA/PwA/AACAAAAAAAA8L8CMuauJeSD9L8CM1UwKqkT/L8AAAAAGAAAAPz8APwAAgAAAAAAAPC/AiBj7lpCPuK/ArRZ9bnaivW/AAAAABgAAAD8/AD8AAIAAAAAAADwvwIgY+5aQj7ivwIBTYQNT6/gvwAAAAAYAAAA/PwA/AACAAAAAAAA8L8CMuauJeSD9L8CwOyePCzUur8AAAAAGAAAAPz8APwAAgAAAAAAAPC/AnsUrkfheuK/AssyxLEubtM/AAAAABwAAAD8/AD8AAIAAAAAAADwvwJ/arx0kxjQPwIBTYQNT6/gvwAAAAAYAAAA/PwA/AACAAAAAAAA8L8Cc2iR7Xw/5T8CS1mGONbF878AAAAAIAAAAPz8APwAAgAAAAAAAPC/An9qvHSTGNA/AhaMSuoENP+/AAAAACAAAAD8/AD8AAIAAAAAAADwvwJt5/up8dL3PwJLWYY41sXzvwAAAAAYAAAA/PwA/AACAAAAAAAA8L8CB4GVQ4ts/j8CAU2EDU+v4L8AAAAAGAAAAPz8APwAAgAAAAAAAPC/Ah1aZDvfzwVAAgFNhA1Pr+C/AAAAABgAAAD8/AD8AAIAAAAAAADwvwJt5/up8dL3PwLXxW00gLfIPwAAAAAYAAAA/PwA/AACAAAAAAAA8L8CppvEILByAkACaERpb/CFyT8AAAAAGAAAAPz8APwAAgAAAAAAAPC/An3Qs1n1ufS/AvRsVn2utuY/AAAAABgAAAD8/AD8AAIAAAAAAADwvwKlTkATYcP0vwLSAN4CCYr4PwAAAAAYAAAA/PwA/AACAAAAAAAA8L8C5q4l5IMeAMACmioYldQJ/z8AAAAAGAAAAPz8APwAAgAAAAAAAPC/Ah1aZDvfzwXAAi4hH/RsVvg/AAAAABgAAAD8/AD8AAIAAAAAAADwvwJfKcsQx7oFwAJU46WbxCDmPwAAAAAYAAAA/PwA/AACAAAAAAAA8L8CJZf/kH77/78CMuauJeSD0j8AAAAAJAAAAPz8APwAAgAAAAAAAPC/AiPb+X5qvOK/AhaMSuoENP8/AAAAAAEXAAQBZQQAAAAAAAAAAAAUAWUEAAAAAAAAAAAECAFlBAAAAAAAAAAACAwBZQQAAAAAAAAAAAwQAWUEAAAAAAAAAAAQFAFlBAAAAAAAAAAAEBgBZQQAAAAAAAAAABAcAWUEAAAAAAAAAAAcIAFlBAAAAAAAAAAAICQBZQgAAAAAAAAAACAoAWUEAAAAAAAAAAAoLAFlBAAAAAAAAAAALDABZQQAAAAAAAAAACw0AWUEAAAAAAAAAAAsOAFlBAAAAAAAAAAAGDwBZQQAAAAAAAAAADwBEAFlCAwAAAAAAAAAARABEQFlBAAAAAAAAAAAAREBEgFlCAgAAAAAAAAAARIBEwFlBAAAAAAAAAAAARMBFAFlCAgAAAAAAAAAARQ8AWUEAAAAAAAAAAABEAEVAWUEAAAAAAAAAAAAAAAA</t>
        </r>
      </text>
    </comment>
    <comment ref="A1875" authorId="0" shapeId="0" xr:uid="{28008ED9-A317-44CB-9539-52DED50C319C}">
      <text>
        <r>
          <rPr>
            <sz val="9"/>
            <color indexed="81"/>
            <rFont val="MS P ゴシック"/>
            <family val="3"/>
            <charset val="128"/>
          </rPr>
          <t>Insight iXlW00001C0001875R0585476093S00003748P01004LAocjBAQBF1NjaVRlZ2ljLmRhdGEuTW9sZWN1bGUBbwF/ARJTY2lUZWdpYy5Nb2xlY3VsZQAAAQFkAv5qAQAAAAIAAjQYAAAA/PwA/AACAAAAAAAA8L8ChlrTvOPUH0ACz4jS3uDLI8AAAAAAHAAAAPz8APwAAgAAAAAAAPC/AkhQ/BhzVyFAAvSOU3Qk9yLAAAAAABgAAAD8/AD8AAIAAAAAAADwvwJiodY079giQAI1gLdAgqIjwAAAAAAcAAAA/PwA/AACAAAAAAAA8L8CGCZTBaPyI0ACgZVDi2xnIsAAAAAAGAAAAPz8APwAAgAAAAAAAPC/AsuhRbbzHSNAAnzysFBr+iDAAAAAABgAAAD8/AD8AAIAAAAAAADwvwI3GsBbIIEhQAL5oGez6lMhwAAAAAAYAAAA/PwA/AACAAAAAAAA8L8C8fRKWYb4HEACDeAtkKD4IsAAAAAAGAAAAPz8APwAAgAAAAAAAPC/AuM2GsBbIBpAAnrHKTqSyyPAAAAAABwAAAD8/AD8AAIAAAAAAADwvwKsHFpkOx8aQAL9GHPXEnIlwAAAAAAYAAAA/PwA/AACAAAAAAAA8L8CXLG/7J78HEACaQBvgQRFJsAAAAAAGAAAAPz8APwAAgAAAAAAAPC/AtGzWfW52h9AAuELk6mCcSXAAAAAAAERAAAA/PwA/AACAAAAAAAA8L8CZ9Xnaiu2FUACxm00gLfAI8AAAAAAAREAAAD8/AD8AAIAAAAAAADwvwJDPujZrHoeQAIN4C2QoFghwAAAAAAwAAQBZQQAAAAAAAAAAAQIAWUEAAAAAAAAAAAIDAFlCAgAAAAAAAAADBABZQQAAAAAAAAAABAUAWUICAAAAAAAAAAUBAFlBAAAAAAAAAAAABgBZQQAAAAAAAAAAAAoAWUEAAAAAAAAAAAYHAFlBAAAAAAAAAAAHCABZQQAAAAAAAAAACAkAWUEAAAAAAAAAAAkKAFlBAAAAAAAAAAAAAAAAA==</t>
        </r>
      </text>
    </comment>
    <comment ref="A1876" authorId="0" shapeId="0" xr:uid="{F600CC9D-0000-4438-8F7F-7F5135A1ED46}">
      <text>
        <r>
          <rPr>
            <sz val="9"/>
            <color indexed="81"/>
            <rFont val="MS P ゴシック"/>
            <family val="3"/>
            <charset val="128"/>
          </rPr>
          <t>Insight iXlW00001C0001876R0585476093S00003750P01176LAocjBAQBF1NjaVRlZ2ljLmRhdGEuTW9sZWN1bGUBbwF/ARJTY2lUZWdpYy5Nb2xlY3VsZQAAAQFkAv5qAQAAAAIAAjwYAAAA/PwA/AACAAAAAAAA8L8CMEymCkaFNUACumsJ+aAfQsAAAAAAGAAAAPz8APwAAgAAAAAAAPC/AiRKe4MvPDZAAoc41sVtVELAAAAAABgAAAD8/AD8AAIAAAAAAADwvwIkSnuDLzw2QAIg0m9fB75CwAAAAAAYAAAA/PwA/AACAAAAAAAA8L8CMEymCkaFNUAC7Z48LNTyQsAAAAAAGAAAAPz8APwAAgAAAAAAAPC/AjxO0ZFczjRAAiDSb18HvkLAAAAAABgAAAD8/AD8AAIAAAAAAADwvwI8TtGRXM40QAKHONbFbVRCwAAAAAAYAAAA/PwA/AACAAAAAAAA8L8CuY0G8BYYNEACK4cW2c4fQsAAAAAAHAAAAPz8APwAAgAAAAAAAPC/ArmNBvAWGDRAAtiBc0aUtkHAAAAAABwAAAD8/AD8AAIAAAAAAADwvwI0orQ3+MI0QAKOl24Sg3hBwAAAAAAYAAAA/PwA/AACAAAAAAAA8L8CUyegibCBNEACpAG8BRIUQcAAAAAAGAAAAPz8APwAAgAAAAAAAPC/Ah/0bFZ9rjNAAqQBvAUSFEHAAAAAABgAAAD8/AD8AAIAAAAAAADwvwIFNBE2PG0zQAKOl24Sg3hBwAAAAAAYAAAA/PwA/AACAAAAAAAA8L8C93XgnBGlMkACGy/dJAaZQcAAAAAAIAAAAPz8APwAAgAAAAAAAPC/AsdLN4lBEDJAAgOaCBueTkHAAAAAACAAAAD8/AD8AAIAAAAAAADwvwI830+Nl24yQAKRD3o2q/5BwAAAAAABEAAEAWUICAAAAAAAAAAECAFlBAAAAAAAAAAACAwBZQgIAAAAAAAAAAwQAWUEAAAAAAAAAAAQFAFlCAgAAAAAAAAAFAABZQQAAAAAAAAAABQYAWUEAAAAAAAAAAAcIAFlBAAAAAAAAAAAICQBZQgIAAAAAAAAACQoAWUEAAAAAAAAAAAoLAFlCAgAAAAAAAAALBwBZQQAAAAAAAAAACwwAWUEAAAAAAAAAAAwNAFlBAAAAAAAAAAAMDgBZQgAAAAAAAAAABwYAWUEAAAAAAAAAAAAAAAA</t>
        </r>
      </text>
    </comment>
    <comment ref="A1877" authorId="0" shapeId="0" xr:uid="{7F69FD2D-7508-47D6-99F6-25DD90790EDA}">
      <text>
        <r>
          <rPr>
            <sz val="9"/>
            <color indexed="81"/>
            <rFont val="MS P ゴシック"/>
            <family val="3"/>
            <charset val="128"/>
          </rPr>
          <t>Insight iXlW00001C0001877R0585476093S00003752P01248LAocjBAQBF1NjaVRlZ2ljLmRhdGEuTW9sZWN1bGUBbwF/ARJTY2lUZWdpYy5Nb2xlY3VsZQAAAQFkAv5qAQAAAAIAAgEQGAAAAPz8APwAAgAAAAAAAPC/AvJBz2bV5+i/AmIyVTAqqfu/AAAAABgAAAD8/AD8AAIAAAAAAADwvwLwp8ZLN4mxvwJ0tRX7y+70vwAAAAAcAAAA/PwA/AACAAAAAAAA8L8CJLn8h/Tbz78C2V92Tx4W4L8AAAAAHAAAAPz8APwAAgAAAAAAAPC/Avrt68A5I/G/AkT67evAOdu/AAAAABgAAAD8/AD8AAIAAAAAAADwvwJ0RpT2Bl/2vwLlYaHWNO/yvwAAAAAYAAAA/PwA/AACAAAAAAAA8L8CXtxGA3gL5j8C7g2+MJkq+r8AAAAAIAAAAPz8APwAAgAAAAAAAPC/AnRGlPYGX/Y/AoIExY8xd/O/AAAAABgAAAD8/AD8AAIAAAAAAADwvwJh5dAi2/nSPwJ+rrZif9m9PwAAAAAYAAAA/PwA/AACAAAAAAAA8L8CKqkT0ETYoD8CcPCFyVTB7D8AAAAAGAAAAPz8APwAAgAAAAAAAPC/AnIbDeAtkOI/AgmsHFpkO/g/AAAAABgAAAD8/AD8AAIAAAAAAADwvwJB8WPMXUvUPwKS7Xw/NV4CQAAAAAAYAAAA/PwA/AACAAAAAAAA8L8CwTkjSnuD378C0GbV52qrA0AAAAAAGAAAAPz8APwAAgAAAAAAAPC/ApOpglFJnfC/Ano2qz5XW/0/AAAAABgAAAD8/AD8AAIAAAAAAADwvwKbd5yiI7novwIukKD4MebwPwAAAAAgAAAA/PwA/AACAAAAAAAA8L8CZRniWBe35z8C0GbV52qrA8AAAAAAJAAAAPz8APwAAgAAAAAAAPC/Ap7vp8ZLN/Y/AgtGJXUCmvU/AAAAAAERAAQBZQgIAAAAAAAAAAQIAWUEAAAAAAAAAAAIDAFlBAAAAAAAAAAADBABZQgIAAAAAAAAABAAAWUEAAAAAAAAAAAEFAFlBAAAAAAAAAAAFBgBZQgAAAAAAAAAAAgcAWUEAAAAAAAAAAAcIAFlBAAAAAAAAAAAICQBZQgMAAAAAAAAACQoAWUEAAAAAAAAAAAoLAFlCAgAAAAAAAAALDABZQQAAAAAAAAAADA0AWUICAAAAAAAAAA0IAFlBAAAAAAAAAAAFDgBZQQAAAAAAAAAACQ8AWUEAAAAAAAAAAAAAAAA</t>
        </r>
      </text>
    </comment>
    <comment ref="A1878" authorId="0" shapeId="0" xr:uid="{CE22BA3D-209A-42AB-B774-0DED941D606B}">
      <text>
        <r>
          <rPr>
            <sz val="9"/>
            <color indexed="81"/>
            <rFont val="MS P ゴシック"/>
            <family val="3"/>
            <charset val="128"/>
          </rPr>
          <t>Insight iXlW00001C0001878R0585476093S00003754P01248LAocjBAQBF1NjaVRlZ2ljLmRhdGEuTW9sZWN1bGUBbwF/ARJTY2lUZWdpYy5Nb2xlY3VsZQAAAQFkAv5qAQAAAAIAAgEQGAAAAPz8APwAAgAAAAAAAPC/AqFns+pzteG/AmIyVTAqqfu/AAAAABgAAAD8/AD8AAIAAAAAAADwvwJNFYxK6gTEPwJ0tRX7y+70vwAAAAAcAAAA/PwA/AACAAAAAAAA8L8CPZtVn6utmL8C2V92Tx4W4L8AAAAAHAAAAPz8APwAAgAAAAAAAPC/AqQBvAUSFOu/AkT67evAOdu/AAAAABgAAAD8/AD8AAIAAAAAAADwvwJLWYY41sXyvwLlYaHWNO/yvwAAAAAYAAAA/PwA/AACAAAAAAAA8L8Cr7Zif9k97T8C7g2+MJkq+r8AAAAAIAAAAPz8APwAAgAAAAAAAPC/ApwzorQ3+Pk/AoIExY8xd/O/AAAAABgAAAD8/AD8AAIAAAAAAADwvwIBTYQNT6/gPwJ+rrZif9m9PwAAAAAYAAAA/PwA/AACAAAAAAAA8L8CyCk6kst/0D8CcPCFyVTB7D8AAAAAGAAAAPz8APwAAgAAAAAAAPC/AuGcEaW9wek/AgmsHFpkO/g/AAAAABgAAAD8/AD8AAIAAAAAAADwvwLy0k1iEFjhPwKS7Xw/NV4CQAAAAAAYAAAA/PwA/AACAAAAAAAA8L8C4zYawFsg0b8C0GbV52qrA0AAAAAAGAAAAPz8APwAAgAAAAAAAPC/AtV46SYxCOq/Ano2qz5XW/0/AAAAABgAAAD8/AD8AAIAAAAAAADwvwJKnYAmwobhvwIukKD4MebwPwAAAAAgAAAA/PwA/AACAAAAAAAA8L8C1ZrmHafo7j8C0GbV52qrA8AAAAAAJAAAAPz8APwAAgAAAAAAAPC/ApwzorQ3+Pm/AiigibDh6f8/AAAAAAERAAQBZQgIAAAAAAAAAAQIAWUEAAAAAAAAAAAIDAFlBAAAAAAAAAAADBABZQgIAAAAAAAAABAAAWUEAAAAAAAAAAAEFAFlBAAAAAAAAAAAFBgBZQgAAAAAAAAAAAgcAWUEAAAAAAAAAAAcIAFlBAAAAAAAAAAAICQBZQgMAAAAAAAAACQoAWUEAAAAAAAAAAAoLAFlCAgAAAAAAAAALDABZQQAAAAAAAAAADA0AWUICAAAAAAAAAA0IAFlBAAAAAAAAAAAFDgBZQQAAAAAAAAAADA8AWUEAAAAAAAAAAAAAAAA</t>
        </r>
      </text>
    </comment>
    <comment ref="A1879" authorId="0" shapeId="0" xr:uid="{42E443A6-A0BA-4282-AF41-26920BF85CC6}">
      <text>
        <r>
          <rPr>
            <sz val="9"/>
            <color indexed="81"/>
            <rFont val="MS P ゴシック"/>
            <family val="3"/>
            <charset val="128"/>
          </rPr>
          <t>Insight iXlW00001C0001879R0585476093S00003756P01248LAocjBAQBF1NjaVRlZ2ljLmRhdGEuTW9sZWN1bGUBbwF/ARJTY2lUZWdpYy5Nb2xlY3VsZQAAAQFkAv5qAQAAAAIAAgEQGAAAAPz8APwAAgAAAAAAAPC/AvJBz2bV5+i/Atv5fmq89ADAAAAAABgAAAD8/AD8AAIAAAAAAADwvwLwp8ZLN4mxvwLJdr6fGi/7vwAAAAAcAAAA/PwA/AACAAAAAAAA8L8CJLn8h/Tbz78CZTvfT42X7L8AAAAAHAAAAPz8APwAAgAAAAAAAPC/Avrt68A5I/G/Asx/SL99Heq/AAAAABgAAAD8/AD8AAIAAAAAAADwvwJ0RpT2Bl/2vwI6I0p7gy/5vwAAAAAYAAAA/PwA/AACAAAAAAAA8L8CXtxGA3gL5j8CoWez6nM1AMAAAAAAIAAAAPz8APwAAgAAAAAAAPC/AnRGlPYGX/Y/AtfFbTSAt/m/AAAAABgAAAD8/AD8AAIAAAAAAADwvwJh5dAi2/nSPwK0WfW52orRvwAAAAAYAAAA/PwA/AACAAAAAAAA8L8CKqkT0ETYoD8Cxm00gLdA4D8AAAAAGAAAAPz8APwAAgAAAAAAAPC/AnIbDeAtkOI/ArTqc7UV+/E/AAAAABgAAAD8/AD8AAIAAAAAAADwvwJB8WPMXUvUPwJdbcX+snv+PwAAAAAYAAAA/PwA/AACAAAAAAAA8L8CwTkjSnuD378C7S+7Jw+LAEAAAAAAGAAAAPz8APwAAgAAAAAAAPC/ApOpglFJnfC/ArXIdr6fGvc/AAAAABgAAAD8/AD8AAIAAAAAAADwvwKbd5yiI7novwLQRNjw9ErlPwAAAAAgAAAA/PwA/AACAAAAAAAA8L8CZRniWBe35z8CescpOpLLBsAAAAAAJAAAAPz8APwAAgAAAAAAAPC/ArWmeccpOui/AnrHKTqSywZAAAAAAAERAAQBZQgIAAAAAAAAAAQIAWUEAAAAAAAAAAAIDAFlBAAAAAAAAAAADBABZQgIAAAAAAAAABAAAWUEAAAAAAAAAAAEFAFlBAAAAAAAAAAAFBgBZQgAAAAAAAAAAAgcAWUEAAAAAAAAAAAcIAFlBAAAAAAAAAAAICQBZQgMAAAAAAAAACQoAWUEAAAAAAAAAAAoLAFlCAgAAAAAAAAALDABZQQAAAAAAAAAADA0AWUICAAAAAAAAAA0IAFlBAAAAAAAAAAAFDgBZQQAAAAAAAAAACw8AWUEAAAAAAAAAAAAAAAA</t>
        </r>
      </text>
    </comment>
    <comment ref="A1880" authorId="0" shapeId="0" xr:uid="{1BA5CEDD-8FA1-4E19-B677-4895F201781B}">
      <text>
        <r>
          <rPr>
            <sz val="9"/>
            <color indexed="81"/>
            <rFont val="MS P ゴシック"/>
            <family val="3"/>
            <charset val="128"/>
          </rPr>
          <t>Insight iXlW00001C0001880R0585476093S00003758P01176LAocjBAQBF1NjaVRlZ2ljLmRhdGEuTW9sZWN1bGUBbwF/ARJTY2lUZWdpYy5Nb2xlY3VsZQAAAQFkAv5qAQAAAAIAAjwYAAAA/PwA/AACAAAAAAAA8L8CZRniWBe38L8CrD5XW7G/978AAAAAGAAAAPz8APwAAgAAAAAAAPC/AiQofoy5a9W/AoJzRpT2BvG/AAAAABwAAAD8/AD8AAIAAAAAAADwvwIhH/RsVn3gvwIlBoGVQ4vQvwAAAAAcAAAA/PwA/AACAAAAAAAA8L8CMQisHFpk9b8CGXPXEvJBx78AAAAAGAAAAPz8APwAAgAAAAAAAPC/AhwN4C2QoPq/AuY/pN++Du6/AAAAABgAAAD8/AD8AAIAAAAAAADwvwKCc0aU9gbbPwI3GsBbIEH2vwAAAAAgAAAA/PwA/AACAAAAAAAA8L8CYcPTK2UZ8j8CH4XrUbge778AAAAAGAAAAPz8APwAAgAAAAAAAPC/AjLmriXkg54/AuBPjZduEtc/AAAAABgAAAD8/AD8AAIAAAAAAADwvwKiRbbz/dTqPwJfKcsQx7rIPwAAAAAYAAAA/PwA/AACAAAAAAAA8L8CcoqO5PIf9j8C33GKjuTy6T8AAAAAGAAAAPz8APwAAgAAAAAAAPC/Agr5oGez6vE/AjnWxW00gPk/AAAAABgAAAD8/AD8AAIAAAAAAADwvwIv3SQGgZXTPwKMSuoENBH8PwAAAAAYAAAA/PwA/AACAAAAAAAA8L8CFa5H4XoUzr8C1lbsL7sn8j8AAAAAIAAAAPz8APwAAgAAAAAAAPC/ApLtfD81Xt4/AkvqBDQRtgHAAAAAACQAAAD8/AD8AAIAAAAAAADwvwIcDeAtkKD6PwJL6gQ0EbYBQAAAAAABEAAEAWUICAAAAAAAAAAECAFlBAAAAAAAAAAACAwBZQQAAAAAAAAAAAwQAWUICAAAAAAAAAAQAAFlBAAAAAAAAAAABBQBZQQAAAAAAAAAABQYAWUIAAAAAAAAAAAIHAFlBAAAAAAAAAAAHCABZQgMAAAAAAAAACAkAWUEAAAAAAAAAAAkKAFlCAgAAAAAAAAAKCwBZQQAAAAAAAAAACwwAWUICAAAAAAAAAAwHAFlBAAAAAAAAAAAFDQBZQQAAAAAAAAAACg4AWUEAAAAAAAAAAAAAAAA</t>
        </r>
      </text>
    </comment>
    <comment ref="A1881" authorId="0" shapeId="0" xr:uid="{60BD2954-675F-4DD6-B51F-A96FA1E11E25}">
      <text>
        <r>
          <rPr>
            <sz val="9"/>
            <color indexed="81"/>
            <rFont val="MS P ゴシック"/>
            <family val="3"/>
            <charset val="128"/>
          </rPr>
          <t>Insight iXlW00001C0001881R0585476093S00003760P01176LAocjBAQBF1NjaVRlZ2ljLmRhdGEuTW9sZWN1bGUBbwF/ARJTY2lUZWdpYy5Nb2xlY3VsZQAAAQFkAv5qAQAAAAIAAjwYAAAA/PwA/AACAAAAAAAA8L8CNYC3QIJCM0ACkaD4Meb+OcAAAAAAIAAAAPz8APwAAgAAAAAAAPC/AngLJCh+LDNAAgCRfvs60DrAAAAAABgAAAD8/AD8AAIAAAAAAADwvwK30QDeApkyQAL9GHPXEoI5wAAAAAAYAAAA/PwA/AACAAAAAAAA8L8CJ8KGp1eaMkAC5j+k376uOMAAAAAAGAAAAPz8APwAAgAAAAAAAPC/AsRCrWne0TFAAkA1XrpJbDjAAAAAABwAAAD8/AD8AAIAAAAAAADwvwLb+X5qvFQxQAKEns2qzxU5wAAAAAAcAAAA/PwA/AACAAAAAAAA8L8CHVpkO9/PMUACb6MBvAXCOcAAAAAAGAAAAPz8APwAAgAAAAAAAPC/Am40gLdAgjBAAoSezarPFTnAAAAAABgAAAD8/AD8AAIAAAAAAADwvwIqyxDHuhgwQAICvAUSFF84wAAAAAAYAAAA/PwA/AACAAAAAAAA8L8C2/l+aryEMEACZF3cRgOoN8AAAAAAGAAAAPz8APwAAgAAAAAAAPC/AusENBE2HDBAAo6XbhKD8DbAAAAAABgAAAD8/AD8AAIAAAAAAADwvwJvowG8BZIuQAJz1xLyQe82wAAAAAAYAAAA/PwA/AACAAAAAAAA8L8C6iYxCKy8LUACvlKWIY6lN8AAAAAAGAAAAPz8APwAAgAAAAAAAPC/AlqGONbFjS5AApQYBFYOXTjAAAAAACAAAAD8/AD8AAIAAAAAAADwvwLChqdXygI0QAJ+HThnRKk5wAAAAAABEAAEAWUIAAAAAAAAAAAACAFlBAAAAAAAAAAACAwBZQQAAAAAAAAAAAwQAWUICAAAAAAAAAAQFAFlBAAAAAAAAAAAFBgBZQQAAAAAAAAAABgIAWUIDAAAAAAAAAAUHAFlBAAAAAAAAAAAHCABZQQAAAAAAAAAACAkAWUIDAAAAAAAAAAkKAFlBAAAAAAAAAAAKCwBZQgIAAAAAAAAACwwAWUEAAAAAAAAAAAwNAFlCAgAAAAAAAAANCABZQQAAAAAAAAAAAA4AWUEAAAAAAAAAAAAAAAA</t>
        </r>
      </text>
    </comment>
    <comment ref="A1882" authorId="0" shapeId="0" xr:uid="{204D7D29-8E99-4ED8-88DD-1201753AE3D6}">
      <text>
        <r>
          <rPr>
            <sz val="9"/>
            <color indexed="81"/>
            <rFont val="MS P ゴシック"/>
            <family val="3"/>
            <charset val="128"/>
          </rPr>
          <t>Insight iXlW00001C0001882R0585476093S00003762P01248LAocjBAQBF1NjaVRlZ2ljLmRhdGEuTW9sZWN1bGUBbwF/ARJTY2lUZWdpYy5Nb2xlY3VsZQAAAQFkAv5qAQAAAAIAAgEQGAAAAPz8APwAAgAAAAAAAPC/Ap0Rpb3BF/I/AjJ3LSEf9Oa/AAAAABgAAAD8/AD8AAIAAAAAAADwvwJoRGlv8IX9PwKkAbwFEhTyvwAAAAAgAAAA/PwA/AACAAAAAAAA8L8C0pFc/kN6BEACMnctIR/05r8AAAAAIAAAAPz8APwAAgAAAAAAAPC/AmhEaW/whf0/Atc07zhFR/+/AAAAABwAAAD8/AD8AAIAAAAAAADwvwLWxW00gLfwPwIHX5hMFYy6PwAAAAAcAAAA/PwA/AACAAAAAAAA8L8CZ2ZmZmZmzj8CmpmZmZmZ0T8AAAAAGAAAAPz8APwAAgAAAAAAAPC/AmdmZmZmZsa/ApAxdy0hH9y/AAAAABgAAAD8/AD8AAIAAAAAAADwvwKh+DHmriXYPwLXo3A9CtfwvwAAAAAYAAAA/PwA/AACAAAAAAAA8L8CfGEyVTAqub8C2/l+arx08D8AAAAAGAAAAPz8APwAAgAAAAAAAPC/AtgS8kHPZu2/AtejcD0K1/E/AAAAABgAAAD8/AD8AAIAAAAAAADwvwI5RUdy+Q/0vwLbiv1l9+T9PwAAAAAYAAAA/PwA/AACAAAAAAAA8L8CDr4wmSqYAMAC1zTvOEVH/z8AAAAAGAAAAPz8APwAAgAAAAAAAPC/AtKRXP5DegTAAintDb4wmfQ/AAAAABgAAAD8/AD8AAIAAAAAAADwvwJfmEwVjMoBwAL99nXgnBHhPwAAAAAYAAAA/PwA/AACAAAAAAAA8L8C2/l+arx09r8C4L4OnDOi3D8AAAAAJAAAAPz8APwAAgAAAAAAAPC/AvcGX5hMFfG/AgRWDi2yndO/AAAAAAERAAQBZQQAAAAAAAAAAAQIAWUIAAAAAAAAAAAEDAFlBAAAAAAAAAAAABABZQgMAAAAAAAAABAUAWUEAAAAAAAAAAAUGAFlBAAAAAAAAAAAGBwBZQgIAAAAAAAAABwAAWUEAAAAAAAAAAAUIAFlBAAAAAAAAAAAICQBZQQAAAAAAAAAACQoAWUIDAAAAAAAAAAoLAFlBAAAAAAAAAAALDABZQgIAAAAAAAAADA0AWUEAAAAAAAAAAA0OAFlCAgAAAAAAAAAOCQBZQQAAAAAAAAAADg8AWUEAAAAAAAAAAAAAAAA</t>
        </r>
      </text>
    </comment>
    <comment ref="A1883" authorId="0" shapeId="0" xr:uid="{65F91047-8511-40C2-BAB6-732AB397A25C}">
      <text>
        <r>
          <rPr>
            <sz val="9"/>
            <color indexed="81"/>
            <rFont val="MS P ゴシック"/>
            <family val="3"/>
            <charset val="128"/>
          </rPr>
          <t>Insight iXlW00001C0001883R0585476093S00003764P01248LAocjBAQBF1NjaVRlZ2ljLmRhdGEuTW9sZWN1bGUBbwF/ARJTY2lUZWdpYy5Nb2xlY3VsZQAAAQFkAv5qAQAAAAIAAgEQGAAAAPz8APwAAgAAAAAAAPC/An0/NV66SfM/AhTQRNjw9Oa/AAAAABgAAAD8/AD8AAIAAAAAAADwvwJIcvkP6bf+PwKkAbwFEhTyvwAAAAAgAAAA/PwA/AACAAAAAAAA8L8C+n5qvHQTBUACFNBE2PD05r8AAAAAIAAAAPz8APwAAgAAAAAAAPC/Akhy+Q/pt/4/Atc07zhFR/+/AAAAABwAAAD8/AD8AAIAAAAAAADwvwKBlUOLbOfxPwIHX5hMFYy6PwAAAAAcAAAA/PwA/AACAAAAAAAA8L8CtOpztRX70z8CmpmZmZmZ0T8AAAAAGAAAAPz8APwAAgAAAAAAAPC/AszuycNCrbm/ApAxdy0hH9y/AAAAABgAAAD8/AD8AAIAAAAAAADwvwJMN4lBYOXcPwLXo3A9CtfwvwAAAAAYAAAA/PwA/AACAAAAAAAA8L8CqvHSTWIQmL8C2/l+arx08D8AAAAAGAAAAPz8APwAAgAAAAAAAPC/AjZeukkMAuu/AtejcD0K1/E/AAAAABgAAAD8/AD8AAIAAAAAAADwvwKOdXEbDeDyvwLbiv1l9+T9PwAAAAAYAAAA/PwA/AACAAAAAAAA8L8CcayL22gAAMAC1zTvOEVH/z8AAAAAGAAAAPz8APwAAgAAAAAAAPC/AqmkTkAT4QPAAintDb4wmfQ/AAAAABgAAAD8/AD8AAIAAAAAAADwvwLChqdXyjIBwAL99nXgnBHhPwAAAAAYAAAA/PwA/AACAAAAAAAA8L8Cih9j7lpC9b8C4L4OnDOi3D8AAAAAJAAAAPz8APwAAgAAAAAAAPC/Avp+arx0EwXAAnxhMlUwKsG/AAAAAAERAAQBZQQAAAAAAAAAAAQIAWUIAAAAAAAAAAAEDAFlBAAAAAAAAAAAABABZQgMAAAAAAAAABAUAWUEAAAAAAAAAAAUGAFlBAAAAAAAAAAAGBwBZQgIAAAAAAAAABwAAWUEAAAAAAAAAAAUIAFlBAAAAAAAAAAAICQBZQQAAAAAAAAAACQoAWUIDAAAAAAAAAAoLAFlBAAAAAAAAAAALDABZQgIAAAAAAAAADA0AWUEAAAAAAAAAAA0OAFlCAgAAAAAAAAAOCQBZQQAAAAAAAAAADQ8AWUEAAAAAAAAAAAAAAAA</t>
        </r>
      </text>
    </comment>
    <comment ref="A1884" authorId="0" shapeId="0" xr:uid="{949C33CA-F774-49A1-A8DF-E516F048EAD7}">
      <text>
        <r>
          <rPr>
            <sz val="9"/>
            <color indexed="81"/>
            <rFont val="MS P ゴシック"/>
            <family val="3"/>
            <charset val="128"/>
          </rPr>
          <t>Insight iXlW00001C0001884R0585476093S00003766P01248LAocjBAQBF1NjaVRlZ2ljLmRhdGEuTW9sZWN1bGUBbwF/ARJTY2lUZWdpYy5Nb2xlY3VsZQAAAQFkAv5qAQAAAAIAAgEQGAAAAPz8APwAAgAAAAAAAPC/AoDZPXlYqPg/AjJ3LSEf9Oa/AAAAABgAAAD8/AD8AAIAAAAAAADwvwJe3EYDeAsCQAIzVTAqqRPyvwAAAAAgAAAA/PwA/AACAAAAAAAA8L8Cw/UoXI/CB0ACMnctIR/05r8AAAAAIAAAAPz8APwAAgAAAAAAAPC/Al7cRgN4CwJAAmaIY13cRv+/AAAAABwAAAD8/AD8AAIAAAAAAADwvwKEL0ymCkb3PwIHX5hMFYy6PwAAAAAcAAAA/PwA/AACAAAAAAAA8L8C18VtNIC35D8CmpmZmZmZ0T8AAAAAGAAAAPz8APwAAgAAAAAAAPC/AoxK6gQ0Ec4/ApAxdy0hH9y/AAAAABgAAAD8/AD8AAIAAAAAAADwvwKNKO0NvjDpPwJm9+RhodbwvwAAAAAYAAAA/PwA/AACAAAAAAAA8L8CtOpztRX70z8Cak3zjlN08D8AAAAAGAAAAPz8APwAAgAAAAAAAPC/Amx4eqUsQ+C/Amb35GGh1vE/AAAAABgAAAD8/AD8AAIAAAAAAADwvwJUBaOSOgHrvwJq3nGKjuT9PwAAAAAYAAAA/PwA/AACAAAAAAAA8L8CjblrCfmg+r8CZohjXdxG/z8AAAAAGAAAAPz8APwAAgAAAAAAAPC/AlHaG3xhMgHAArhAguLHmPQ/AAAAABgAAAD8/AD8AAIAAAAAAADwvwIvbqMBvAX9vwL99nXgnBHhPwAAAAAYAAAA/PwA/AACAAAAAAAA8L8CthX7y+7J778C4L4OnDOi3D8AAAAAJAAAAPz8APwAAgAAAAAAAPC/AsP1KFyPwgfAAn6MuWsJ+fU/AAAAAAERAAQBZQQAAAAAAAAAAAQIAWUIAAAAAAAAAAAEDAFlBAAAAAAAAAAAABABZQgMAAAAAAAAABAUAWUEAAAAAAAAAAAUGAFlBAAAAAAAAAAAGBwBZQgIAAAAAAAAABwAAWUEAAAAAAAAAAAUIAFlBAAAAAAAAAAAICQBZQQAAAAAAAAAACQoAWUIDAAAAAAAAAAoLAFlBAAAAAAAAAAALDABZQgIAAAAAAAAADA0AWUEAAAAAAAAAAA0OAFlCAgAAAAAAAAAOCQBZQQAAAAAAAAAADA8AWUEAAAAAAAAAAAAAAAA</t>
        </r>
      </text>
    </comment>
    <comment ref="A1885" authorId="0" shapeId="0" xr:uid="{7F1545B4-2FEF-44B6-AB64-B57B3F9DD319}">
      <text>
        <r>
          <rPr>
            <sz val="9"/>
            <color indexed="81"/>
            <rFont val="MS P ゴシック"/>
            <family val="3"/>
            <charset val="128"/>
          </rPr>
          <t>Insight iXlW00001C0001885R0585476093S00003768P01176LAocjBAQBF1NjaVRlZ2ljLmRhdGEuTW9sZWN1bGUBbwF/ARJTY2lUZWdpYy5Nb2xlY3VsZQAAAQFkAv5qAQAAAAIAAjwkAAAA/PwA/AACAAAAAAAA8L8CkDF3LSFfHkACJZf/kH776D8AAAAAGAAAAPz8APwAAgAAAAAAAPC/AjIIrBxa5BxAAkVpb/CFSQFAAAAAABgAAAD8/AD8AAIAAAAAAADwvwJ9PzVeugkcQAJt5/up8dL1PwAAAAAYAAAA/PwA/AACAAAAAAAA8L8CtoR80LPZGEACnMQgsHJo8j8AAAAAGAAAAPz8APwAAgAAAAAAAPC/AsB9HThnhBZAAueMKO0Nvvs/AAAAABgAAAD8/AD8AAIAAAAAAADwvwI7AU2EDY8aQAJqTfOOU/QFQAAAAAAYAAAA/PwA/AACAAAAAAAA8L8CdEaU9gZfF0ACArwFEhQ/BEAAAAAAIAAAAPz8APwAAgAAAAAAAPC/AonS3uALkwpAAlqGONbFLRRAAAAAACAAAAD8/AD8AAIAAAAAAADwvwJ8gy9MpgoHQAIH8BZIUHwNQAAAAAAYAAAA/PwA/AACAAAAAAAA8L8CNe84RUfyC0ACbAn5oGfzEEAAAAAAGAAAAPz8APwAAgAAAAAAAPC/Aoj029eBcxZAAgYSFD/G3A9AAAAAABwAAAD8/AD8AAIAAAAAAADwvwIf9GxWfW4VQAKgibDh6ZUJQAAAAAAcAAAA/PwA/AACAAAAAAAA8L8CUyegibAhEkACoImw4emVCUAAAAAAGAAAAPz8APwAAgAAAAAAAPC/As07TtGRHBFAAgYSFD/G3A9AAAAAABgAAAD8/AD8AAIAAAAAAADwvwK5jQbwFsgTQAJXW7G/7N4RQAAAAAABEAgAAWUEAAAAAAAAAAAIBAFlCAwAAAAAAAAAFAQBZQQAAAAAAAAAAAwIAWUEAAAAAAAAAAAQDAFlCAgAAAAAAAAAGBABZQQAAAAAAAAAABQYAWUICAAAAAAAAAAsGAFlBAAAAAAAAAAAJBwBZQgAAAAAAAAAACQgAWUEAAAAAAAAAAA0JAFlBAAAAAAAAAAALCgBZQQAAAAAAAAAADgoAWUICAAAAAAAAAAwLAFlBAAAAAAAAAAAMDQBZQgMAAAAAAAAADg0AWUEAAAAAAAAAAAAAAAA</t>
        </r>
      </text>
    </comment>
    <comment ref="A1886" authorId="0" shapeId="0" xr:uid="{0E2900D6-0419-4722-85D7-6817294101A9}">
      <text>
        <r>
          <rPr>
            <sz val="9"/>
            <color indexed="81"/>
            <rFont val="MS P ゴシック"/>
            <family val="3"/>
            <charset val="128"/>
          </rPr>
          <t>Insight iXlW00001C0001886R0585476093S00003770P01688LAocjBAQBF1NjaVRlZ2ljLmRhdGEuTW9sZWN1bGUBbwF/ARJTY2lUZWdpYy5Nb2xlY3VsZQAAAQFkAv5qAQAAAAIAAgEWGAAAAPz8APwAAgAAAAAAAPC/AtWa5h2n6P+/Akhy+Q/pt+2/AAAAABwAAAD8/AD8AAIAAAAAAADwvwLVmuYdp+j/vwJX7C+7Jw/8vwAAAAAYAAAA/PwA/AACAAAAAAAA8L8CMuauJeSD9L8C0ETY8PRKAcAAAAAAGAAAAPz8APwAAgAAAAAAAPC/AiBj7lpCPuK/AlfsL7snD/y/AAAAABgAAAD8/AD8AAIAAAAAAADwvwIgY+5aQj7ivwJIcvkP6bftvwAAAAAYAAAA/PwA/AACAAAAAAAA8L8CMuauJeSD9L8CdEaU9gZf4L8AAAAAGAAAAPz8APwAAgAAAAAAAPC/AnsUrkfheuK/AgdfmEwVjLq/AAAAABwAAAD8/AD8AAIAAAAAAADwvwJ/arx0kxjQPwJIcvkP6bftvwAAAAAYAAAA/PwA/AACAAAAAAAA8L8Cc2iR7Xw/5T8C7uvAOSNK+r8AAAAAIAAAAPz8APwAAgAAAAAAAPC/An9qvHSTGNA/ApVliGNd3ALAAAAAACAAAAD8/AD8AAIAAAAAAADwvwJt5/up8dL3PwLu68A5I0r6vwAAAAAYAAAA/PwA/AACAAAAAAAA8L8CB4GVQ4ts/j8CSHL5D+m37b8AAAAAGAAAAPz8APwAAgAAAAAAAPC/Ah1aZDvfzwVAAkhy+Q/pt+2/AAAAABgAAAD8/AD8AAIAAAAAAADwvwJt5/up8dL3PwLLMsSxLm7LvwAAAAAYAAAA/PwA/AACAAAAAAAA8L8CppvEILByAkACOrTIdr6fyr8AAAAAGAAAAPz8APwAAgAAAAAAAPC/An3Qs1n1ufS/AlyPwvUoXNM/AAAAABgAAAD8/AD8AAIAAAAAAADwvwKlTkATYcP0vwIvbqMBvAXyPwAAAAAYAAAA/PwA/AACAAAAAAAA8L8C5q4l5IMeAMAC95fdk4eF+D8AAAAAGAAAAPz8APwAAgAAAAAAAPC/Ah1aZDvfzwXAAouO5PIf0vE/AAAAABgAAAD8/AD8AAIAAAAAAADwvwJfKcsQx7oFwAIcfGEyVTDSPwAAAAAYAAAA/PwA/AACAAAAAAAA8L8CJZf/kH77/78CaZHtfD81vr8AAAAAJAAAAPz8APwAAgAAAAAAAPC/AiNseHqlLADAApVliGNd3AJAAAAAAAEXAAQBZQQAAAAAAAAAAAAUAWUEAAAAAAAAAAAECAFlBAAAAAAAAAAACAwBZQQAAAAAAAAAAAwQAWUEAAAAAAAAAAAQFAFlBAAAAAAAAAAAEBgBZQQAAAAAAAAAABAcAWUEAAAAAAAAAAAcIAFlBAAAAAAAAAAAICQBZQgAAAAAAAAAACAoAWUEAAAAAAAAAAAoLAFlBAAAAAAAAAAALDABZQQAAAAAAAAAACw0AWUEAAAAAAAAAAAsOAFlBAAAAAAAAAAAGDwBZQQAAAAAAAAAADwBEAFlCAwAAAAAAAAAARABEQFlBAAAAAAAAAAAAREBEgFlCAgAAAAAAAAAARIBEwFlBAAAAAAAAAAAARMBFAFlCAgAAAAAAAAAARQ8AWUEAAAAAAAAAAABEQEVAWUEAAAAAAAAAAAAAAAA</t>
        </r>
      </text>
    </comment>
    <comment ref="A1887" authorId="0" shapeId="0" xr:uid="{B8A30F5D-AE0E-41E0-9E56-792A35259554}">
      <text>
        <r>
          <rPr>
            <sz val="9"/>
            <color indexed="81"/>
            <rFont val="MS P ゴシック"/>
            <family val="3"/>
            <charset val="128"/>
          </rPr>
          <t>Insight iXlW00001C0001887R0585476093S00003772P00948LAocjBAQBF1NjaVRlZ2ljLmRhdGEuTW9sZWN1bGUBbwF/ARJTY2lUZWdpYy5Nb2xlY3VsZQAAAQFkAv5qAQAAAAIAAjAYAAAA/PwA/AACAAAAAAAA8L8C0ETY8PRKuT8CWvW52or9tb8AAAAAHAAAAPz8APwAAgAAAAAAAPC/AvA4RUdy+ek/AnWTGARWDtU/AAAAABwAAAD8/AD8AAIAAAAAAADwvwJGJXUCmgj5PwKV9gZfmEx1vwAAAAAcAAAA/PwA/AACAAAAAAAA8L8CKKCJsOHpAEAC3+ALk6mC4z8AAAAAGAAAAPz8APwAAgAAAAAAAPC/AnZxGw3gLfs/AkETYcPTK/U/AAAAABgAAAD8/AD8AAIAAAAAAADwvwKQwvUoXI/sPwLl8h/Sb1/yPwAAAAAYAAAA/PwA/AACAAAAAAAA8L8CKssQx7q4478C1JrmHafo1D8AAAAAGAAAAPz8APwAAgAAAAAAAPC/Aj4K16NwPfW/AgYSFD/G3LW/AAAAABwAAAD8/AD8AAIAAAAAAADwvwIZc9cS8kH1vwLWVuwvuyftvwAAAAAYAAAA/PwA/AACAAAAAAAA8L8CQKTfvg6c478CQRNhw9Mr9b8AAAAAGAAAAPz8APwAAgAAAAAAAPC/Ap5eKcsQx7o/AtNvXwfOGe2/AAAAAAERAAAA/PwA/AACAAAAAAAA8L8CKKCJsOHpAMACPnlYqDXN1z8AAAAAMAAEAWUEAAAAAAAAAAAECAFlBAAAAAAAAAAACAwBZQgIAAAAAAAAAAwQAWUEAAAAAAAAAAAQFAFlCAgAAAAAAAAAFAQBZQQAAAAAAAAAAAAYAWUEAAAAAAAAAAAAKAFlBAAAAAAAAAAAGBwBZQQAAAAAAAAAABwgAWUEAAAAAAAAAAAgJAFlBAAAAAAAAAAAJCgBZQQAAAAAAAAAAAAAAAA=</t>
        </r>
      </text>
    </comment>
    <comment ref="A1888" authorId="0" shapeId="0" xr:uid="{4B064990-2A60-47AA-B213-2EECEDC5AC39}">
      <text>
        <r>
          <rPr>
            <sz val="9"/>
            <color indexed="81"/>
            <rFont val="MS P ゴシック"/>
            <family val="3"/>
            <charset val="128"/>
          </rPr>
          <t>Insight iXlW00001C0001888R0585476093S00003774P01072LAocjBAQBF1NjaVRlZ2ljLmRhdGEuTW9sZWN1bGUBbwF/ARJTY2lUZWdpYy5Nb2xlY3VsZQAAAQFkAv5qAQAAAAIAAjgcAAAA/PwA/AACAAAAAAAA8L8C1CtlGeJYBMACtFn1udqK8r8AAAAAGAAAAPz8APwAAgAAAAAAAPC/AqcKRiV1Avy/Alr1udqK/fW/AAAAABgAAAD8/AD8AAIAAAAAAADwvwI0orQ3+MLyvwKti9toAG/pvwAAAAAcAAAA/PwA/AACAAAAAAAA8L8CMEymCkYl9r8CYjJVMCqpMz8AAAAAGAAAAPz8APwAAgAAAAAAAPC/AgCRfvs6cAHAAnl6pSxDHMs/AAAAABgAAAD8/AD8AAIAAAAAAADwvwLP91PjpRsGwALhnBGlvcHXvwAAAAAYAAAA/PwA/AACAAAAAAAA8L8CN6s+V1ux6b8CsVBrmnec4j8AAAAAIAAAAPz8APwAAgAAAAAAAPC/ApvmHafoSPC/Alr1udqK/fU/AAAAABwAAAD8/AD8AAIAAAAAAADwvwIi/fZ14JxxvwKegCbChqfXPwAAAAAYAAAA/PwA/AACAAAAAAAA8L8C/mX35GGh4j8CxEKtad5x7j8AAAAAGAAAAPz8APwAAgAAAAAAAPC/AuBPjZduEvY/AnUkl/+Qfuc/AAAAACAAAAD8/AD8AAIAAAAAAADwvwLc+X5qvHT/PwLmP6Tfvg71PwAAAAAYAAAA/PwA/AACAAAAAAAA8L8Cz/dT46UbBkACvjCZKhiV8T8AAAAAAREAAAD8/AD8AAIAAAAAAADwvwKzDHGsi9v2PwIYJlMFo5LsvwAAAAA0AAQBZQQAAAAAAAAAAAAUAWUEAAAAAAAAAAAECAFlBAAAAAAAAAAACAwBZQQAAAAAAAAAAAwQAWUEAAAAAAAAAAAQFAFlBAAAAAAAAAAADBgBZQQAAAAAAAAAABgcAWUIAAAAAAAAAAAYIAFlBAAAAAAAAAAAICQBZQQAAAAAAAAAACQoAWUEAAAAAAAAAAAoLAFlBAAAAAAAAAAALDABZQQAAAAAAAAAAAAAAAA=</t>
        </r>
      </text>
    </comment>
    <comment ref="A1889" authorId="0" shapeId="0" xr:uid="{6A689C5A-62A4-4924-BA0A-CAEBFFE3E432}">
      <text>
        <r>
          <rPr>
            <sz val="9"/>
            <color indexed="81"/>
            <rFont val="MS P ゴシック"/>
            <family val="3"/>
            <charset val="128"/>
          </rPr>
          <t>Insight iXlW00001C0001889R0585476093S00003776P01160LAocjBAQBF1NjaVRlZ2ljLmRhdGEuTW9sZWN1bGUBbwF/ARJTY2lUZWdpYy5Nb2xlY3VsZQAAAQFkAv5qAQAAAAIAAjwcAAAA/PwA/AACAAAAAAAA8L8CHVpkO99PA8AC8KfGSzeJ8r8AAAAAGAAAAPz8APwAAgAAAAAAAPC/AlYOLbKd7/m/AgfwFkhQ/PW/AAAAABgAAAD8/AD8AAIAAAAAAADwvwJVUiegibDwvwIkKH6MuWvpvwAAAAAcAAAA/PwA/AACAAAAAAAA8L8ChlrTvOMU9L8CYjJVMCqpMz8AAAAAGAAAAPz8APwAAgAAAAAAAPC/Akm/fR04ZwDAAnl6pSxDHMs/AAAAABgAAAD8/AD8AAIAAAAAAADwvwLFILByaBEFwAIMJCh+jLnXvwAAAAAYAAAA/PwA/AACAAAAAAAA8L8CAW+BBMWP5b8Ck6mCUUmd4j8AAAAAIAAAAPz8APwAAgAAAAAAAPC/AgCRfvs6cOy/AgfwFkhQ/PU/AAAAABwAAAD8/AD8AAIAAAAAAADwvwKLjuTyH9K/PwKegCbChqfXPwAAAAAYAAAA/PwA/AACAAAAAAAA8L8CrD5XW7G/5j8CPN9PjZdu7j8AAAAAGAAAAPz8APwAAgAAAAAAAPC/AhiV1AloIvg/Ald9rrZif+c/AAAAABgAAAD8/AD8AAIAAAAAAADwvwK1N/jCZKr+PwJ56SYxCKyMPwAAAAAYAAAA/PwA/AACAAAAAAAA8L8CxSCwcmgRBUACxY8xdy0h2z8AAAAAGAAAAPz8APwAAgAAAAAAAPC/Au7rwDkjygFAAmx4eqUsQ/I/AAAAAAERAAAA/PwA/AACAAAAAAAA8L8Cp3nHKTqS8j8C9WxWfa627r8AAAAAPAAEAWUEAAAAAAAAAAAAFAFlBAAAAAAAAAAABAgBZQQAAAAAAAAAAAgMAWUEAAAAAAAAAAAMEAFlBAAAAAAAAAAAEBQBZQQAAAAAAAAAAAwYAWUEAAAAAAAAAAAYHAFlCAAAAAAAAAAAGCABZQQAAAAAAAAAACAkAWUEAAAAAAAAAAAkKAFlBAAAAAAAAAAAKCwBZQQAAAAAAAAAACwwAWUEAAAAAAAAAAAwNAFlBAAAAAAAAAAANCgBZQQAAAAAAAAAAAAAAAA=</t>
        </r>
      </text>
    </comment>
    <comment ref="A1890" authorId="0" shapeId="0" xr:uid="{0DB7C648-A0B2-49E4-97D4-450C42504419}">
      <text>
        <r>
          <rPr>
            <sz val="9"/>
            <color indexed="81"/>
            <rFont val="MS P ゴシック"/>
            <family val="3"/>
            <charset val="128"/>
          </rPr>
          <t>Insight iXlW00001C0001890R0585476093S00003778P01376LAocjBAQBF1NjaVRlZ2ljLmRhdGEuTW9sZWN1bGUBbwF/ARJTY2lUZWdpYy5Nb2xlY3VsZQAAAQFkAv5qAQAAAAIAAgESHAAAAPz8APwAAgAAAAAAAPC/ArK/7J48LAXAAvmgZ7Pqc/i/AAAAABgAAAD8/AD8AAIAAAAAAADwvwJLe4MvTKb9vwJMN4lBYOX7vwAAAAAYAAAA/PwA/AACAAAAAAAA8L8CnMQgsHJo9L8Cq2BUUieg8r8AAAAAHAAAAPz8APwAAgAAAAAAAPC/AutztRX7y/e/AkCk374OnNe/AAAAABgAAAD8/AD8AAIAAAAAAADwvwLD9Shcj0ICwAKQMXctIR/EvwAAAAAYAAAA/PwA/AACAAAAAAAA8L8CPN9PjZfuBsACzO7Jw0Kt578AAAAAGAAAAPz8APwAAgAAAAAAAPC/AiWX/5B+++y/AryWkA96Nss/AAAAACAAAAD8/AD8AAIAAAAAAADwvwKwA+eMKO3xvwJKDAIrhxbwPwAAAAAcAAAA/PwA/AACAAAAAAAA8L8CMgisHFpku78Ck8t/SL99TT8AAAAAGAAAAPz8APwAAgAAAAAAAPC/AmwJ+aBns94/AqRwPQrXo+I/AAAAABgAAAD8/AD8AAIAAAAAAADwvwIeOGdEaW/0PwIxCKwcWmTXPwAAAAAYAAAA/PwA/AACAAAAAAAA8L8CZRniWBe39z8C4ZwRpb3B278AAAAAGAAAAPz8APwAAgAAAAAAAPC/Au58PzVeOgJAAmb35GGh1uS/AAAAABgAAAD8/AD8AAIAAAAAAADwvwI830+Nl+4GQAIzxLEubqOxvwAAAAAYAAAA/PwA/AACAAAAAAAA8L8CSHL5D+k3BUACdSSX/5B+5z8AAAAAGAAAAPz8APwAAgAAAAAAAPC/AhkEVg4tsv0/AvnCZKpgVO4/AAAAACQAAAD8/AD8AAIAAAAAAADwvwKi1jTvOEX6PwJMN4lBYOX7PwAAAAABEQAAAPz8APwAAgAAAAAAAPC/Aqd5xyk6EgBAArMMcayL2/a/AAAAAAESAAQBZQQAAAAAAAAAAAAUAWUEAAAAAAAAAAAECAFlBAAAAAAAAAAACAwBZQQAAAAAAAAAAAwQAWUEAAAAAAAAAAAQFAFlBAAAAAAAAAAADBgBZQQAAAAAAAAAABgcAWUIAAAAAAAAAAAYIAFlBAAAAAAAAAAAICQBZQQAAAAAAAAAACQoAWUEAAAAAAAAAAAoLAFlCAwAAAAAAAAALDABZQQAAAAAAAAAADA0AWUICAAAAAAAAAA0OAFlBAAAAAAAAAAAODwBZQgIAAAAAAAAADwoAWUEAAAAAAAAAAA8ARABZQQAAAAAAAAAAAAAAAA=</t>
        </r>
      </text>
    </comment>
    <comment ref="A1891" authorId="0" shapeId="0" xr:uid="{2FF94DCE-5228-4BB1-BD5B-917BF1E991A0}">
      <text>
        <r>
          <rPr>
            <sz val="9"/>
            <color indexed="81"/>
            <rFont val="MS P ゴシック"/>
            <family val="3"/>
            <charset val="128"/>
          </rPr>
          <t>Insight iXlW00001C0001891R0585476093S00003780P01376LAocjBAQBF1NjaVRlZ2ljLmRhdGEuTW9sZWN1bGUBbwF/ARJTY2lUZWdpYy5Nb2xlY3VsZQAAAQFkAv5qAQAAAAIAAgESHAAAAPz8APwAAgAAAAAAAPC/AoNRSZ2ApgbAArfRAN4CCfW/AAAAABgAAAD8/AD8AAIAAAAAAADwvwJ3Tx4Wak0AwAJ7FK5H4Xr4vwAAAAAYAAAA/PwA/AACAAAAAAAA8L8CzjtO0ZFc978Cs3vysFBr7r8AAAAAHAAAAPz8APwAAgAAAAAAAPC/Ah3r4jYawPq/Avkx5q4l5MO/AAAAABgAAAD8/AD8AAIAAAAAAADwvwKUh4Va07wDwAIAIv32deCsPwAAAAAYAAAA/PwA/AACAAAAAAAA8L8C1ZrmHadoCMACKqkT0ETY4L8AAAAAGAAAAPz8APwAAgAAAAAAAPC/AsRCrWnecfG/AmaIY13cRts/AAAAACAAAAD8/AD8AAIAAAAAAADwvwLiehSuR+H0vwKM22gAb4HzPwAAAAAcAAAA/PwA/AACAAAAAAAA8L8Cl5APejar0r8CU5YhjnVxyz8AAAAAGAAAAPz8APwAAgAAAAAAAPC/AqYsQxzr4tI/Aka28/3UeOk/AAAAABgAAAD8/AD8AAIAAAAAAADwvwLswDkjSnvxPwKdoiO5/IfiPwAAAAAYAAAA/PwA/AACAAAAAAAA8L8Cw/UoXI/C9D8Csr/snjwszL8AAAAAGAAAAPz8APwAAgAAAAAAAPC/Ahzr4jYawABAAoljXdxGA9y/AAAAABgAAAD8/AD8AAIAAAAAAADwvwJqTfOOU3QFQAJuNIC3QILCPwAAAAAYAAAA/PwA/AACAAAAAAAA8L8C54wo7Q2+A0AC+cJkqmBU7j8AAAAAGAAAAPz8APwAAgAAAAAAAPC/AnbgnBGlvfo/Ak2EDU+vlPI/AAAAACQAAAD8/AD8AAIAAAAAAADwvwLVmuYdp2gIQAJ7FK5H4Xr4PwAAAAABEQAAAPz8APwAAgAAAAAAAPC/AlqGONbFbfA/Ak7zjlN0JPu/AAAAAAESAAQBZQQAAAAAAAAAAAAUAWUEAAAAAAAAAAAECAFlBAAAAAAAAAAACAwBZQQAAAAAAAAAAAwQAWUEAAAAAAAAAAAQFAFlBAAAAAAAAAAADBgBZQQAAAAAAAAAABgcAWUIAAAAAAAAAAAYIAFlBAAAAAAAAAAAICQBZQQAAAAAAAAAACQoAWUEAAAAAAAAAAAoLAFlCAwAAAAAAAAALDABZQQAAAAAAAAAADA0AWUICAAAAAAAAAA0OAFlBAAAAAAAAAAAODwBZQgIAAAAAAAAADwoAWUEAAAAAAAAAAA4ARABZQQAAAAAAAAAAAAAAAA=</t>
        </r>
      </text>
    </comment>
    <comment ref="A1892" authorId="0" shapeId="0" xr:uid="{435C0344-DCE3-4DF2-9629-90D9B239CE92}">
      <text>
        <r>
          <rPr>
            <sz val="9"/>
            <color indexed="81"/>
            <rFont val="MS P ゴシック"/>
            <family val="3"/>
            <charset val="128"/>
          </rPr>
          <t>Insight iXlW00001C0001892R0585476093S00003782P01364LAocjBAQBF1NjaVRlZ2ljLmRhdGEuTW9sZWN1bGUBbwF/ARJTY2lUZWdpYy5Nb2xlY3VsZQAAAQFkAv5qAQAAAAIAAgESHAAAAPz8APwAAgAAAAAAAPC/AkJg5dAiWwjAAngLJCh+jPK/AAAAABgAAAD8/AD8AAIAAAAAAADwvwI1XrpJDAICwAI8TtGRXP71vwAAAAAYAAAA/PwA/AACAAAAAAAA8L8CS1mGONbF+r8CNe84RUdy6b8AAAAAHAAAAPz8APwAAgAAAAAAAPC/Agu1pnnHKf6/AAAAAAAYAAAA/PwA/AACAAAAAAAA8L8CU5YhjnVxBcACeXqlLEMcyz8AAAAAGAAAAPz8APwAAgAAAAAAAPC/Asx/SL99HQrAApSHhVrTvNe/AAAAABgAAAD8/AD8AAIAAAAAAADwvwJCYOXQItv0vwKTqYJRSZ3iPwAAAAAgAAAA/PwA/AACAAAAAAAA8L8C0ETY8PRK+L8CPE7RkVz+9T8AAAAAHAAAAPz8APwAAgAAAAAAAPC/AkcDeAskKOC/Aibkg57Nqtc/AAAAABgAAAD8/AD8AAIAAAAAAADwvwKpE9BE2PC0PwKmm8QgsHLuPwAAAAAYAAAA/PwA/AACAAAAAAAA8L8C++3rwDkj7D8CGy/dJAaB5z8AAAAAGAAAAPz8APwAAgAAAAAAAPC/AkXY8PRKWfE/AnIbDeAtkLC/AAAAABgAAAD8/AD8AAIAAAAAAADwvwK7uI0G8Bb+PwLImLuWkA/SvwAAAAAYAAAA/PwA/AACAAAAAAAA8L8Cc2iR7Xy/A0ACMzMzMzMz0z8AAAAAGAAAAPz8APwAAgAAAAAAAPC/ArfRAN4CCQJAArsnDwu1pvE/AAAAABgAAAD8/AD8AAIAAAAAAADwvwL5wmSqYFT3PwKMSuoENBH1PwAAAAAkAAAA/PwA/AACAAAAAAAA8L8CzH9Iv30dCkACkKD4MeautT8AAAAAAREAAAD8/AD8AAIAAAAAAADwvwKneccpOhIAQAKzDHGsi9v2vwAAAAABEgAEAWUEAAAAAAAAAAAAFAFlBAAAAAAAAAAABAgBZQQAAAAAAAAAAAgMAWUEAAAAAAAAAAAMEAFlBAAAAAAAAAAAEBQBZQQAAAAAAAAAAAwYAWUEAAAAAAAAAAAYHAFlCAAAAAAAAAAAGCABZQQAAAAAAAAAACAkAWUEAAAAAAAAAAAkKAFlBAAAAAAAAAAAKCwBZQgMAAAAAAAAACwwAWUEAAAAAAAAAAAwNAFlCAgAAAAAAAAANDgBZQQAAAAAAAAAADg8AWUICAAAAAAAAAA8KAFlBAAAAAAAAAAANAEQAWUEAAAAAAAAAAAAAAAA</t>
        </r>
      </text>
    </comment>
    <comment ref="A1893" authorId="0" shapeId="0" xr:uid="{44055213-8B88-47B4-B2C0-EB768381CE46}">
      <text>
        <r>
          <rPr>
            <sz val="9"/>
            <color indexed="81"/>
            <rFont val="MS P ゴシック"/>
            <family val="3"/>
            <charset val="128"/>
          </rPr>
          <t>Insight iXlW00001C0001893R0585476093S00003784P01376LAocjBAQBF1NjaVRlZ2ljLmRhdGEuTW9sZWN1bGUBbwF/ARJTY2lUZWdpYy5Nb2xlY3VsZQAAAQFkAv5qAQAAAAIAAgESHAAAAPz8APwAAgAAAAAAAPC/AiUGgZVDi/6/AlXBqKROQPi/AAAAABgAAAD8/AD8AAIAAAAAAADwvwJsmnecoiPzvwJ6xyk6ksv+vwAAAAAYAAAA/PwA/AACAAAAAAAA8L8CJQaBlUOL/r8C9wZfmEwV5r8AAAAAGAAAAPz8APwAAgAAAAAAAPC/Amyad5yiI/O/Aka28/3UeNG/AAAAABwAAAD8/AD8AAIAAAAAAADwvwKMbOf7qfHevwL3Bl+YTBXmvwAAAAAYAAAA/PwA/AACAAAAAAAA8L8C5KWbxCCw3r8C4C2QoPgx+L8AAAAAGAAAAPz8APwAAgAAAAAAAPC/AmRd3EYDeNM/Av7UeOkmMfy/AAAAABwAAAD8/AD8AAIAAAAAAADwvwKGWtO84xTpPwLBOSNKe4PxvwAAAAAYAAAA/PwA/AACAAAAAAAA8L8CrfpcbcX+0j8CjblrCfmg278AAAAAGAAAAPz8APwAAgAAAAAAAPC/AkqdgCbChuE/AvRsVn2uttY/AAAAABgAAAD8/AD8AAIAAAAAAADwvwIIPZtVn6v1PwJq3nGKjuTgPwAAAAAYAAAA/PwA/AACAAAAAAAA8L8CAk2EDU+v+T8C+g/pt68D9T8AAAAAGAAAAPz8APwAAgAAAAAAAPC/AmMQWDm0yPA/AnrHKTqSy/4/AAAAABgAAAD8/AD8AAIAAAAAAADwvwLc14FzRpTOPwKwA+eMKO37PwAAAAAYAAAA/PwA/AACAAAAAAAA8L8CIv32deCcgb8C18VtNIC37j8AAAAAJAAAAPz8APwAAgAAAAAAAPC/AiUGgZVDi/4/AgpoImx4erW/AAAAAAERAAAA/PwA/AACAAAAAAAA8L8CyCk6kst/8T8CWoY41sVtAMAAAAAAAREAAAD8/AD8AAIAAAAAAADwvwLDZKpgVFIBQAIAAAAAAAD5vwAAAAABEggAAWUEAAAAAAAAAAAABAFlBAAAAAAAAAAABBQBZQQAAAAAAAAAABAMAWUEAAAAAAAAAAAIDAFlBAAAAAAAAAAAEBQBZQQAAAAAAAAAABQYAWUIDAAAAAAAAAAYHAFlBAAAAAAAAAAAHCABZQgIAAAAAAAAACAQAWUEAAAAAAAAAAAgJAFlBAAAAAAAAAAAJCgBZQgMAAAAAAAAACgsAWUEAAAAAAAAAAAsMAFlCAgAAAAAAAAAMDQBZQQAAAAAAAAAADQ4AWUICAAAAAAAAAA4JAFlBAAAAAAAAAAAKDwBZQQAAAAAAAAAAAAAAAA=</t>
        </r>
      </text>
    </comment>
    <comment ref="A1894" authorId="0" shapeId="0" xr:uid="{F5D87B50-D157-4A9D-A7BD-446CF5BD39E4}">
      <text>
        <r>
          <rPr>
            <sz val="9"/>
            <color indexed="81"/>
            <rFont val="MS P ゴシック"/>
            <family val="3"/>
            <charset val="128"/>
          </rPr>
          <t>Insight iXlW00001C0001894R0585476093S00003786P01376LAocjBAQBF1NjaVRlZ2ljLmRhdGEuTW9sZWN1bGUBbwF/ARJTY2lUZWdpYy5Nb2xlY3VsZQAAAQFkAv5qAQAAAAIAAgESHAAAAPz8APwAAgAAAAAAAPC/ArmNBvAWSAHAAlXBqKROQPi/AAAAABgAAAD8/AD8AAIAAAAAAADwvwIpXI/C9Sj3vwJ6xyk6ksv+vwAAAAAYAAAA/PwA/AACAAAAAAAA8L8CuY0G8BZIAcAC9wZfmEwV5r8AAAAAGAAAAPz8APwAAgAAAAAAAPC/Ailcj8L1KPe/Aka28/3UeNG/AAAAABwAAAD8/AD8AAIAAAAAAADwvwLBOSNKe4PnvwL3Bl+YTBXmvwAAAAAYAAAA/PwA/AACAAAAAAAA8L8CbVZ9rrZi578C4C2QoPgx+L8AAAAAGAAAAPz8APwAAgAAAAAAAPC/AopBYOXQIqs/Av7UeOkmMfy/AAAAABwAAAD8/AD8AAIAAAAAAADwvwIK16NwPQrhPwLBOSNKe4PxvwAAAAAYAAAA/PwA/AACAAAAAAAA8L8Csp3vp8ZLpz8CjblrCfmg278AAAAAGAAAAPz8APwAAgAAAAAAAPC/AmHl0CLb+dI/AvRsVn2uttY/AAAAABgAAAD8/AD8AAIAAAAAAADwvwK7Jw8LtabxPwJq3nGKjuTgPwAAAAAYAAAA/PwA/AACAAAAAAAA8L8CtTf4wmSq9T8C+g/pt68D9T8AAAAAGAAAAPz8APwAAgAAAAAAAPC/Aiz2l92Th+k/AnrHKTqSy/4/AAAAABgAAAD8/AD8AAIAAAAAAADwvwKNKO0NvjCJvwKwA+eMKO37PwAAAAAYAAAA/PwA/AACAAAAAAAA8L8CHA3gLZCg0L8C18VtNIC37j8AAAAAJAAAAPz8APwAAgAAAAAAAPC/ArmNBvAWSAFAAsDsnjws1Pc/AAAAAAERAAAA/PwA/AACAAAAAAAA8L8CWoY41sVt6j8CLUMc6+I2AsAAAAAAAREAAAD8/AD8AAIAAAAAAADwvwIMk6mCUUn4PwJahjjWxW31vwAAAAABEggAAWUEAAAAAAAAAAAABAFlBAAAAAAAAAAABBQBZQQAAAAAAAAAABAMAWUEAAAAAAAAAAAIDAFlBAAAAAAAAAAAEBQBZQQAAAAAAAAAABQYAWUIDAAAAAAAAAAYHAFlBAAAAAAAAAAAHCABZQgIAAAAAAAAACAQAWUEAAAAAAAAAAAgJAFlBAAAAAAAAAAAJCgBZQgMAAAAAAAAACgsAWUEAAAAAAAAAAAsMAFlCAgAAAAAAAAAMDQBZQQAAAAAAAAAADQ4AWUICAAAAAAAAAA4JAFlBAAAAAAAAAAALDwBZQQAAAAAAAAAAAAAAAA=</t>
        </r>
      </text>
    </comment>
    <comment ref="A1895" authorId="0" shapeId="0" xr:uid="{8501EE2E-0DE6-4417-B1FC-BA4F3D390015}">
      <text>
        <r>
          <rPr>
            <sz val="9"/>
            <color indexed="81"/>
            <rFont val="MS P ゴシック"/>
            <family val="3"/>
            <charset val="128"/>
          </rPr>
          <t>Insight iXlW00001C0001895R0585476093S00003788P01376LAocjBAQBF1NjaVRlZ2ljLmRhdGEuTW9sZWN1bGUBbwF/ARJTY2lUZWdpYy5Nb2xlY3VsZQAAAQFkAv5qAQAAAAIAAgESHAAAAPz8APwAAgAAAAAAAPC/AlvTvOMUHfy/AiUGgZVDi/6/AAAAABgAAAD8/AD8AAIAAAAAAADwvwISFD/G3LXwvwIlBoGVQ4sCwAAAAAAYAAAA/PwA/AACAAAAAAAA8L8CW9O84xQd/L8CTMgHPZtV8b8AAAAAGAAAAPz8APwAAgAAAAAAAPC/AhIUP8bctfC/AsNkqmBUUuW/AAAAABwAAAD8/AD8AAIAAAAAAADwvwImUwWjkjrVvwJMyAc9m1XxvwAAAAAYAAAA/PwA/AACAAAAAAAA8L8Cfoy5awn51L8CsXJoke18/r8AAAAAGAAAAPz8APwAAgAAAAAAAPC/Asl2vp8aL90/AueMKO0NPgHAAAAAABwAAAD8/AD8AAIAAAAAAADwvwI5Z0Rpb/DtPwKRfvs6cM73vwAAAAAYAAAA/PwA/AACAAAAAAAA8L8CEhQ/xty13D8CZ2ZmZmZm6r8AAAAAGAAAAPz8APwAAgAAAAAAAPC/Avyp8dJNYuY/AmIyVTAqqaO/AAAAABgAAAD8/AD8AAIAAAAAAADwvwJhw9MrZRn4PwImUwWjkjrBPwAAAAAYAAAA/PwA/AACAAAAAAAA8L8CW9O84xQd/D8CU5YhjnVx7T8AAAAAGAAAAPz8APwAAgAAAAAAAPC/AryWkA96NvM/AqqCUUmdgPg/AAAAABgAAAD8/AD8AAIAAAAAAADwvwJTBaOSOgHZPwLgvg6cM6L1PwAAAAAYAAAA/PwA/AACAAAAAAAA8L8C+MJkqmBUwj8CNjy9UpYh4j8AAAAAJAAAAPz8APwAAgAAAAAAAPC/Ato9eVioNfc/AiUGgZVDiwJAAAAAAAERAAAA/PwA/AACAAAAAAAA8L8ChslUwaik/T8ChslUwaik/b8AAAAAAREAAAD8/AD8AAIAAAAAAADwvwJq3nGKjmQCQAJO845TdCTrvwAAAAABEggAAWUEAAAAAAAAAAAABAFlBAAAAAAAAAAABBQBZQQAAAAAAAAAABAMAWUEAAAAAAAAAAAIDAFlBAAAAAAAAAAAEBQBZQQAAAAAAAAAABQYAWUIDAAAAAAAAAAYHAFlBAAAAAAAAAAAHCABZQgIAAAAAAAAACAQAWUEAAAAAAAAAAAgJAFlBAAAAAAAAAAAJCgBZQgMAAAAAAAAACgsAWUEAAAAAAAAAAAsMAFlCAgAAAAAAAAAMDQBZQQAAAAAAAAAADQ4AWUICAAAAAAAAAA4JAFlBAAAAAAAAAAAMDwBZQQAAAAAAAAAAAAAAAA=</t>
        </r>
      </text>
    </comment>
    <comment ref="A1896" authorId="0" shapeId="0" xr:uid="{CCD6036B-896C-47E1-8116-0666C44A026B}">
      <text>
        <r>
          <rPr>
            <sz val="9"/>
            <color indexed="81"/>
            <rFont val="MS P ゴシック"/>
            <family val="3"/>
            <charset val="128"/>
          </rPr>
          <t>Insight iXlW00001C0001896R0585476093S00003790P01176LAocjBAQBF1NjaVRlZ2ljLmRhdGEuTW9sZWN1bGUBbwF/ARJTY2lUZWdpYy5Nb2xlY3VsZQAAAQFkAv5qAQAAAAIAAjwYAAAA/PwA/AACAAAAAAAA8L8CAwmKH2Pu7L8C4E+Nl24S9L8AAAAAGAAAAPz8APwAAgAAAAAAAPC/AqJFtvP91Mi/Ak5iEFg5tOq/AAAAABwAAAD8/AD8AAIAAAAAAADwvwIrhxbZzvfXvwIMk6mCUUmdvwAAAAAcAAAA/PwA/AACAAAAAAAA8L8CTvOOU3Qk878CHA3gLZCgqD8AAAAAGAAAAPz8APwAAgAAAAAAAPC/Ajj4wmSqYPi/AjC7Jw8Ltea/AAAAABgAAAD8/AD8AAIAAAAAAADwvwJNFYxK6gTiPwJrK/aX3ZPyvwAAAAAgAAAA/PwA/AACAAAAAAAA8L8CJzEIrBxa9D8CaQBvgQTF578AAAAAGAAAAPz8APwAAgAAAAAAAPC/AuSDns2qz8U/AmrecYqO5OI/AAAAABgAAAD8/AD8AAIAAAAAAADwvwJMyAc9m1XvPwIbnl4pyxDbPwAAAAAYAAAA/PwA/AACAAAAAAAA8L8COPjCZKpg+D8CLNSa5h2n8D8AAAAAGAAAAPz8APwAAgAAAAAAAPC/Al66SQwCK/Q/AnZxGw3gLf0/AAAAABgAAAD8/AD8AAIAAAAAAADwvwKD4seYu5bcPwLK5T+k377/PwAAAAAYAAAA/PwA/AACAAAAAAAA8L8CzH9Iv30duL8CE/JBz2bV9T8AAAAAJAAAAPz8APwAAgAAAAAAAPC/Arfz/dR46ey/Aov9ZffkYfg/AAAAACAAAAD8/AD8AAIAAAAAAADwvwJVUiegibDjPwLK5T+k377/vwAAAAABEAAEAWUICAAAAAAAAAAECAFlBAAAAAAAAAAACAwBZQQAAAAAAAAAAAwQAWUICAAAAAAAAAAQAAFlBAAAAAAAAAAABBQBZQQAAAAAAAAAABQYAWUIAAAAAAAAAAAIHAFlBAAAAAAAAAAAHCABZQgMAAAAAAAAACAkAWUEAAAAAAAAAAAkKAFlCAgAAAAAAAAAKCwBZQQAAAAAAAAAACwwAWUICAAAAAAAAAAwHAFlBAAAAAAAAAAAMDQBZQQAAAAAAAAAABQ4AWUEAAAAAAAAAAAAAAAA</t>
        </r>
      </text>
    </comment>
    <comment ref="A1897" authorId="0" shapeId="0" xr:uid="{7D986E9E-56BC-4C46-81CE-0194FE29C310}">
      <text>
        <r>
          <rPr>
            <sz val="9"/>
            <color indexed="81"/>
            <rFont val="MS P ゴシック"/>
            <family val="3"/>
            <charset val="128"/>
          </rPr>
          <t>Insight iXlW00001C0001897R0585476093S00003792P01176LAocjBAQBF1NjaVRlZ2ljLmRhdGEuTW9sZWN1bGUBbwF/ARJTY2lUZWdpYy5Nb2xlY3VsZQAAAQFkAv5qAQAAAAIAAjwYAAAA/PwA/AACAAAAAAAA8L8CqRPQRNjw9L8CUfwYc9cS9L8AAAAAGAAAAPz8APwAAgAAAAAAAPC/ApoIG55eKeO/AjC7Jw8Lteq/AAAAABwAAAD8/AD8AAIAAAAAAADwvwLHuriNBvDovwIMk6mCUUmdvwAAAAAcAAAA/PwA/AACAAAAAAAA8L8CBFYOLbKd+b8CHA3gLZCgqD8AAAAAGAAAAPz8APwAAgAAAAAAAPC/AkJg5dAi2/6/AhIUP8bctea/AAAAABgAAAD8/AD8AAIAAAAAAADwvwL129eBc0bEPwLc14FzRpTyvwAAAAAgAAAA/PwA/AACAAAAAAAA8L8Cw/UoXI/C6z8CS1mGONbF578AAAAAGAAAAPz8APwAAgAAAAAAAPC/Akku/yH99s2/Akw3iUFg5eI/AAAAABgAAAD8/AD8AAIAAAAAAADwvwLeAgmKH2PiPwIbnl4pyxDbPwAAAAAYAAAA/PwA/AACAAAAAAAA8L8C8kHPZtXn8T8CnoAmwoan8D8AAAAAGAAAAPz8APwAAgAAAAAAAPC/AhRhw9MrZes/AljKMsSxLv0/AAAAABgAAAD8/AD8AAIAAAAAAADwvwI9vVKWIY6lPwKsPldbsb//PwAAAAAYAAAA/PwA/AACAAAAAAAA8L8CzqrP1Vbs378ChJ7Nqs/V9T8AAAAAIAAAAPz8APwAAgAAAAAAAPC/AhTQRNjw9Mo/Aqw+V1uxv/+/AAAAACQAAAD8/AD8AAIAAAAAAADwvwJCYOXQItv+PwJhw9MrZRnsPwAAAAABEAAEAWUICAAAAAAAAAAECAFlBAAAAAAAAAAACAwBZQQAAAAAAAAAAAwQAWUICAAAAAAAAAAQAAFlBAAAAAAAAAAABBQBZQQAAAAAAAAAABQYAWUIAAAAAAAAAAAIHAFlBAAAAAAAAAAAHCABZQgMAAAAAAAAACAkAWUEAAAAAAAAAAAkKAFlCAgAAAAAAAAAKCwBZQQAAAAAAAAAACwwAWUICAAAAAAAAAAwHAFlBAAAAAAAAAAAFDQBZQQAAAAAAAAAACQ4AWUEAAAAAAAAAAAAAAAA</t>
        </r>
      </text>
    </comment>
    <comment ref="A1898" authorId="0" shapeId="0" xr:uid="{7A3F2804-FF14-4230-AEA1-3C3A6B05B791}">
      <text>
        <r>
          <rPr>
            <sz val="9"/>
            <color indexed="81"/>
            <rFont val="MS P ゴシック"/>
            <family val="3"/>
            <charset val="128"/>
          </rPr>
          <t>Insight iXlW00001C0001898R0585476093S00003794P01176LAocjBAQBF1NjaVRlZ2ljLmRhdGEuTW9sZWN1bGUBbwF/ARJTY2lUZWdpYy5Nb2xlY3VsZQAAAQFkAv5qAQAAAAIAAjwYAAAA/PwA/AACAAAAAAAA8L8CKe0NvjCZ3j8CcoqO5PIf8L8AAAAAGAAAAPz8APwAAgAAAAAAAPC/AhWuR+F6FPM/AgwkKH6Mufa/AAAAACAAAAD8/AD8AAIAAAAAAADwvwJQjZduEoP+PwJyio7k8h/wvwAAAAAgAAAA/PwA/AACAAAAAAAA8L8CFa5H4XoU8z8CoKut2F/2AcAAAAAAHAAAAPz8APwAAgAAAAAAAPC/AjlFR3L5D9k/AvA4RUdy+ce/AAAAABwAAAD8/AD8AAIAAAAAAADwvwJUdCSX/5DavwJYObTIdr6PvwAAAAAYAAAA/PwA/AACAAAAAAAA8L8CXW3F/rJ76r8CejarPldb578AAAAAGAAAAPz8APwAAgAAAAAAAPC/AoDZPXlYqNG/AubQItv5fvW/AAAAABgAAAD8/AD8AAIAAAAAAADwvwIRx7q4jQbovwIi/fZ14JznPwAAAAAYAAAA/PwA/AACAAAAAAAA8L8Cy6FFtvP90L8CP8bctYR89j8AAAAAGAAAAPz8APwAAgAAAAAAAPC/Aq+2Yn/ZPeO/ArwFEhQ/RgFAAAAAABgAAAD8/AD8AAIAAAAAAADwvwI6kst/SL/2vwKgq63YX/YBQAAAAAAYAAAA/PwA/AACAAAAAAAA8L8CUI2XbhKD/r8CkQ96Nqs++T8AAAAAGAAAAPz8APwAAgAAAAAAAPC/Amyad5yiI/m/AhpR2ht8Yeo/AAAAACQAAAD8/AD8AAIAAAAAAADwvwLhnBGlvcHhPwJ5eqUsQxz1PwAAAAABEAAEAWUEAAAAAAAAAAAECAFlCAAAAAAAAAAABAwBZQQAAAAAAAAAAAAQAWUIDAAAAAAAAAAQFAFlBAAAAAAAAAAAFBgBZQQAAAAAAAAAABgcAWUICAAAAAAAAAAcAAFlBAAAAAAAAAAAFCABZQQAAAAAAAAAACAkAWUIDAAAAAAAAAAkKAFlBAAAAAAAAAAAKCwBZQgIAAAAAAAAACwwAWUEAAAAAAAAAAAwNAFlCAgAAAAAAAAANCABZQQAAAAAAAAAACQ4AWUEAAAAAAAAAAAAAAAA</t>
        </r>
      </text>
    </comment>
    <comment ref="A1899" authorId="0" shapeId="0" xr:uid="{16CDB614-CE64-45FD-8065-01C55E405156}">
      <text>
        <r>
          <rPr>
            <sz val="9"/>
            <color indexed="81"/>
            <rFont val="MS P ゴシック"/>
            <family val="3"/>
            <charset val="128"/>
          </rPr>
          <t>Insight iXlW00001C0001899R0585476093S00003796P01688LAocjBAQBF1NjaVRlZ2ljLmRhdGEuTW9sZWN1bGUBbwF/ARJTY2lUZWdpYy5Nb2xlY3VsZQAAAQFkAv5qAQAAAAIAAgEWGAAAAPz8APwAAgAAAAAAAPC/AtejcD0KNyZAAkVpb/CFCR/AAAAAABwAAAD8/AD8AAIAAAAAAADwvwLXo3A9CjcmQAIJG55eKSshwAAAAAAYAAAA/PwA/AACAAAAAAAA8L8CbJp3nKKjJ0ACsi5uowH8IcAAAAAAGAAAAPz8APwAAgAAAAAAAPC/Ao4G8BZIEClAAgkbnl4pKyHAAAAAABgAAAD8/AD8AAIAAAAAAADwvwKOBvAWSBApQAJFaW/whQkfwAAAAAAYAAAA/PwA/AACAAAAAAAA8L8CbJp3nKKjJ0ACysNCrWleHcAAAAAAGAAAAPz8APwAAgAAAAAAAPC/Ao4G8BZIEClAAnicoiO5vBvAAAAAABgAAAD8/AD8AAIAAAAAAADwvwKwcmiR7ZwnQAIGEhQ/xhwawAAAAAAYAAAA/PwA/AACAAAAAAAA8L8CsHJoke2cJ0ACcF8HzhnRFsAAAAAAGAAAAPz8APwAAgAAAAAAAPC/AngLJCh+LCZAAv7UeOkmMRXAAAAAABgAAAD8/AD8AAIAAAAAAADwvwKrYFRSJ8AkQAJ1ApoIG94WwAAAAAAYAAAA/PwA/AACAAAAAAAA8L8Cq2BUUifAJEACOiNKe4MvGsAAAAAAGAAAAPz8APwAAgAAAAAAAPC/AqJFtvP9NCZAAkLxY8xdyxvAAAAAACQAAAD8/AD8AAIAAAAAAADwvwIcfGEyVVAjQAI6kst/SD8VwAAAAAAcAAAA/PwA/AACAAAAAAAA8L8ChlrTvOO0KkACRWlv8IUJH8AAAAAAGAAAAPz8APwAAgAAAAAAAPC/ArmNBvAWiCtAAvw6cM6I8iDAAAAAACAAAAD8/AD8AAIAAAAAAADwvwKGWtO847QqQALjNhrAW2AiwAAAAAAgAAAA/PwA/AACAAAAAAAA8L8CIPRsVn0uLUAC/DpwzojyIMAAAAAAGAAAAPz8APwAAgAAAAAAAPC/AlMnoImwAS5AAkVpb/CFCR/AAAAAABgAAAD8/AD8AAIAAAAAAADwvwK5jQbwFqgvQAJFaW/whQkfwAAAAAAYAAAA/PwA/AACAAAAAAAA8L8CIPRsVn0uLUACklz+Q/otHMAAAAAAGAAAAPz8APwAAgAAAAAAAPC/AhueXinL0C5AAp6AJsKGJxzAAAAAAAEXAAQBZQQAAAAAAAAAAAQIAWUEAAAAAAAAAAAIDAFlBAAAAAAAAAAADBABZQQAAAAAAAAAABAUAWUEAAAAAAAAAAAAFAFlBAAAAAAAAAAAEBgBZQQAAAAAAAAAABgcAWUEAAAAAAAAAAAcIAFlCAwAAAAAAAAAICQBZQQAAAAAAAAAACQoAWUICAAAAAAAAAAoLAFlBAAAAAAAAAAALDABZQgIAAAAAAAAADAcAWUEAAAAAAAAAAAoNAFlBAAAAAAAAAAAEDgBZQQAAAAAAAAAADg8AWUEAAAAAAAAAAA8ARABZQgAAAAAAAAAADwBEQFlBAAAAAAAAAAAAREBEgFlBAAAAAAAAAAAARIBEwFlBAAAAAAAAAAAARIBFAFlBAAAAAAAAAAAARIBFQFlBAAAAAAAAAAAAAAAAA==</t>
        </r>
      </text>
    </comment>
    <comment ref="A1900" authorId="0" shapeId="0" xr:uid="{E7C19935-D96D-40CD-89AD-3B56ED19DE1D}">
      <text>
        <r>
          <rPr>
            <sz val="9"/>
            <color indexed="81"/>
            <rFont val="MS P ゴシック"/>
            <family val="3"/>
            <charset val="128"/>
          </rPr>
          <t>Insight iXlW00001C0001900R0585476093S00003798P00948LAocjBAQBF1NjaVRlZ2ljLmRhdGEuTW9sZWN1bGUBbwF/ARJTY2lUZWdpYy5Nb2xlY3VsZQAAAQFkAv5qAQAAAAIAAjAYAAAA/PwA/AACAAAAAAAA8L8Cnu+nxks3uT8CWvW52or9tb8AAAAAHAAAAPz8APwAAgAAAAAAAPC/AmfV52or9uk/AnWTGARWDtU/AAAAABwAAAD8/AD8AAIAAAAAAADwvwLzH9JvXwf5PwKV9gZfmEx1vwAAAAAYAAAA/PwA/AACAAAAAAAA8L8CmUwVjErqAEAC3+ALk6mC4z8AAAAAGAAAAPz8APwAAgAAAAAAAPC/Asl2vp8aL/s/AtBm1edqK/U/AAAAABgAAAD8/AD8AAIAAAAAAADwvwJUdCSX/5DsPwLl8h/Sb1/yPwAAAAAYAAAA/PwA/AACAAAAAAAA8L8C0NVW7C+7478C1JrmHafo1D8AAAAAGAAAAPz8APwAAgAAAAAAAPC/Aq+2Yn/ZPfW/AgYSFD/G3LW/AAAAABwAAAD8/AD8AAIAAAAAAADwvwL7y+7Jw0L1vwL0/dR46SbtvwAAAAAYAAAA/PwA/AACAAAAAAAA8L8CmpmZmZmZ478C0GbV52or9b8AAAAAGAAAAPz8APwAAgAAAAAAAPC/AmwJ+aBns7o/AvAWSFD8GO2/AAAAAAERAAAA/PwA/AACAAAAAAAA8L8CmUwVjErqAMACPnlYqDXN1z8AAAAAMAAEAWUEAAAAAAAAAAAECAFlBAAAAAAAAAAACAwBZQgIAAAAAAAAAAwQAWUEAAAAAAAAAAAQFAFlCAgAAAAAAAAAFAQBZQQAAAAAAAAAAAAYAWUEAAAAAAAAAAAAKAFlBAAAAAAAAAAAGBwBZQQAAAAAAAAAABwgAWUEAAAAAAAAAAAgJAFlBAAAAAAAAAAAJCgBZQQAAAAAAAAAAAAAAAA=</t>
        </r>
      </text>
    </comment>
    <comment ref="A1901" authorId="0" shapeId="0" xr:uid="{A12B1B21-4509-4E70-9686-0AF7E5B772C9}">
      <text>
        <r>
          <rPr>
            <sz val="9"/>
            <color indexed="81"/>
            <rFont val="MS P ゴシック"/>
            <family val="3"/>
            <charset val="128"/>
          </rPr>
          <t>Insight iXlW00001C0001901R0585476093S00003800P00948LAocjBAQBF1NjaVRlZ2ljLmRhdGEuTW9sZWN1bGUBbwF/ARJTY2lUZWdpYy5Nb2xlY3VsZQAAAQFkAv5qAQAAAAIAAjAYAAAA/PwA/AACAAAAAAAA8L8C0ETY8PRKuT8CWvW52or9tb8AAAAAHAAAAPz8APwAAgAAAAAAAPC/AtKRXP5D+uk/AnWTGARWDtU/AAAAABgAAAD8/AD8AAIAAAAAAADwvwIofoy5awn5PwKV9gZfmEx1vwAAAAAcAAAA/PwA/AACAAAAAAAA8L8C0SLb+X7qAEACwTkjSnuD4z8AAAAAHAAAAPz8APwAAgAAAAAAAPC/Asl2vp8aL/s/ArK/7J48LPU/AAAAABgAAAD8/AD8AAIAAAAAAADwvwJyGw3gLZDsPwLHSzeJQWDyPwAAAAAYAAAA/PwA/AACAAAAAAAA8L8CDCQofoy5478C1JrmHafo1D8AAAAAGAAAAPz8APwAAgAAAAAAAPC/Aq+2Yn/ZPfW/AgYSFD/G3LW/AAAAABwAAAD8/AD8AAIAAAAAAADwvwKKH2PuWkL1vwK4rwPnjCjtvwAAAAAYAAAA/PwA/AACAAAAAAAA8L8CIv32deCc478Csr/snjws9b8AAAAAGAAAAPz8APwAAgAAAAAAAPC/Ap5eKcsQx7o/ArXIdr6fGu2/AAAAAAERAAAA/PwA/AACAAAAAAAA8L8C0SLb+X7qAMACPnlYqDXN1z8AAAAAMAAEAWUEAAAAAAAAAAAECAFlBAAAAAAAAAAACAwBZQgIAAAAAAAAAAwQAWUEAAAAAAAAAAAQFAFlCAgAAAAAAAAAFAQBZQQAAAAAAAAAAAAYAWUEAAAAAAAAAAAAKAFlBAAAAAAAAAAAGBwBZQQAAAAAAAAAABwgAWUEAAAAAAAAAAAgJAFlBAAAAAAAAAAAJCgBZQQAAAAAAAAAAAAAAAA=</t>
        </r>
      </text>
    </comment>
    <comment ref="A1902" authorId="0" shapeId="0" xr:uid="{5FD8FC5C-35F7-4E46-B14E-8904248C3936}">
      <text>
        <r>
          <rPr>
            <sz val="9"/>
            <color indexed="81"/>
            <rFont val="MS P ゴシック"/>
            <family val="3"/>
            <charset val="128"/>
          </rPr>
          <t>Insight iXlW00001C0001902R0585476093S00003802P01236LAocjBAQBF1NjaVRlZ2ljLmRhdGEuTW9sZWN1bGUBbwF/ARJTY2lUZWdpYy5Nb2xlY3VsZQAAAQFkAv5qAQAAAAIAAgEQGAAAAPz8APwAAgAAAAAAAPC/Ajy9UpYhDjVAAhQ/xty1pDPAAAAAABgAAAD8/AD8AAIAAAAAAADwvwJlGeJYF1c0QAK06nO1FTszwAAAAAAYAAAA/PwA/AACAAAAAAAA8L8C4umVsgyhM0AChzjWxW2kM8AAAAAAHAAAAPz8APwAAgAAAAAAAPC/Ao0o7Q2+oDNAAmTMXUvIdzTAAAAAABgAAAD8/AD8AAIAAAAAAADwvwKASL99HVg0QAIawFsgQeE0wAAAAAAYAAAA/PwA/AACAAAAAAAA8L8Cj1N0JJcPNUAC1sVtNIB3NMAAAAAAHAAAAPz8APwAAgAAAAAAAPC/AvhT46WbxDVAAifChqdXOjPAAAAAABgAAAD8/AD8AAIAAAAAAADwvwKFfNCzWYU2QALHuriNBpAzwAAAAAAcAAAA/PwA/AACAAAAAAAA8L8CbqMBvAUSN0ACbsX+snvyMsAAAAAAGAAAAPz8APwAAgAAAAAAAPC/AiuHFtnOpzZAAgjOGVHaOzLAAAAAABgAAAD8/AD8AAIAAAAAAADwvwJF2PD0Stk1QAIN4C2QoGgywAAAAAAYAAAA/PwA/AACAAAAAAAA8L8CbxKDwMqxNkACysNCrWleNMAAAAAAGAAAAPz8APwAAgAAAAAAAPC/AsUgsHJocTZAAmUZ4lgXJzXAAAAAABgAAAD8/AD8AAIAAAAAAADwvwKrz9VW7D83QAK1yHa+n/o0wAAAAAABEQAAAPz8APwAAgAAAAAAAPC/Ao0o7Q2+4DJAAtNNYhBYSTPAAAAAAAERAAAA/PwA/AACAAAAAAAA8L8CdLUV+8uuNEAC/Knx0k1iMsAAAAAAARAABAFlBAAAAAAAAAAAABQBZQQAAAAAAAAAAAQIAWUEAAAAAAAAAAAIDAFlBAAAAAAAAAAADBABZQQAAAAAAAAAABAUAWUEAAAAAAAAAAAAGAFlBAAAAAAAAAAAGBwBZQQAAAAAAAAAABwgAWUICAAAAAAAAAAgJAFlBAAAAAAAAAAAJCgBZQgIAAAAAAAAACgYAWUEAAAAAAAAAAAcLAFlBAAAAAAAAAAAMCwBZQQAAAAAAAAAADQwAWUEAAAAAAAAAAAsNAFlBAAAAAAAAAAAAAAAAA==</t>
        </r>
      </text>
    </comment>
    <comment ref="A1903" authorId="0" shapeId="0" xr:uid="{C49F3DB5-1600-402B-84D4-CD4B43C428DF}">
      <text>
        <r>
          <rPr>
            <sz val="9"/>
            <color indexed="81"/>
            <rFont val="MS P ゴシック"/>
            <family val="3"/>
            <charset val="128"/>
          </rPr>
          <t>Insight iXlW00001C0001903R0585476093S00003804P01320LAocjBAQBF1NjaVRlZ2ljLmRhdGEuTW9sZWN1bGUBbwF/ARJTY2lUZWdpYy5Nb2xlY3VsZQAAAQFkAv5qAQAAAAIAAgERGAAAAPz8APwAAgAAAAAAAPC/Atbnaiv2FyBAAjhnRGlv8BFAAAAAABwAAAD8/AD8AAIAAAAAAADwvwIBb4EExW8gQAKV1AloImwNQAAAAAAYAAAA/PwA/AACAAAAAAAA8L8CJCh+jLlrHkACxbEubqMBCUAAAAAAGAAAAPz8APwAAgAAAAAAAPC/AvJjzF1LSBtAApayDHGsCwtAAAAAABgAAAD8/AD8AAIAAAAAAADwvwJcIEHxYwwdQAKhZ7Pqc/USQAAAAAAcAAAA/PwA/AACAAAAAAAA8L8CnFWfq62YGkACOdbFbTTAEEAAAAAAHAAAAPz8APwAAgAAAAAAAPC/AiNseHqlbBhAAnHOiNLeoBVAAAAAABwAAAD8/AD8AAIAAAAAAADwvwL45GGh1rQbQAK3Yn/ZPfkVQAAAAAAYAAAA/PwA/AACAAAAAAAA8L8CzV1LyAe9F0ACnzws1JpmEkAAAAAAGAAAAPz8APwAAgAAAAAAAPC/Av5l9+Rh4RRAAjnWxW00wBBAAAAAABgAAAD8/AD8AAIAAAAAAADwvwL+ZffkYeEUQALYEvJBz+YKQAAAAAAYAAAA/PwA/AACAAAAAAAA8L8CS1mGONYFEkACC0YldQKaB0AAAAAAGAAAAPz8APwAAgAAAAAAAPC/AvnCZKpgVA5AAtgS8kHP5gpAAAAAABgAAAD8/AD8AAIAAAAAAADwvwL5wmSqYFQOQAI51sVtNMAQQAAAAAAYAAAA/PwA/AACAAAAAAAA8L8CS1mGONYFEkACnzws1JpmEkAAAAAAJAAAAPz8APwAAgAAAAAAAPC/AlvTvOMUnQhAAp88LNSaZhJAAAAAAAERAAAA/PwA/AACAAAAAAAA8L8Cx7q4jQaQIkACikFg5dCiCkAAAAAAARIEAAFlBAAAAAAAAAAACAQBZQQAAAAAAAAAAAwIAWUEAAAAAAAAAAAQAAFlBAAAAAAAAAAAFAwBZQQAAAAAAAAAABAUAWUEAAAAAAAAAAAcEAFlCAwAAAAAAAAAHBgBZQQAAAAAAAAAACAUAWUEAAAAAAAAAAAYIAFlCAgAAAAAAAAAJCABZQQAAAAAAAAAACgkAWUEAAAAAAAAAAAsKAFlCAgAAAAAAAAAMCwBZQQAAAAAAAAAADQwAWUICAAAAAAAAAA4JAFlCAwAAAAAAAAAODQBZQQAAAAAAAAAADQ8AWUEAAAAAAAAAAAAAAAA</t>
        </r>
      </text>
    </comment>
    <comment ref="A1904" authorId="0" shapeId="0" xr:uid="{9D10CC24-027E-44CB-BED9-D502865FFE32}">
      <text>
        <r>
          <rPr>
            <sz val="9"/>
            <color indexed="81"/>
            <rFont val="MS P ゴシック"/>
            <family val="3"/>
            <charset val="128"/>
          </rPr>
          <t>Insight iXlW00001C0001904R0585476093S00003806P01320LAocjBAQBF1NjaVRlZ2ljLmRhdGEuTW9sZWN1bGUBbwF/ARJTY2lUZWdpYy5Nb2xlY3VsZQAAAQFkAv5qAQAAAAIAAgERGAAAAPz8APwAAgAAAAAAAPC/AvXb14FzpiRAAmrecYqO5AxAAAAAABwAAAD8/AD8AAIAAAAAAADwvwIpXI/C9SglQAIEVg4tsp0GQAAAAAAYAAAA/PwA/AACAAAAAAAA8L8CdZMYBFYOJEACS+oENBG2AUAAAAAAGAAAAPz8APwAAgAAAAAAAPC/Av7UeOkmcSJAAvcGX5hMFQNAAAAAABwAAAD8/AD8AAIAAAAAAADwvwJiodY075ggQAIE54wo7U0RQAAAAAAcAAAA/PwA/AACAAAAAAAA8L8CS+oENBE2IkACWvW52or9EUAAAAAAGAAAAPz8APwAAgAAAAAAAPC/An4dOGdECSNAAk/RkVz+Qw5AAAAAABwAAAD8/AD8AAIAAAAAAADwvwLKVMGopO4hQAKVZYhjXVwJQAAAAAAYAAAA/PwA/AACAAAAAAAA8L8CP1dbsb9sIEAClrIMcawLDEAAAAAAGAAAAPz8APwAAgAAAAAAAPC/AsuhRbbz/R1AAsnlP6TfvghAAAAAABgAAAD8/AD8AAIAAAAAAADwvwLLoUW28/0dQAL3deCcESUCQAAAAAAYAAAA/PwA/AACAAAAAAAA8L8C/Knx0k0iG0ACVVInoImw/T8AAAAAGAAAAPz8APwAAgAAAAAAAPC/Ai2yne+nRhhAAvd14JwRJQJAAAAAABgAAAD8/AD8AAIAAAAAAADwvwItsp3vp0YYQALJ5T+k374IQAAAAAAYAAAA/PwA/AACAAAAAAAA8L8C/Knx0k0iG0AClrIMcawLDEAAAAAAJAAAAPz8APwAAgAAAAAAAPC/AnulLEMcaxVAAlVSJ6CJsP0/AAAAAAERAAAA/PwA/AACAAAAAAAA8L8ClyGOdXH7JkACDeAtkKD4AEAAAAAAARIEAAFlBAAAAAAAAAAACAQBZQQAAAAAAAAAAAwIAWUEAAAAAAAAAAAUEAFlBAAAAAAAAAAAGAABZQQAAAAAAAAAABgUAWUIDAAAAAAAAAAcDAFlBAAAAAAAAAAAGBwBZQQAAAAAAAAAACAQAWUICAAAAAAAAAAgHAFlBAAAAAAAAAAAJCABZQQAAAAAAAAAACgkAWUEAAAAAAAAAAAsKAFlCAgAAAAAAAAAMCwBZQQAAAAAAAAAADQwAWUICAAAAAAAAAA4JAFlCAwAAAAAAAAAODQBZQQAAAAAAAAAADA8AWUEAAAAAAAAAAAAAAAA</t>
        </r>
      </text>
    </comment>
    <comment ref="A1905" authorId="0" shapeId="0" xr:uid="{C9F42A3C-1A70-4DD3-BEB2-01092860EA83}">
      <text>
        <r>
          <rPr>
            <sz val="9"/>
            <color indexed="81"/>
            <rFont val="MS P ゴシック"/>
            <family val="3"/>
            <charset val="128"/>
          </rPr>
          <t>Insight iXlW00001C0001905R0585476093S00003808P01088LAocjBAQBF1NjaVRlZ2ljLmRhdGEuTW9sZWN1bGUBbwF/ARJTY2lUZWdpYy5Nb2xlY3VsZQAAAQFkAv5qAQAAAAIAAjgYAAAA/PwA/AACAAAAAAAA8L8CBoGVQ4tsxz8CZF3cRgN48D8AAAAAGAAAAPz8APwAAgAAAAAAAPC/AgaBlUOLbMc/Avvt68A5I8o/AAAAABwAAAD8/AD8AAIAAAAAAADwvwIRx7q4jQbuPwJR/Bhz1xLKvwAAAAAYAAAA/PwA/AACAAAAAAAA8L8CoWez6nO1+T8C++3rwDkjyj8AAAAAGAAAAPz8APwAAgAAAAAAAPC/AqFns+pztfk/AmRd3EYDePA/AAAAACAAAAD8/AD8AAIAAAAAAADwvwJLe4MvTKbsPwJO845TdCT3PwAAAAAYAAAA/PwA/AACAAAAAAAA8L8CB/AWSFD84L8CfdCzWfW5yr8AAAAAGAAAAPz8APwAAgAAAAAAAPC/Aj9XW7G/7PO/AlH8GHPXEso/AAAAABgAAAD8/AD8AAIAAAAAAADwvwIuIR/0bFb/vwKvJeSDns3KvwAAAAAYAAAA/PwA/AACAAAAAAAA8L8CiBbZzvdT/78CAW+BBMWP8L8AAAAAGAAAAPz8APwAAgAAAAAAAPC/ApF++zpwzvO/Ak7zjlN0JPe/AAAAABgAAAD8/AD8AAIAAAAAAADwvwL/If32deDgvwJXfa62Yn/wvwAAAAAkAAAA/PwA/AACAAAAAAAA8L8C5WGh1jTv878CL/8h/fZ18D8AAAAAAREAAAD8/AD8AAIAAAAAAADwvwIuIR/0bFb/PwLbiv1l9+TvvwAAAAA4AAQBZQQAAAAAAAAAAAAUAWUEAAAAAAAAAAAECAFlBAAAAAAAAAAACAwBZQQAAAAAAAAAAAwQAWUEAAAAAAAAAAAQFAFlBAAAAAAAAAAABBgBZQQAAAAAAAAAABgcAWUIDAAAAAAAAAAcIAFlBAAAAAAAAAAAICQBZQgIAAAAAAAAACQoAWUEAAAAAAAAAAAoLAFlCAgAAAAAAAAALBgBZQQAAAAAAAAAABwwAWUEAAAAAAAAAAAAAAAA</t>
        </r>
      </text>
    </comment>
    <comment ref="A1906" authorId="0" shapeId="0" xr:uid="{591CFC01-3CF3-467D-97B6-7DB1CF3E655C}">
      <text>
        <r>
          <rPr>
            <sz val="9"/>
            <color indexed="81"/>
            <rFont val="MS P ゴシック"/>
            <family val="3"/>
            <charset val="128"/>
          </rPr>
          <t>Insight iXlW00001C0001906R0585476093S00003810P01088LAocjBAQBF1NjaVRlZ2ljLmRhdGEuTW9sZWN1bGUBbwF/ARJTY2lUZWdpYy5Nb2xlY3VsZQAAAQFkAv5qAQAAAAIAAjgYAAAA/PwA/AACAAAAAAAA8L8CL/8h/fZ14j8C87BQa5p38D8AAAAAGAAAAPz8APwAAgAAAAAAAPC/Ai//If32deI/Avvt68A5I8o/AAAAABwAAAD8/AD8AAIAAAAAAADwvwIdWmQ730/1PwJR/Bhz1xLKvwAAAAAYAAAA/PwA/AACAAAAAAAA8L8CpwpGJXUCAEAC++3rwDkjyj8AAAAAGAAAAPz8APwAAgAAAAAAAPC/AqcKRiV1AgBAAvOwUGuad/A/AAAAACAAAAD8/AD8AAIAAAAAAADwvwKrYFRSJ6D0PwLdRgN4CyT3PwAAAAAYAAAA/PwA/AACAAAAAAAA8L8CZ0Rpb/CFwb8CfdCzWfW5yr8AAAAAGAAAAPz8APwAAgAAAAAAAPC/ApEPejarPuu/AlH8GHPXEso/AAAAABgAAAD8/AD8AAIAAAAAAADwvwJGJXUCmgj5vwKvJeSDns3KvwAAAAAYAAAA/PwA/AACAAAAAAAA8L8CEce6uI0G+b8CkML1KFyP8L8AAAAAGAAAAPz8APwAAgAAAAAAAPC/AlQFo5I6Aeu/At1GA3gLJPe/AAAAABgAAAD8/AD8AAIAAAAAAADwvwJKDAIrhxbBvwLm0CLb+X7wvwAAAAAkAAAA/PwA/AACAAAAAAAA8L8CXLG/7J48AsAC7FG4HoXryT8AAAAAAREAAAD8/AD8AAIAAAAAAADwvwJcsb/snjwCQAKL/WX35GHzvwAAAAA4AAQBZQQAAAAAAAAAAAAUAWUEAAAAAAAAAAAECAFlBAAAAAAAAAAACAwBZQQAAAAAAAAAAAwQAWUEAAAAAAAAAAAQFAFlBAAAAAAAAAAABBgBZQQAAAAAAAAAABgcAWUIDAAAAAAAAAAcIAFlBAAAAAAAAAAAICQBZQgIAAAAAAAAACQoAWUEAAAAAAAAAAAoLAFlCAgAAAAAAAAALBgBZQQAAAAAAAAAACAwAWUEAAAAAAAAAAAAAAAA</t>
        </r>
      </text>
    </comment>
    <comment ref="A1907" authorId="0" shapeId="0" xr:uid="{7537E5F3-0601-47D4-A5B3-3F3FF9C0CBEA}">
      <text>
        <r>
          <rPr>
            <sz val="9"/>
            <color indexed="81"/>
            <rFont val="MS P ゴシック"/>
            <family val="3"/>
            <charset val="128"/>
          </rPr>
          <t>Insight iXlW00001C0001907R0585476093S00003812P01088LAocjBAQBF1NjaVRlZ2ljLmRhdGEuTW9sZWN1bGUBbwF/ARJTY2lUZWdpYy5Nb2xlY3VsZQAAAQFkAv5qAQAAAAIAAjgYAAAA/PwA/AACAAAAAAAA8L8C/yH99nXg5j8CqoJRSZ2A8D8AAAAAGAAAAPz8APwAAgAAAAAAAPC/Av8h/fZ14OY/AhpR2ht8Yco/AAAAABwAAAD8/AD8AAIAAAAAAADwvwL1SlmGONb2PwLKw0Ktad7JvwAAAAAYAAAA/PwA/AACAAAAAAAA8L8CdQKaCBseAUACGlHaG3xhyj8AAAAAGAAAAPz8APwAAgAAAAAAAPC/AnUCmggbHgFAAqqCUUmdgPA/AAAAACAAAAD8/AD8AAIAAAAAAADwvwL1SlmGONb2PwKUGARWDi33PwAAAAAYAAAA/PwA/AACAAAAAAAA8L8Ck8t/SL99TT8C95fdk4eFyr8AAAAAGAAAAPz8APwAAgAAAAAAAPC/Avw6cM6I0ua/Auj7qfHSTco/AAAAABgAAAD8/AD8AAIAAAAAAADwvwL1SlmGONb2vwIp7Q2+MJnKvwAAAAAYAAAA/PwA/AACAAAAAAAA8L8CGuJYF7fR9r8C0gDeAgmK8L8AAAAAGAAAAPz8APwAAgAAAAAAAPC/Ar4wmSoYlea/ApAxdy0hH/e/AAAAABgAAAD8/AD8AAIAAAAAAADwvwJuowG8BRJ0PwK3Yn/ZPXnwvwAAAAAkAAAA/PwA/AACAAAAAAAA8L8CdQKaCBseAcAClBgEVg4t978AAAAAAREAAAD8/AD8AAIAAAAAAADwvwInwoanV8r4PwIaUdobfGH1vwAAAAA4AAQBZQQAAAAAAAAAAAAUAWUEAAAAAAAAAAAECAFlBAAAAAAAAAAACAwBZQQAAAAAAAAAAAwQAWUEAAAAAAAAAAAQFAFlBAAAAAAAAAAABBgBZQQAAAAAAAAAABgcAWUIDAAAAAAAAAAcIAFlBAAAAAAAAAAAICQBZQgIAAAAAAAAACQoAWUEAAAAAAAAAAAoLAFlCAgAAAAAAAAALBgBZQQAAAAAAAAAACQwAWUEAAAAAAAAAAAAAAAA</t>
        </r>
      </text>
    </comment>
    <comment ref="A1908" authorId="0" shapeId="0" xr:uid="{54E31C4F-4282-4B5E-B157-D8B2EA89A0DC}">
      <text>
        <r>
          <rPr>
            <sz val="9"/>
            <color indexed="81"/>
            <rFont val="MS P ゴシック"/>
            <family val="3"/>
            <charset val="128"/>
          </rPr>
          <t>Insight iXlW00001C0001908R0585476093S00003814P01088LAocjBAQBF1NjaVRlZ2ljLmRhdGEuTW9sZWN1bGUBbwF/ARJTY2lUZWdpYy5Nb2xlY3VsZQAAAQFkAv5qAQAAAAIAAjgYAAAA/PwA/AACAAAAAAAA8L8CtOpztRX7yz8C+cJkqmBUyr8AAAAAGAAAAPz8APwAAgAAAAAAAPC/ArTqc7UV+8s/AnUkl/+QfvC/AAAAABwAAAD8/AD8AAIAAAAAAADwvwK2FfvL7sntPwLVeOkmMQj3vwAAAAAYAAAA/PwA/AACAAAAAAAA8L8CuY0G8BZI+j8CdSSX/5B+8L8AAAAAGAAAAPz8APwAAgAAAAAAAPC/ArmNBvAWSPo/AvnCZKpgVMq/AAAAACAAAAD8/AD8AAIAAAAAAADwvwK2FfvL7sntPwIll/+QfvvKPwAAAAAYAAAA/PwA/AACAAAAAAAA8L8Cx9y1hHzQ378ClBgEVg4tyj8AAAAAGAAAAPz8APwAAgAAAAAAAPC/Alg5tMh2vt+/AkymCkYldfA/AAAAABgAAAD8/AD8AAIAAAAAAADwvwI4+MJkqmDzvwLVeOkmMQj3PwAAAAAYAAAA/PwA/AACAAAAAAAA8L8C5YOezarP/r8CorQ3+MJk8D8AAAAAGAAAAPz8APwAAgAAAAAAAPC/Au58PzVeuv6/AuVhodY078g/AAAAABgAAAD8/AD8AAIAAAAAAADwvwJmiGNd3EbzvwJX7C+7Jw/LvwAAAAAkAAAA/PwA/AACAAAAAAAA8L8ClBgEVg4t878CoImw4emV8L8AAAAAAREAAAD8/AD8AAIAAAAAAADwvwLlg57Nqs/+PwJm9+Rhodb2vwAAAAA4AAQBZQQAAAAAAAAAAAAUAWUEAAAAAAAAAAAECAFlBAAAAAAAAAAACAwBZQQAAAAAAAAAAAwQAWUEAAAAAAAAAAAQFAFlBAAAAAAAAAAAABgBZQQAAAAAAAAAABgcAWUIDAAAAAAAAAAcIAFlBAAAAAAAAAAAICQBZQgIAAAAAAAAACQoAWUEAAAAAAAAAAAoLAFlCAgAAAAAAAAALBgBZQQAAAAAAAAAACwwAWUEAAAAAAAAAAAAAAAA</t>
        </r>
      </text>
    </comment>
    <comment ref="A1909" authorId="0" shapeId="0" xr:uid="{9E497920-179E-4381-A2FA-306BEF768F19}">
      <text>
        <r>
          <rPr>
            <sz val="9"/>
            <color indexed="81"/>
            <rFont val="MS P ゴシック"/>
            <family val="3"/>
            <charset val="128"/>
          </rPr>
          <t>Insight iXlW00001C0001909R0585476093S00003816P01088LAocjBAQBF1NjaVRlZ2ljLmRhdGEuTW9sZWN1bGUBbwF/ARJTY2lUZWdpYy5Nb2xlY3VsZQAAAQFkAv5qAQAAAAIAAjgYAAAA/PwA/AACAAAAAAAA8L8Cfh04Z0Rp3z8C+cJkqmBUyr8AAAAAGAAAAPz8APwAAgAAAAAAAPC/An4dOGdEad8/AnUkl/+QfvC/AAAAABwAAAD8/AD8AAIAAAAAAADwvwJzaJHtfD/zPwLVeOkmMQj3vwAAAAAYAAAA/PwA/AACAAAAAAAA8L8CwhcmUwWj/j8CdSSX/5B+8L8AAAAAGAAAAPz8APwAAgAAAAAAAPC/AsIXJlMFo/4/AvnCZKpgVMq/AAAAACAAAAD8/AD8AAIAAAAAAADwvwJzaJHtfD/zPwIll/+QfvvKPwAAAAAYAAAA/PwA/AACAAAAAAAA8L8CRWlv8IXJzL8ClBgEVg4tyj8AAAAAGAAAAPz8APwAAgAAAAAAAPC/AuC+Dpwzosy/AkymCkYldfA/AAAAABgAAAD8/AD8AAIAAAAAAADwvwJe3EYDeAvuvwLVeOkmMQj3PwAAAAAYAAAA/PwA/AACAAAAAAAA8L8C2/l+arx0+r8CorQ3+MJk8D8AAAAAGAAAAPz8APwAAgAAAAAAAPC/AuXyH9JvX/q/AuVhodY078g/AAAAABgAAAD8/AD8AAIAAAAAAADwvwK6/If029ftvwJX7C+7Jw/LvwAAAAAkAAAA/PwA/AACAAAAAAAA8L8ChXzQs1n1AsACOGdEaW/w9j8AAAAAAREAAAD8/AD8AAIAAAAAAADwvwKFfNCzWfUCQAJnZmZmZmbzvwAAAAA4AAQBZQQAAAAAAAAAAAAUAWUEAAAAAAAAAAAECAFlBAAAAAAAAAAACAwBZQQAAAAAAAAAAAwQAWUEAAAAAAAAAAAQFAFlBAAAAAAAAAAAABgBZQQAAAAAAAAAABgcAWUIDAAAAAAAAAAcIAFlBAAAAAAAAAAAICQBZQgIAAAAAAAAACQoAWUEAAAAAAAAAAAoLAFlCAgAAAAAAAAALBgBZQQAAAAAAAAAACQwAWUEAAAAAAAAAAAAAAAA</t>
        </r>
      </text>
    </comment>
    <comment ref="A1910" authorId="0" shapeId="0" xr:uid="{CF281577-6732-4E57-90FE-47EEACBFCCB6}">
      <text>
        <r>
          <rPr>
            <sz val="9"/>
            <color indexed="81"/>
            <rFont val="MS P ゴシック"/>
            <family val="3"/>
            <charset val="128"/>
          </rPr>
          <t>Insight iXlW00001C0001910R0585476093S00003818P01088LAocjBAQBF1NjaVRlZ2ljLmRhdGEuTW9sZWN1bGUBbwF/ARJTY2lUZWdpYy5Nb2xlY3VsZQAAAQFkAv5qAQAAAAIAAjgYAAAA/PwA/AACAAAAAAAA8L8C2V92Tx4W+r8CJZf/kH77yr8AAAAAGAAAAPz8APwAAgAAAAAAAPC/Atlfdk8eFvq/AonS3uALk/C/AAAAABgAAAD8/AD8AAIAAAAAAADwvwKL/WX35GHtvwK1yHa+nxr3vwAAAAAYAAAA/PwA/AACAAAAAAAA8L8Ci/1l9+Rh7b8CKxiV1Aloyj8AAAAAHAAAAPz8APwAAgAAAAAAAPC/AjzfT42Xbsq/AiWX/5B++8q/AAAAABgAAAD8/AD8AAIAAAAAAADwvwJCYOXQItvJvwLf4AuTqYLwvwAAAAAYAAAA/PwA/AACAAAAAAAA8L8CoImw4emV4j8CbjSAt0CC9L8AAAAAHAAAAPz8APwAAgAAAAAAAPC/Akku/yH99vA/AoDZPXlYqOO/AAAAABgAAAD8/AD8AAIAAAAAAADwvwKwlGWIY13iPwJ0RpT2Bl+oPwAAAAAYAAAA/PwA/AACAAAAAAAA8L8CVp+rrdhf6j8CPZtVn6ut6j8AAAAAIAD8APz8APwAAgAAAAAAAPC/Atlfdk8eFvo/AmWqYFRSJ/A/AAAAACAAAAD8/AD8AAIAAAAAAADwvwKe76fGSzfRPwK1yHa+nxr3PwAAAAAkAAAA/PwA/AACAAAAAAAA8L8Ci/1l9+Rh7b8CqoJRSZ2A8D8AAAAALAAEAPz8APwAAgAAAAAAAPC/AvcGX5hMFf4/AnP5D+m3r/w/AAAAADgABAFlBAAAAAAAAAAAAAwBZQgIAAAAAAAAAAQIAWUICAAAAAAAAAAIFAFlBAAAAAAAAAAAEAwBZQQAAAAAAAAAABAUAWUEAAAAAAAAAAAUGAFlCAwAAAAAAAAAGBwBZQQAAAAAAAAAABwgAWUICAAAAAAAAAAgEAFlBAAAAAAAAAAAICQBZQQAAAAAAAAAACQoAWUEAAAAAAAAAAAkLAFlCAAAAAAAAAAADDABZQQAAAAAAAAAAAAAAAA=</t>
        </r>
      </text>
    </comment>
    <comment ref="A1911" authorId="0" shapeId="0" xr:uid="{F820ACDE-E674-4493-AAEC-8002197A63DD}">
      <text>
        <r>
          <rPr>
            <sz val="9"/>
            <color indexed="81"/>
            <rFont val="MS P ゴシック"/>
            <family val="3"/>
            <charset val="128"/>
          </rPr>
          <t>Insight iXlW00001C0001911R0585476093S00003820P01088LAocjBAQBF1NjaVRlZ2ljLmRhdGEuTW9sZWN1bGUBbwF/ARJTY2lUZWdpYy5Nb2xlY3VsZQAAAQFkAv5qAQAAAAIAAjgYAAAA/PwA/AACAAAAAAAA8L8C6+I2GsBb9L8CJZf/kH77yr8AAAAAGAAAAPz8APwAAgAAAAAAAPC/AuviNhrAW/S/AhgmUwWjkvC/AAAAABgAAAD8/AD8AAIAAAAAAADwvwKSXP5D+u3hvwLSb18Hzhn3vwAAAAAYAAAA/PwA/AACAAAAAAAA8L8Cklz+Q/rt4b8Co7Q3+MJkyj8AAAAAHAAAAPz8APwAAgAAAAAAAPC/AssyxLEubsM/AiWX/5B++8q/AAAAABgAAAD8/AD8AAIAAAAAAADwvwJNFYxK6gTEPwJuNIC3QILwvwAAAAAYAAAA/PwA/AACAAAAAAAA8L8CQDVeukkM7j8CjNtoAG+B9L8AAAAAHAAAAPz8APwAAgAAAAAAAPC/AuSlm8QgsPY/Ap6AJsKGp+O/AAAAABgAAAD8/AD8AAIAAAAAAADwvwLlg57Nqs/tPwJ0RpT2Bl+oPwAAAAAYAAAA/PwA/AACAAAAAAAA8L8C7FG4HoXr8j8CW0I+6Nms6j8AAAAAIAD8APz8APwAAgAAAAAAAPC/AgIrhxbZzv8/AvT91HjpJvA/AAAAACAAAAD8/AD8AAIAAAAAAADwvwLmP6Tfvg7kPwLSb18Hzhn3PwAAAAAkAAAA/PwA/AACAAAAAAAA8L8CAiuHFtnO/78CEjY8vVKWyT8AAAAALAAEAPz8APwAAgAAAAAAAPC/AhDpt68D5wFAApGg+DHmrvw/AAAAADgABAFlBAAAAAAAAAAAAAwBZQgIAAAAAAAAAAQIAWUICAAAAAAAAAAIFAFlBAAAAAAAAAAAEAwBZQQAAAAAAAAAABAUAWUEAAAAAAAAAAAUGAFlCAwAAAAAAAAAGBwBZQQAAAAAAAAAABwgAWUICAAAAAAAAAAgEAFlBAAAAAAAAAAAICQBZQQAAAAAAAAAACQoAWUEAAAAAAAAAAAkLAFlCAAAAAAAAAAAADABZQQAAAAAAAAAAAAAAAA=</t>
        </r>
      </text>
    </comment>
    <comment ref="A1912" authorId="0" shapeId="0" xr:uid="{6B0BB057-4AF9-4C18-9424-4347E3DEBA75}">
      <text>
        <r>
          <rPr>
            <sz val="9"/>
            <color indexed="81"/>
            <rFont val="MS P ゴシック"/>
            <family val="3"/>
            <charset val="128"/>
          </rPr>
          <t>Insight iXlW00001C0001912R0585476093S00003822P00876LAocjBAQBF1NjaVRlZ2ljLmRhdGEuTW9sZWN1bGUBbwF/ARJTY2lUZWdpYy5Nb2xlY3VsZQAAAQFkAv5qAQAAAAIAAiwYAAAA/PwA/AACAAAAAAAA8L8CcPCFyVTByL8CDCQofoy5yz8AAAAAGAAAAPz8APwAAgAAAAAAAPC/Arn8h/Tb1+e/AsdLN4lBYNm/AAAAABwAAAD8/AD8AAIAAAAAAADwvwIhQfFjzF3fvwJq3nGKjuTyvwAAAAAYAAAA/PwA/AACAAAAAAAA8L8CqMZLN4lB1D8ChslUwaik9b8AAAAAGAAAAPz8APwAAgAAAAAAAPC/Aj55WKg1zes/ArwnDwu1pue/AAAAABgAAAD8/AD8AAIAAAAAAADwvwL3deCcEaXjPwJvgQTFjzGnPwAAAAAYAAAA/PwA/AACAAAAAAAA8L8C0m9fB84Z+z8CvCcPC7Wm578AAAAAHAAAAPz8APwAAgAAAAAAAPC/Aucdp+hILv8/AhdIUPwYc6c/AAAAABwAAAD8/AD8AAIAAAAAAADwvwIEeAskKH70PwJg5dAi2/ngPwAAAAAYAAAA/PwA/AACAAAAAAAA8L8CBHgLJCh+9D8ChslUwaik9T8AAAAAAREAAAD8/AD8AAIAAAAAAADwvwLnHafoSC7/vwJ+rrZif9nFvwAAAAAsAAQBZQQAAAAAAAAAAAQIAWUEAAAAAAAAAAAIDAFlBAAAAAAAAAAADBABZQQAAAAAAAAAABAUAWUICAAAAAAAAAAUAAFlBAAAAAAAAAAAEBgBZQQAAAAAAAAAABgcAWUICAAAAAAAAAAcIAFlBAAAAAAAAAAAIBQBZQQAAAAAAAAAACAkAWUEAAAAAAAAAAAAAAAA</t>
        </r>
      </text>
    </comment>
    <comment ref="A1913" authorId="0" shapeId="0" xr:uid="{70587965-92EB-4092-9674-01A76109C8A0}">
      <text>
        <r>
          <rPr>
            <sz val="9"/>
            <color indexed="81"/>
            <rFont val="MS P ゴシック"/>
            <family val="3"/>
            <charset val="128"/>
          </rPr>
          <t>Insight iXlW00001C0001913R0585476093S00003824P01072LAocjBAQBF1NjaVRlZ2ljLmRhdGEuTW9sZWN1bGUBbwF/ARJTY2lUZWdpYy5Nb2xlY3VsZQAAAQFkAv5qAQAAAAIAAjgYAAAA/PwA/AACAAAAAAAA8L8CfGEyVTAquT8CWvW52or9tb8AAAAAHAAAAPz8APwAAgAAAAAAAPC/Akku/yH99uk/ArHh6ZWyDNU/AAAAABgAAAD8/AD8AAIAAAAAAADwvwJNFYxK6gT5PwKV9gZfmEx1vwAAAAAcAAAA/PwA/AACAAAAAAAA8L8CDXGsi9voAEAC/Yf029eB4z8AAAAAGAAAAPz8APwAAgAAAAAAAPC/ArK/7J48LPs/AnxhMlUwKvU/AAAAABgAAAD8/AD8AAIAAAAAAADwvwLpt68D54zsPwKS7Xw/NV7yPwAAAAAYAAAA/PwA/AACAAAAAAAA8L8Csi5uowG8478CEOm3rwPn1D8AAAAAGAAAAPz8APwAAgAAAAAAAPC/AnpYqDXNO/W/AgYSFD/G3LW/AAAAABwAAAD8/AD8AAIAAAAAAADwvwJVwaikTkD1vwIwTKYKRiXtvwAAAAAYAAAA/PwA/AACAAAAAAAA8L8CXkvIBz2b478CfGEyVTAq9b8AAAAAGAAAAPz8APwAAgAAAAAAAPC/Ap5eKcsQx7o/AixlGeJYF+2/AAAAABgAAAD8/AD8AAIAAAAAAADwvwLrc7UV+8v7PwLwOEVHcvnpvwAAAAABEQAAAPz8APwAAgAAAAAAAPC/Ag1xrIvb6ADAAnrHKTqSy9c/AAAAAAERAAAA/PwA/AACAAAAAAAA8L8CNs07TtGRzL8CbVZ9rrZi9D8AAAAANAAEAWUEAAAAAAAAAAAECAFlBAAAAAAAAAAACAwBZQgIAAAAAAAAAAwQAWUEAAAAAAAAAAAQFAFlCAgAAAAAAAAAFAQBZQQAAAAAAAAAAAAYAWUEAAAAAAAAAAAAKAFlBAAAAAAAAAAAGBwBZQQAAAAAAAAAABwgAWUEAAAAAAAAAAAgJAFlBAAAAAAAAAAAJCgBZQQAAAAAAAAAAAgsAWUEAAAAAAAAAAAAAAAA</t>
        </r>
      </text>
    </comment>
    <comment ref="A1914" authorId="0" shapeId="0" xr:uid="{F78B9A57-99D5-4FC0-AC90-855E44C84CE4}">
      <text>
        <r>
          <rPr>
            <sz val="9"/>
            <color indexed="81"/>
            <rFont val="MS P ゴシック"/>
            <family val="3"/>
            <charset val="128"/>
          </rPr>
          <t>Insight iXlW00001C0001914R0585476093S00003826P01144LAocjBAQBF1NjaVRlZ2ljLmRhdGEuTW9sZWN1bGUBbwF/ARJTY2lUZWdpYy5Nb2xlY3VsZQAAAQFkAv5qAQAAAAIAAjwYAAAA/PwA/AACAAAAAAAA8L8CvJaQD3o2u78CWvW52or9tb8AAAAAHAAAAPz8APwAAgAAAAAAAPC/AiQofoy5a+M/ArHh6ZWyDNU/AAAAABgAAAD8/AD8AAIAAAAAAADwvwLJ5T+k3771PwKV9gZfmEx1vwAAAAAcAAAA/PwA/AACAAAAAAAA8L8CJQaBlUOL/j8CGy/dJAaB4z8AAAAAGAAAAPz8APwAAgAAAAAAAPC/Ap88LNSa5vc/AnxhMlUwKvU/AAAAABgAAAD8/AD8AAIAAAAAAADwvwLEsS5uowHmPwKS7Xw/NV7yPwAAAAAYAAAA/PwA/AACAAAAAAAA8L8C1zTvOEVH6r8CEOm3rwPn1D8AAAAAGAAAAPz8APwAAgAAAAAAAPC/AozbaABvgfi/AgYSFD/G3LW/AAAAABwAAAD8/AD8AAIAAAAAAADwvwJoRGlv8IX4vwIwTKYKRiXtvwAAAAAYAAAA/PwA/AACAAAAAAAA8L8Cg1FJnYAm6r8CfGEyVTAq9b8AAAAAGAAAAPz8APwAAgAAAAAAAPC/ApqZmZmZmbm/AixlGeJYF+2/AAAAABgAAAD8/AD8AAIAAAAAAADwvwJoRGlv8IX4PwLwOEVHcvnpvwAAAAAYAAAA/PwA/AACAAAAAAAA8L8CXtxGA3iLAkACCtejcD0K8b8AAAAAAREAAAD8/AD8AAIAAAAAAADwvwJe3EYDeIsCwAJ6xyk6ksvXPwAAAAABEQAAAPz8APwAAgAAAAAAAPC/AuXyH9JvX9u/Am1Wfa62YvQ/AAAAADgABAFlBAAAAAAAAAAABAgBZQQAAAAAAAAAAAgMAWUICAAAAAAAAAAMEAFlBAAAAAAAAAAAEBQBZQgIAAAAAAAAABQEAWUEAAAAAAAAAAAAGAFlBAAAAAAAAAAAACgBZQQAAAAAAAAAABgcAWUEAAAAAAAAAAAcIAFlBAAAAAAAAAAAICQBZQQAAAAAAAAAACQoAWUEAAAAAAAAAAAILAFlBAAAAAAAAAAALDABZQQAAAAAAAAAAAAAAAA=</t>
        </r>
      </text>
    </comment>
    <comment ref="A1915" authorId="0" shapeId="0" xr:uid="{3F79E8CE-41F5-43F9-8985-7A7CC3FFE9BD}">
      <text>
        <r>
          <rPr>
            <sz val="9"/>
            <color indexed="81"/>
            <rFont val="MS P ゴシック"/>
            <family val="3"/>
            <charset val="128"/>
          </rPr>
          <t>Insight iXlW00001C0001915R0585476093S00003828P01320LAocjBAQBF1NjaVRlZ2ljLmRhdGEuTW9sZWN1bGUBbwF/ARJTY2lUZWdpYy5Nb2xlY3VsZQAAAQFkAv5qAQAAAAIAAgERHAAAAPz8APwAAgAAAAAAAPC/Aru4jQbwFgDAAnl6pSxDHOe/AAAAABgAAAD8/AD8AAIAAAAAAADwvwItsp3vp8b0vwJhw9MrZRnyvwAAAAAYAAAA/PwA/AACAAAAAAAA8L8Cu7iNBvAWAMAC1QloImx4uj8AAAAAGAAAAPz8APwAAgAAAAAAAPC/Ai2yne+nxvS/Ag8tsp3vp+A/AAAAABwAAAD8/AD8AAIAAAAAAADwvwLJ5T+k377ivwLVCWgibHi6PwAAAAAYAAAA/PwA/AACAAAAAAAA8L8CdQKaCBue4r8Cj1N0JJf/5r8AAAAAHAAAAPz8APwAAgAAAAAAAPC/AkJg5dAi28k/AsuhRbbz/e6/AAAAABgAAAD8/AD8AAIAAAAAAADwvwICK4cW2c7lPwIIrBxaZDvTvwAAAAAcAAAA/PwA/AACAAAAAAAA8L8CTDeJQWDlyD8C1lbsL7sn1z8AAAAAGAAAAPz8APwAAgAAAAAAAPC/AlvTvOMUHfg/Ase6uI0G8NK/AAAAABgAAAD8/AD8AAIAAAAAAADwvwLH3LWEfND+PwIfhetRuB7wvwAAAAAYAAAA/PwA/AACAAAAAAAA8L8C/Yf029cBBkACH4XrUbge8L8AAAAAGAAAAPz8APwAAgAAAAAAAPC/AuGcEaW9QQlAAse6uI0G8NK/AAAAABgAAAD8/AD8AAIAAAAAAADwvwL9h/Tb1wEGQAJUdCSX/5DaPwAAAAAYAAAA/PwA/AACAAAAAAAA8L8Cx9y1hHzQ/j8CVHQkl/+Q2j8AAAAAJAAAAPz8APwAAgAAAAAAAPC/AoofY+5aQvg/AmHD0ytlGfI/AAAAAAERAAAA/PwA/AACAAAAAAAA8L8C4ZwRpb1BCcACOrTIdr6fuj8AAAAAARIIAAFlBAAAAAAAAAAAAAQBZQQAAAAAAAAAAAQUAWUEAAAAAAAAAAAQDAFlBAAAAAAAAAAACAwBZQQAAAAAAAAAABAUAWUEAAAAAAAAAAAUGAFlCAwAAAAAAAAAGBwBZQQAAAAAAAAAABwgAWUICAAAAAAAAAAgEAFlBAAAAAAAAAAAHCQBZQQAAAAAAAAAACQoAWUIDAAAAAAAAAAoLAFlBAAAAAAAAAAALDABZQgIAAAAAAAAADA0AWUEAAAAAAAAAAA0OAFlCAgAAAAAAAAAOCQBZQQAAAAAAAAAADg8AWUEAAAAAAAAAAAAAAAA</t>
        </r>
      </text>
    </comment>
    <comment ref="A1916" authorId="0" shapeId="0" xr:uid="{A368A15A-65B3-45BF-8CFB-4CA9B83001AA}">
      <text>
        <r>
          <rPr>
            <sz val="9"/>
            <color indexed="81"/>
            <rFont val="MS P ゴシック"/>
            <family val="3"/>
            <charset val="128"/>
          </rPr>
          <t>Insight iXlW00001C0001916R0585476093S00003830P01320LAocjBAQBF1NjaVRlZ2ljLmRhdGEuTW9sZWN1bGUBbwF/ARJTY2lUZWdpYy5Nb2xlY3VsZQAAAQFkAv5qAQAAAAIAAgERHAAAAPz8APwAAgAAAAAAAPC/AuauJeSDHgDAAjlFR3L5D+e/AAAAABgAAAD8/AD8AAIAAAAAAADwvwKEns2qz9X0vwIzVTAqqRPyvwAAAAAYAAAA/PwA/AACAAAAAAAA8L8C5q4l5IMeAMACwOyePCzUuj8AAAAAGAAAAPz8APwAAgAAAAAAAPC/AoSezarP1fS/AmwJ+aBns+A/AAAAABwAAAD8/AD8AAIAAAAAAADwvwJ3vp8aL93ivwLA7J48LNS6PwAAAAAYAAAA/PwA/AACAAAAAAAA8L8CI9v5fmq84r8CMnctIR/05r8AAAAAHAAAAPz8APwAAgAAAAAAAPC/AgOaCBueXsk/Am7F/rJ78u6/AAAAABgAAAD8/AD8AAIAAAAAAADwvwJVUiegibDlPwJO845TdCTTvwAAAAAcAAAA/PwA/AACAAAAAAAA8L8CldQJaCJsyD8CkQ96Nqs+1z8AAAAAGAAAAPz8APwAAgAAAAAAAPC/ApM6AU2EDfg/Ag0CK4cW2dK/AAAAABgAAAD8/AD8AAIAAAAAAADwvwL/Q/rt68D+PwJ/arx0kxjwvwAAAAAYAAAA/PwA/AACAAAAAAAA8L8CmbuWkA/6BUACf2q8dJMY8L8AAAAAGAAAAPz8APwAAgAAAAAAAPC/An3Qs1n1OQlAAg0CK4cW2dK/AAAAABgAAAD8/AD8AAIAAAAAAADwvwKZu5aQD/oFQAIPLbKd76faPwAAAAAYAAAA/PwA/AACAAAAAAAA8L8C/0P67evA/j8CDy2yne+n2j8AAAAAJAAAAPz8APwAAgAAAAAAAPC/AgyTqYJRSQlAAjNVMCqpE/I/AAAAAAERAAAA/PwA/AACAAAAAAAA8L8CDJOpglFJCcACJZf/kH77uj8AAAAAARIIAAFlBAAAAAAAAAAAAAQBZQQAAAAAAAAAAAQUAWUEAAAAAAAAAAAQDAFlBAAAAAAAAAAACAwBZQQAAAAAAAAAABAUAWUEAAAAAAAAAAAUGAFlCAwAAAAAAAAAGBwBZQQAAAAAAAAAABwgAWUICAAAAAAAAAAgEAFlBAAAAAAAAAAAHCQBZQQAAAAAAAAAACQoAWUIDAAAAAAAAAAoLAFlBAAAAAAAAAAALDABZQgIAAAAAAAAADA0AWUEAAAAAAAAAAA0OAFlCAgAAAAAAAAAOCQBZQQAAAAAAAAAADQ8AWUEAAAAAAAAAAAAAAAA</t>
        </r>
      </text>
    </comment>
    <comment ref="A1917" authorId="0" shapeId="0" xr:uid="{D5B57560-89C0-4C47-B403-73294C874E16}">
      <text>
        <r>
          <rPr>
            <sz val="9"/>
            <color indexed="81"/>
            <rFont val="MS P ゴシック"/>
            <family val="3"/>
            <charset val="128"/>
          </rPr>
          <t>Insight iXlW00001C0001917R0585476093S00003832P01320LAocjBAQBF1NjaVRlZ2ljLmRhdGEuTW9sZWN1bGUBbwF/ARJTY2lUZWdpYy5Nb2xlY3VsZQAAAQFkAv5qAQAAAAIAAgERHAAAAPz8APwAAgAAAAAAAPC/AoiFWtO8YwPAAltCPujZrNq/AAAAABgAAAD8/AD8AAIAAAAAAADwvwLHSzeJQWD7vwJahjjWxW3qvwAAAAAYAAAA/PwA/AACAAAAAAAA8L8CiIVa07xjA8ACC7Wmeccp2j8AAAAAGAAAAPz8APwAAgAAAAAAAPC/AsdLN4lBYPu/AlqGONbFbeo/AAAAABwAAAD8/AD8AAIAAAAAAADwvwL9GHPXEvLvvwILtaZ5xynaPwAAAAAYAAAA/PwA/AACAAAAAAAA8L8CqTXNO07R778CTaYKRiV12r8AAAAAHAAAAPz8APwAAgAAAAAAAPC/Aoxs5/up8cq/AmKh1jTvOOW/AAAAABgAAAD8/AD8AAIAAAAAAADwvwKe76fGSzfRPwJuowG8BRJ0PwAAAAAcAAAA/PwA/AACAAAAAAAA8L8CgZVDi2zny78CtoR80LNZ5T8AAAAAGAAAAPz8APwAAgAAAAAAAPC/AsE5I0p7g/E/Atv5fmq8dIM/AAAAABgAAAD8/AD8AAIAAAAAAADwvwItQxzr4jb4PwLzsFBrmnfmvwAAAAAYAAAA/PwA/AACAAAAAAAA8L8CMLsnDwu1AkAC87BQa5p35r8AAAAAGAAAAPz8APwAAgAAAAAAAPC/AhTQRNjw9AVAAtv5fmq8dIM/AAAAABgAAAD8/AD8AAIAAAAAAADwvwIwuycPC7UCQAKTOgFNhA3nPwAAAAAYAAAA/PwA/AACAAAAAAAA8L8CLUMc6+I2+D8CkzoBTYQN5z8AAAAAJAAAAPz8APwAAgAAAAAAAPC/Aq5p3nGKjgxAAtv5fmq8dIM/AAAAAAERAAAA/PwA/AACAAAAAAAA8L8CrmnecYqODMAC4C2QoPgx2j8AAAAAARIIAAFlBAAAAAAAAAAAAAQBZQQAAAAAAAAAAAQUAWUEAAAAAAAAAAAQDAFlBAAAAAAAAAAACAwBZQQAAAAAAAAAABAUAWUEAAAAAAAAAAAUGAFlCAwAAAAAAAAAGBwBZQQAAAAAAAAAABwgAWUICAAAAAAAAAAgEAFlBAAAAAAAAAAAHCQBZQQAAAAAAAAAACQoAWUIDAAAAAAAAAAoLAFlBAAAAAAAAAAALDABZQgIAAAAAAAAADA0AWUEAAAAAAAAAAA0OAFlCAgAAAAAAAAAOCQBZQQAAAAAAAAAADA8AWUEAAAAAAAAAAAAAAAA</t>
        </r>
      </text>
    </comment>
    <comment ref="A1918" authorId="0" shapeId="0" xr:uid="{12070875-BE62-4CB0-AFC1-F43E3B58D4C3}">
      <text>
        <r>
          <rPr>
            <sz val="9"/>
            <color indexed="81"/>
            <rFont val="MS P ゴシック"/>
            <family val="3"/>
            <charset val="128"/>
          </rPr>
          <t>Insight iXlW00001C0001918R0585476093S00003834P01088LAocjBAQBF1NjaVRlZ2ljLmRhdGEuTW9sZWN1bGUBbwF/ARJTY2lUZWdpYy5Nb2xlY3VsZQAAAQFkAv5qAQAAAAIAAjgYAAAA/PwA/AACAAAAAAAA8L8CBFYOLbKd4T8C+cJkqmBUyr8AAAAAGAAAAPz8APwAAgAAAAAAAPC/AgRWDi2yneE/AubQItv5fvC/AAAAABwAAAD8/AD8AAIAAAAAAADwvwKHONbFbTT0PwJGJXUCmgj3vwAAAAAYAAAA/PwA/AACAAAAAAAA8L8C1udqK/aX/z8C5tAi2/l+8L8AAAAAGAAAAPz8APwAAgAAAAAAAPC/Atbnaiv2l/8/AvnCZKpgVMq/AAAAACAAAAD8/AD8AAIAAAAAAADwvwKHONbFbTT0PwIll/+QfvvKPwAAAAAYAAAA/PwA/AACAAAAAAAA8L8CuK8D54woxb8ClBgEVg4tyj8AAAAAGAAAAPz8APwAAgAAAAAAAPC/AlMFo5I6AcW/Ar1SliGOdfA/AAAAABgAAAD8/AD8AAIAAAAAAADwvwLdRgN4CyTsvwJGJXUCmgj3PwAAAAAYAAAA/PwA/AACAAAAAAAA8L8CjNtoAG+B+b8CE2HD0ytl8D8AAAAAGAAAAPz8APwAAgAAAAAAAPC/ApXUCWgibPm/AuVhodY078g/AAAAABgAAAD8/AD8AAIAAAAAAADwvwI4Z0Rpb/DrvwJX7C+7Jw/LvwAAAAAkAAAA/PwA/AACAAAAAAAA8L8C8kHPZtVnAsACak3zjlN0zL8AAAAAAREAAAD8/AD8AAIAAAAAAADwvwLyQc9m1WcCQAJlqmBUUif2vwAAAAA4AAQBZQQAAAAAAAAAAAAUAWUEAAAAAAAAAAAECAFlBAAAAAAAAAAACAwBZQQAAAAAAAAAAAwQAWUEAAAAAAAAAAAQFAFlBAAAAAAAAAAAABgBZQQAAAAAAAAAABgcAWUIDAAAAAAAAAAcIAFlBAAAAAAAAAAAICQBZQgIAAAAAAAAACQoAWUEAAAAAAAAAAAoLAFlCAgAAAAAAAAALBgBZQQAAAAAAAAAACgwAWUEAAAAAAAAAAAAAAAA</t>
        </r>
      </text>
    </comment>
    <comment ref="A1919" authorId="0" shapeId="0" xr:uid="{47CE0231-2C2F-4C08-8953-1E4FF791D49C}">
      <text>
        <r>
          <rPr>
            <sz val="9"/>
            <color indexed="81"/>
            <rFont val="MS P ゴシック"/>
            <family val="3"/>
            <charset val="128"/>
          </rPr>
          <t>Insight iXlW00001C0001919R0585476093S00003836P01252LAocjBAQBF1NjaVRlZ2ljLmRhdGEuTW9sZWN1bGUBbwF/ARJTY2lUZWdpYy5Nb2xlY3VsZQAAAQFkAv5qAQAAAAIAAgEQGAAAAPz8APwAAgAAAAAAAPC/AqcKRiV1AvC/AhIUP8bctfC/AAAAABgAAAD8/AD8AAIAAAAAAADwvwKnCkYldQLwvwJGR3L5D+n9vwAAAAAcAAAA/PwA/AACAAAAAAAA8L8C1zTvOEVH0r8CcPCFyVRBAsAAAAAAGAAAAPz8APwAAgAAAAAAAPC/AlOWIY51cds/AkZHcvkP6f2/AAAAABgAAAD8/AD8AAIAAAAAAADwvwJTliGOdXHbPwISFD/G3LXwvwAAAAAYAAAA/PwA/AACAAAAAAAA8L8C1zTvOEVH0r8C8fRKWYY45L8AAAAAGAAAAPz8APwAAgAAAAAAAPC/ApeQD3o2q/A/AnUkl/+Qft+/AAAAABwAAAD8/AD8AAIAAAAAAADwvwJHlPYGX5jmPwKbd5yiI7nQPwAAAAAcAAAA/PwA/AACAAAAAAAA8L8C+8vuycNCvb8CAJF++zpwxj8AAAAAGAAAAPz8APwAAgAAAAAAAPC/AsuhRbbz/dS/Ag6+MJkqGO8/AAAAABgAAAD8/AD8AAIAAAAAAADwvwLbG3xhMlXQPwIX2c73U+P4PwAAAAAYAAAA/PwA/AACAAAAAAAA8L8CPb1SliGOpT8CGuJYF7fRAkAAAAAAIAAAAPz8APwAAgAAAAAAAPC/AmWqYFRSJ+i/AqAaL90khgRAAAAAABgAAAD8/AD8AAIAAAAAAADwvwKcxCCwcmj1vwLXxW00gLf/PwAAAAAYAAAA/PwA/AACAAAAAAAA8L8Cj1N0JJf/8b8CutqK/WX38j8AAAAAAREAAAD8/AD8AAIAAAAAAADwvwKcxCCwcmj1PwKgGi/dJIYEwAAAAAABEQAEAWUEAAAAAAAAAAAECAFlBAAAAAAAAAAACAwBZQQAAAAAAAAAAAwQAWUEAAAAAAAAAAAQFAFlCAgAAAAAAAAAFAABZQQAAAAAAAAAABAYAWUEAAAAAAAAAAAYHAFlCAgAAAAAAAAAHCABZQQAAAAAAAAAACAUAWUEAAAAAAAAAAAgJAFlBAAAAAAAAAAAJCgBZQQAAAAAAAAAACgsAWUEAAAAAAAAAAAsMAFlBAAAAAAAAAAAMDQBZQQAAAAAAAAAADQ4AWUEAAAAAAAAAAA4JAFlBAAAAAAAAAAAAAAAAA==</t>
        </r>
      </text>
    </comment>
    <comment ref="A1920" authorId="0" shapeId="0" xr:uid="{29C6CEE7-B23C-4A68-AD39-F734E36C46F0}">
      <text>
        <r>
          <rPr>
            <sz val="9"/>
            <color indexed="81"/>
            <rFont val="MS P ゴシック"/>
            <family val="3"/>
            <charset val="128"/>
          </rPr>
          <t>Insight iXlW00001C0001920R0585476093S00003838P01252LAocjBAQBF1NjaVRlZ2ljLmRhdGEuTW9sZWN1bGUBbwF/ARJTY2lUZWdpYy5Nb2xlY3VsZQAAAQFkAv5qAQAAAAIAAgEQHAAAAPz8APwAAgAAAAAAAPC/AngLJCh+fDZAAm6jAbwF8jHAAAAAABgAAAD8/AD8AAIAAAAAAADwvwJ4CyQofnw2QAKi1jTvOMUywAAAAAAYAAAA/PwA/AACAAAAAAAA8L8ChQ1Pr5TFNUACdLUV+8suM8AAAAAAGAAAAPz8APwAAgAAAAAAAPC/ApEPejarDjVAAqLWNO84xTLAAAAAABwAAAD8/AD8AAIAAAAAAADwvwKEns2qz0U0QAK8lpAPegYzwAAAAAAcAAAA/PwA/AACAAAAAAAA8L8CtoR80LPJM0ACCD2bVZ9bMsAAAAAAGAAAAPz8APwAAgAAAAAAAPC/AoSezarPRTRAAo0o7Q2+sDHAAAAAABgAAAD8/AD8AAIAAAAAAADwvwJq3nGKjgQ0QAKAt0CC4ucwwAAAAAAYAAAA/PwA/AACAAAAAAAA8L8C9rnaiv01M0AC63O1Ffu7MMAAAAAAGAAAAPz8APwAAgAAAAAAAPC/Atv5fmq89DJAAi6QoPgx5i/AAAAAABgAAAD8/AD8AAIAAAAAAADwvwI2XrpJDIIzQALOqs/VVqwuwAAAAAAYAAAA/PwA/AACAAAAAAAA8L8CqoJRSZ1QNEAC+THmriUEL8AAAAAAGAAAAPz8APwAAgAAAAAAAPC/AsRCrWnekTRAAgmKH2PuSjDAAAAAABgAAAD8/AD8AAIAAAAAAADwvwKRD3o2qw41QAJuowG8BfIxwAAAAAAYAAAA/PwA/AACAAAAAAAA8L8ChQ1Pr5TFNUAC1QloImyIMcAAAAAAAREAAAD8/AD8AAIAAAAAAADwvwKpE9BE2LA3QAJ/+zpwzugxwAAAAAABEQAEAWUEAAAAAAAAAAAAOAFlBAAAAAAAAAAABAgBZQQAAAAAAAAAAAgMAWUEAAAAAAAAAAAMEAFlBAAAAAAAAAAADDQBZQgMAAAAAAAAABAUAWUEAAAAAAAAAAAUGAFlCAwAAAAAAAAAGBwBZQQAAAAAAAAAABg0AWUEAAAAAAAAAAAcIAFlBAAAAAAAAAAAHDABZQgMAAAAAAAAACAkAWUICAAAAAAAAAAkKAFlBAAAAAAAAAAAKCwBZQgIAAAAAAAAACwwAWUEAAAAAAAAAAA0OAFlBAAAAAAAAAAAAAAAAA==</t>
        </r>
      </text>
    </comment>
    <comment ref="A1921" authorId="0" shapeId="0" xr:uid="{9F013F36-49D1-48F8-BBE5-A1F7FBFD1E73}">
      <text>
        <r>
          <rPr>
            <sz val="9"/>
            <color indexed="81"/>
            <rFont val="MS P ゴシック"/>
            <family val="3"/>
            <charset val="128"/>
          </rPr>
          <t>Insight iXlW00001C0001921R0585476093S00003840P01304LAocjBAQBF1NjaVRlZ2ljLmRhdGEuTW9sZWN1bGUBbwF/ARJTY2lUZWdpYy5Nb2xlY3VsZQAAAQFkAv5qAQAAAAIAAgERGAAAAPz8APwAAgAAAAAAAPC/AtGzWfW52uI/AlJJnYAmwuq/AAAAABwAAAD8/AD8AAIAAAAAAADwvwJVMCqpE9D0PwKZTBWMSurzvwAAAAAYAAAA/PwA/AACAAAAAAAA8L8CfPKwUGsaAEACUkmdgCbC6r8AAAAAGAAAAPz8APwAAgAAAAAAAPC/AnzysFBrGgBAAse6uI0G8Ia/AAAAABgAAAD8/AD8AAIAAAAAAADwvwJjEFg5tMjiPwKTy39Iv319vwAAAAAYAAAA/PwA/AACAAAAAAAA8L8CVTAqqRPQ9D8COGdEaW/w2T8AAAAAHAAAAPz8APwAAgAAAAAAAPC/At9PjZduEvI/AjEIrBxaZPM/AAAAABwAAAD8/AD8AAIAAAAAAADwvwJYObTIdr7TPwItsp3vp8b0PwAAAAAYAAAA/PwA/AACAAAAAAAA8L8CzV1LyAc9m78C6Nms+lxt4T8AAAAAGAAAAPz8APwAAgAAAAAAAPC/ArU3+MJkquq/AmAHzhlR2tc/AAAAABgAAAD8/AD8AAIAAAAAAADwvwLQZtXnaiv2vwK0WfW52orvPwAAAAAYAAAA/PwA/AACAAAAAAAA8L8CtFn1udqKAcACfIMvTKYK6j8AAAAAHAAAAPz8APwAAgAAAAAAAPC/Amsr9pfdkwPAAtbnaiv2l50/AAAAABgAAAD8/AD8AAIAAAAAAADwvwLhC5OpglH+vwLG/rJ78rDivwAAAAAYAAAA/PwA/AACAAAAAAAA8L8C78nDQq1p8b8CGlHaG3xh2r8AAAAAAREAAAD8/AD8AAIAAAAAAADwvwIAIv32deDYvwItsp3vp8b0vwAAAAABEQAAAPz8APwAAgAAAAAAAPC/Amsr9pfdkwNAArdif9k9efQ/AAAAAAEREAABZQQAAAAAAAAAAAAEAWUEAAAAAAAAAAAECAFlBAAAAAAAAAAACAwBZQQAAAAAAAAAAAwUAWUEAAAAAAAAAAAQFAFlCAgAAAAAAAAAFBgBZQQAAAAAAAAAABgcAWUEAAAAAAAAAAAcIAFlCAgAAAAAAAAAIBABZQQAAAAAAAAAACAkAWUEAAAAAAAAAAAkKAFlCAwAAAAAAAAAKCwBZQQAAAAAAAAAACwwAWUICAAAAAAAAAAwNAFlBAAAAAAAAAAANDgBZQgIAAAAAAAAADgkAWUEAAAAAAAAAAAAAAAA</t>
        </r>
      </text>
    </comment>
    <comment ref="A1922" authorId="0" shapeId="0" xr:uid="{8A09067D-A6CB-4191-952D-3518DF255B0F}">
      <text>
        <r>
          <rPr>
            <sz val="9"/>
            <color indexed="81"/>
            <rFont val="MS P ゴシック"/>
            <family val="3"/>
            <charset val="128"/>
          </rPr>
          <t>Insight iXlW00001C0001922R0585476093S00003842P00860LAocjBAQBF1NjaVRlZ2ljLmRhdGEuTW9sZWN1bGUBbwF/ARJTY2lUZWdpYy5Nb2xlY3VsZQAAAQFkAv5qAQAAAAIAAiwYAAAA/PwA/AACAAAAAAAA8L8Cvw6cM6K0678C9pfdk4eFwj8AAAAAGAAAAPz8APwAAgAAAAAAAPC/AgmsHFpkO7+/An4dOGdEad8/AAAAABwAAAD8/AD8AAIAAAAAAADwvwIg0m9fB87jPwK94xQdyeW/PwAAAAAcAAAA/PwA/AACAAAAAAAA8L8CdLUV+8vu8L8CpAG8BRIU5b8AAAAAGAAAAPz8APwAAgAAAAAAAPC/Ahsv3SQGgek/Akhy+Q/pt+W/AAAAABgAAAD8/AD8AAIAAAAAAADwvwJ88rBQa5rhvwKMbOf7qfH0vwAAAAAYAAAA/PwA/AACAAAAAAAA8L8CmpmZmZmZ0T8CKH6MuWsJ9b8AAAAAIAAAAPz8APwAAgAAAAAAAPC/Aqw+V1uxv7y/Aih+jLlrCfU/AAAAABgAAAD8/AD8AAIAAAAAAADwvwLu68A5I0r0PwJ9PzVeuknkPwAAAAAYAAAA/PwA/AACAAAAAAAA8L8CMSqpE9BEAEACxNMrZRni1D8AAAAAAREAAAD8/AD8AAIAAAAAAADwvwIxKqkT0EQAwALbG3xhMlXUPwAAAAAoAAQBZQQAAAAAAAAAAAQIAWUEAAAAAAAAAAAADAFlBAAAAAAAAAAACBABZQQAAAAAAAAAAAwUAWUEAAAAAAAAAAAQGAFlBAAAAAAAAAAAFBgBZQQAAAAAAAAAAAQcAWUIAAAAAAAAAAAIIAFlBAAAAAAAAAAAICQBZQQAAAAAAAAAAAAAAAA=</t>
        </r>
      </text>
    </comment>
    <comment ref="A1923" authorId="0" shapeId="0" xr:uid="{582FA328-7197-4AAA-B178-2E302BA1C91F}">
      <text>
        <r>
          <rPr>
            <sz val="9"/>
            <color indexed="81"/>
            <rFont val="MS P ゴシック"/>
            <family val="3"/>
            <charset val="128"/>
          </rPr>
          <t>Insight iXlW00001C0001923R0585476093S00003844P01088LAocjBAQBF1NjaVRlZ2ljLmRhdGEuTW9sZWN1bGUBbwF/ARJTY2lUZWdpYy5Nb2xlY3VsZQAAAQFkAv5qAQAAAAIAAjgYAAAA/PwA/AACAAAAAAAA8L8C4zYawFsg+r8Ch6dXyjLEyT8AAAAAGAAAAPz8APwAAgAAAAAAAPC/Ar+fGi/dJPq/Ai9uowG8BeS/AAAAABgAAAD8/AD8AAIAAAAAAADwvwKti9toAG/tvwLmriXkg57wvwAAAAAYAAAA/PwA/AACAAAAAAAA8L8CsXJoke187b8CM8SxLm6j4z8AAAAAHAAAAPz8APwAAgAAAAAAAPC/AqO0N/jCZMq/AqXfvg6cM8o/AAAAABgAAAD8/AD8AAIAAAAAAADwvwIg0m9fB87JvwKOdXEbDeDjvwAAAAAcAAAA/PwA/AACAAAAAAAA8L8Cqz5XW7G/4j8CgZVDi2zn678AAAAAHAAAAPz8APwAAgAAAAAAAPC/AoZa07zjFPE/AlVSJ6CJsMm/AAAAABgAAAD8/AD8AAIAAAAAAADwvwIEeAskKH7iPwI7kst/SL/dPwAAAAAYAAAA/PwA/AACAAAAAAAA8L8CqoJRSZ2A6j8CpwpGJXUC9D8AAAAAIAD8APz8APwAAgAAAAAAAPC/Ar+fGi/dJPo/AqJFtvP91PY/AAAAACAAAAD8/AD8AAIAAAAAAADwvwI17zhFR3LRPwJpAG+BBMX9PwAAAAAkAAAA/PwA/AACAAAAAAAA8L8C9rnaiv1l7b8CaQBvgQTF/b8AAAAALAAEAPz8APwAAgAAAAAAAPC/AjY8vVKWIf4/Aq5H4XoUrgFAAAAAADgABAFlBAAAAAAAAAAABAgBZQgIAAAAAAAAAAgUAWUEAAAAAAAAAAAQDAFlBAAAAAAAAAAADAABZQgIAAAAAAAAABAUAWUEAAAAAAAAAAAUGAFlCAwAAAAAAAAAGBwBZQQAAAAAAAAAABwgAWUICAAAAAAAAAAgEAFlBAAAAAAAAAAAICQBZQQAAAAAAAAAACQoAWUEAAAAAAAAAAAkLAFlCAAAAAAAAAAACDABZQQAAAAAAAAAAAAAAAA=</t>
        </r>
      </text>
    </comment>
    <comment ref="A1924" authorId="0" shapeId="0" xr:uid="{CCC787F2-06ED-4830-AC53-690962D991FE}">
      <text>
        <r>
          <rPr>
            <sz val="9"/>
            <color indexed="81"/>
            <rFont val="MS P ゴシック"/>
            <family val="3"/>
            <charset val="128"/>
          </rPr>
          <t>Insight iXlW00001C0001924R0585476093S00003846P00916LAocjBAQBF1NjaVRlZ2ljLmRhdGEuTW9sZWN1bGUBbwF/ARJTY2lUZWdpYy5Nb2xlY3VsZQAAAQFkAv5qAQAAAAIAAjAYAAAA/PwA/AACAAAAAAAA8L8CgSbChqdX4j8CNBE2PL1S2r8AAAAAGAAAAPz8APwAAgAAAAAAAPC/AlvTvOMUHfm/AsRCrWneceo/AAAAABwAAAD8/AD8AAIAAAAAAADwvwJO845TdCT5vwKTy39Iv31NvwAAAAAYAAAA/PwA/AACAAAAAAAA8L8CT6+UZYhj678CbjSAt0CC2r8AAAAAGAAAAPz8APwAAgAAAAAAAPC/AjGZKhiV1MG/ApPLf0i/fU2/AAAAABgAAAD8/AD8AAIAAAAAAADwvwKk374OnDPCvwLMEMe6uI3qPwAAAAAYAAAA/PwA/AACAAAAAAAA8L8CoKut2F92678CT0ATYcPT8z8AAAAAHAAAAPz8APwAAgAAAAAAAPC/AonS3uALk/Q/Aq7YX3ZPHnY/AAAAABgAAAD8/AD8AAIAAAAAAADwvwKgGi/dJAYAQAIg0m9fB87ZvwAAAAAYAAAA/PwA/AACAAAAAAAA8L8CumsJ+aBn678CT0ATYcPT878AAAAAAREAAAD8/AD8AAIAAAAAAADwvwJqTfOOU3TiPwJHA3gLJCjyPwAAAAABEQAAAPz8APwAAgAAAAAAAPC/AqAaL90kBgDAArXIdr6fGu+/AAAAACgECAFlCAgAAAAAAAAACAwBZQQAAAAAAAAAAAwQAWUICAAAAAAAAAAQFAFlBAAAAAAAAAAAFBgBZQgIAAAAAAAAABgEAWUEAAAAAAAAAAAQAAFlBAAAAAAAAAAAABwBZQQAAAAAAAAAABwgAWUEAAAAAAAAAAAMJAFlBAAAAAAAAAAAAAAAAA==</t>
        </r>
      </text>
    </comment>
    <comment ref="A1925" authorId="0" shapeId="0" xr:uid="{E99EE880-52A5-4B65-A0B5-DF1129F39CC7}">
      <text>
        <r>
          <rPr>
            <sz val="9"/>
            <color indexed="81"/>
            <rFont val="MS P ゴシック"/>
            <family val="3"/>
            <charset val="128"/>
          </rPr>
          <t>Insight iXlW00001C0001925R0585476093S00003848P01304LAocjBAQBF1NjaVRlZ2ljLmRhdGEuTW9sZWN1bGUBbwF/ARJTY2lUZWdpYy5Nb2xlY3VsZQAAAQFkAv5qAQAAAAIAAgERGAAAAPz8APwAAgAAAAAAAPC/AiqpE9BE2OI/At4kBoGVQ++/AAAAABwAAAD8/AD8AAIAAAAAAADwvwLH3LWEfND0PwLtDb4wmSr2vwAAAAAYAAAA/PwA/AACAAAAAAAA8L8CtMh2vp8aAEAC3iQGgZVD778AAAAAGAAAAPz8APwAAgAAAAAAAPC/ArTIdr6fGgBAAmRd3EYDeMO/AAAAABgAAAD8/AD8AAIAAAAAAADwvwLarPpcbcXiPwIU0ETY8PTCvwAAAAAYAAAA/PwA/AACAAAAAAAA8L8Cx9y1hHzQ9D8CXf5D+u3r0D8AAAAAHAAAAPz8APwAAgAAAAAAAPC/AhueXinLEPI/AolBYOXQIvE/AAAAABwAAAD8/AD8AAIAAAAAAADwvwKlTkATYcPTPwKF61G4HoXyPwAAAAAYAAAA/PwA/AACAAAAAAAA8L8CRiV1ApoIm78CMZkqGJXU2T8AAAAAGAAAAPz8APwAAgAAAAAAAPC/AnnpJjEIrOq/AoDZPXlYqM0/AAAAABwAAAD8/AD8AAIAAAAAAADwvwJBE2HD0yv2vwJkzF1LyAfrPwAAAAAYAAAA/PwA/AACAAAAAAAA8L8CmSoYldSJAcACLPaX3ZOH5T8AAAAAGAAAAPz8APwAAgAAAAAAAPC/Amsr9pfdkwPAAnnpJjEIrLy/AAAAABgAAAD8/AD8AAIAAAAAAADwvwJSuB6F61H+vwJR2ht8YTLnvwAAAAAYAAAA/PwA/AACAAAAAAAA8L8CKxiV1Alo8b8C+1xtxf6y4b8AAAAAAREAAAD8/AD8AAIAAAAAAADwvwJrK/aX3ZMDQAK7SQwCK4f8vwAAAAABEQAAAPz8APwAAgAAAAAAAPC/AndPHhZqTeO/ArtJDAIrh/w/AAAAAAEREAABZQQAAAAAAAAAAAAEAWUEAAAAAAAAAAAECAFlBAAAAAAAAAAACAwBZQQAAAAAAAAAAAwUAWUEAAAAAAAAAAAQFAFlCAgAAAAAAAAAFBgBZQQAAAAAAAAAABgcAWUEAAAAAAAAAAAcIAFlCAgAAAAAAAAAIBABZQQAAAAAAAAAACAkAWUEAAAAAAAAAAAkKAFlCAwAAAAAAAAAKCwBZQQAAAAAAAAAACwwAWUICAAAAAAAAAAwNAFlBAAAAAAAAAAANDgBZQgIAAAAAAAAADgkAWUEAAAAAAAAAAAAAAAA</t>
        </r>
      </text>
    </comment>
    <comment ref="A1926" authorId="0" shapeId="0" xr:uid="{79D08422-17C5-42ED-B762-F885BF938406}">
      <text>
        <r>
          <rPr>
            <sz val="9"/>
            <color indexed="81"/>
            <rFont val="MS P ゴシック"/>
            <family val="3"/>
            <charset val="128"/>
          </rPr>
          <t>Insight iXlW00001C0001926R0585476093S00003850P01320LAocjBAQBF1NjaVRlZ2ljLmRhdGEuTW9sZWN1bGUBbwF/ARJTY2lUZWdpYy5Nb2xlY3VsZQAAAQFkAv5qAQAAAAIAAgERGAAAAPz8APwAAgAAAAAAAPC/AobJVMGopNY/Ase6uI0G8IY/AAAAABgAAAD8/AD8AAIAAAAAAADwvwIE54wo7Q3xPwLl8h/Sb1/bPwAAAAAYAAAA/PwA/AACAAAAAAAA8L8CtOpztRX78D8C9ihcj8L18z8AAAAAHAAAAPz8APwAAgAAAAAAAPC/Agu1pnnHKdY/AmhEaW/whfo/AAAAABgAAAD8/AD8AAIAAAAAAADwvwJ+HThnRGnXvwIkufyH9NvzPwAAAAAYAAAA/PwA/AACAAAAAAAA8L8CRPrt68A5178CVHQkl/+Q2j8AAAAAGAAAAPz8APwAAgAAAAAAAPC/AljKMsSxLvE/AuAtkKD4Mdq/AAAAABgAAAD8/AD8AAIAAAAAAADwvwKTqYJRSZ38vwIiH/RsVn3avwAAAAAYAAAA/PwA/AACAAAAAAAA8L8CbxKDwMqh/L8C71pCPujZ878AAAAAGAAAAPz8APwAAgAAAAAAAPC/AqTfvg6cM/G/Aoj029eBc/q/AAAAABgAAAD8/AD8AAIAAAAAAADwvwImUwWjkjrxvwLHuriNBvBWvwAAAAAYAAAA/PwA/AACAAAAAAAA8L8C1lbsL7sn178CelioNc072r8AAAAAGAAAAPz8APwAAgAAAAAAAPC/AkT67evAOde/AnDOiNLe4PO/AAAAABwAAAD8/AD8AAIAAAAAAADwvwLtnjws1JrWPwJoRGlv8IX6vwAAAAAYAAAA/PwA/AACAAAAAAAA8L8CS+oENBE28T8CmUwVjErq878AAAAAIAAAAPz8APwAAgAAAAAAAPC/Am8Sg8DKofw/AmhEaW/whfq/AAAAAAERAAAA/PwA/AACAAAAAAAA8L8C3NeBc0aU+j8CwOyePCzUqj8AAAAAARIABAFlBAAAAAAAAAAAABQBZQQAAAAAAAAAAAQIAWUEAAAAAAAAAAAIDAFlBAAAAAAAAAAADBABZQQAAAAAAAAAABAUAWUEAAAAAAAAAAAcIAFlCAgAAAAAAAAAICQBZQQAAAAAAAAAACQwAWUICAAAAAAAAAAsKAFlCAgAAAAAAAAAKBwBZQQAAAAAAAAAACwwAWUEAAAAAAAAAAAsAAFlBAAAAAAAAAAAMDQBZQQAAAAAAAAAADQ4AWUEAAAAAAAAAAA4GAFlBAAAAAAAAAAAGAABZQQAAAAAAAAAADg8AWUIAAAAAAAAAAAAAAAA</t>
        </r>
      </text>
    </comment>
    <comment ref="A1927" authorId="0" shapeId="0" xr:uid="{7ECBA24E-49E0-4FF9-AE78-F954AD400675}">
      <text>
        <r>
          <rPr>
            <sz val="9"/>
            <color indexed="81"/>
            <rFont val="MS P ゴシック"/>
            <family val="3"/>
            <charset val="128"/>
          </rPr>
          <t>Insight iXlW00001C0001927R0585476093S00003852P01304LAocjBAQBF1NjaVRlZ2ljLmRhdGEuTW9sZWN1bGUBbwF/ARJTY2lUZWdpYy5Nb2xlY3VsZQAAAQFkAv5qAQAAAAIAAgERGAAAAPz8APwAAgAAAAAAAPC/AtNNYhBYOeK/AqCrrdhfduO/AAAAABgAAAD8/AD8AAIAAAAAAADwvwI4Z0Rpb/DxvwLSAN4CCYrzvwAAAAAcAAAA/PwA/AACAAAAAAAA8L8CSHL5D+m3678CeAskKH4MAMAAAAAAGAAAAPz8APwAAgAAAAAAAPC/AjLmriXkg66/ArN78rBQawHAAAAAABgAAAD8/AD8AAIAAAAAAADwvwIOT6+UZYjfPwLzH9JvXwf5vwAAAAAYAAAA/PwA/AACAAAAAAAA8L8CAJF++zpwzj8CjGzn+6nx6L8AAAAAGAAAAPz8APwAAgAAAAAAAPC/AvcGX5hMFfU/AvMf0m9fB/m/AAAAABwAAAD8/AD8AAIAAAAAAADwvwILtaZ5xyn5PwKMbOf7qfHovwAAAAAcAAAA/PwA/AACAAAAAAAA8L8CbsX+snvy7D8CWRe30QDe0r8AAAAAGAAAAPz8APwAAgAAAAAAAPC/Am7F/rJ78uw/Av8h/fZ14OA/AAAAABwAAAD8/AD8AAIAAAAAAADwvwLyQc9m1ef5PwIzVTAqqRPuPwAAAAAYAAAA/PwA/AACAAAAAAAA8L8C8kHPZtXn+T8CzV1LyAc9/D8AAAAAGAAAAPz8APwAAgAAAAAAAPC/Am7F/rJ78uw/ArN78rBQawFAAAAAABgAAAD8/AD8AAIAAAAAAADwvwJjf9k9eVjIPwLNXUvIBz38PwAAAAAYAAAA/PwA/AACAAAAAAAA8L8CY3/ZPXlYyD8CM1UwKqkT7j8AAAAAAREAAAD8/AD8AAIAAAAAAADwvwLyQc9m1ef5vwKUGARWDi3kvwAAAAABEQAAAPz8APwAAgAAAAAAAPC/AuVhodY07+a/AigPC7Wmef4/AAAAAAERAAQBZQQAAAAAAAAAAAQIAWUEAAAAAAAAAAAIDAFlBAAAAAAAAAAADBABZQQAAAAAAAAAABAUAWUICAAAAAAAAAAUAAFlBAAAAAAAAAAAEBgBZQQAAAAAAAAAABgcAWUICAAAAAAAAAAcIAFlBAAAAAAAAAAAIBQBZQQAAAAAAAAAACAkAWUEAAAAAAAAAAAkKAFlCAwAAAAAAAAAKCwBZQQAAAAAAAAAACwwAWUICAAAAAAAAAAwNAFlBAAAAAAAAAAANDgBZQgIAAAAAAAAADgkAWUEAAAAAAAAAAAAAAAA</t>
        </r>
      </text>
    </comment>
    <comment ref="A1928" authorId="0" shapeId="0" xr:uid="{E4D23668-9080-4F07-90D0-C9FC85124DD2}">
      <text>
        <r>
          <rPr>
            <sz val="9"/>
            <color indexed="81"/>
            <rFont val="MS P ゴシック"/>
            <family val="3"/>
            <charset val="128"/>
          </rPr>
          <t>Insight iXlW00001C0001928R0585476093S00003854P00876LAocjBAQBF1NjaVRlZ2ljLmRhdGEuTW9sZWN1bGUBbwF/ARJTY2lUZWdpYy5Nb2xlY3VsZQAAAQFkAv5qAQAAAAIAAiwYAAAA/PwA/AACAAAAAAAA8L8CoWez6nO19z8C7FG4HoXr8r8AAAAAGAAAAPz8APwAAgAAAAAAAPC/AgXFjzF3LfE/AvMf0m9fB96/AAAAABgAAAD8/AD8AAIAAAAAAADwvwIB3gIJih/lPwKOdXEbDeDyvwAAAAAYAAAA/PwA/AACAAAAAAAA8L8C3UYDeAsk8b8Ck6mCUUmd6D8AAAAAGAAAAPz8APwAAgAAAAAAAPC/ArivA+eMKPG/AgTnjCjtDa6/AAAAABwAAAD8/AD8AAIAAAAAAADwvwKEns2qz9XWvwItQxzr4jbevwAAAAAYAAAA/PwA/AACAAAAAAAA8L8CvsEXJlMF1z8CXCBB8WPMrb8AAAAAGAAAAPz8APwAAgAAAAAAAPC/AoSezarP1dY/Apt3nKIjueg/AAAAABgAAAD8/AD8AAIAAAAAAADwvwIll/+QfvvWvwLsUbgehevyPwAAAAAYAAAA/PwA/AACAAAAAAAA8L8C3NeBc0aU/L8Ct/P91Hjp8j8AAAAAHAAAAPz8APwAAgAAAAAAAPC/AtzXgXNGlPw/AsDsnjws1Kq/AAAAACwEAAFlBAAAAAAAAAAACAQBZQQAAAAAAAAAAAwQAWUICAAAAAAAAAAQFAFlBAAAAAAAAAAAFBgBZQgIAAAAAAAAABgcAWUEAAAAAAAAAAAcIAFlCAgAAAAAAAAAIAwBZQQAAAAAAAAAAAwkAWUEAAAAAAAAAAAYBAFlBAAAAAAAAAAABCgBZQQAAAAAAAAAAAAAAAA=</t>
        </r>
      </text>
    </comment>
    <comment ref="A1929" authorId="0" shapeId="0" xr:uid="{0229204F-8342-4EFF-8AA7-5548DC1831AE}">
      <text>
        <r>
          <rPr>
            <sz val="9"/>
            <color indexed="81"/>
            <rFont val="MS P ゴシック"/>
            <family val="3"/>
            <charset val="128"/>
          </rPr>
          <t>Insight iXlW00001C0001929R0585476093S00003856P00876LAocjBAQBF1NjaVRlZ2ljLmRhdGEuTW9sZWN1bGUBbwF/ARJTY2lUZWdpYy5Nb2xlY3VsZQAAAQFkAv5qAQAAAAIAAiwYAAAA/PwA/AACAAAAAAAA8L8Csi5uowG89z8CIbByaJHt8r8AAAAAGAAAAPz8APwAAgAAAAAAAPC/Ao0o7Q2+MPE/AkA1XrpJDN6/AAAAABgAAAD8/AD8AAIAAAAAAADwvwIwTKYKRiXlPwLE0ytlGeLyvwAAAAAYAAAA/PwA/AACAAAAAAAA8L8Cv58aL90k8b8COrTIdr6f6D8AAAAAGAAAAPz8APwAAgAAAAAAAPC/Agu1pnnHKfG/AiZ1ApoIG66/AAAAABwAAAD8/AD8AAIAAAAAAADwvwKEns2qz9XWvwJ6WKg1zTvevwAAAAAYAAAA/PwA/AACAAAAAAAA8L8CkzoBTYQN1z8Cfq62Yn/Zrb8AAAAAGAAAAPz8APwAAgAAAAAAAPC/AlkXt9EA3tY/AkGC4seYu+g/AAAAABgAAAD8/AD8AAIAAAAAAADwvwKMbOf7qfHWvwIhsHJoke3yPwAAAAAcAAAA/PwA/AACAAAAAAAA8L8CXkvIBz2b/D8C4noUrkfhqr8AAAAAGAAAAPz8APwAAgAAAAAAAPC/Al5LyAc9m/y/Agu1pnnHKd6/AAAAACwEAAFlBAAAAAAAAAAACAQBZQQAAAAAAAAAAAwQAWUICAAAAAAAAAAQFAFlBAAAAAAAAAAAFBgBZQgIAAAAAAAAABgcAWUEAAAAAAAAAAAcIAFlCAgAAAAAAAAAIAwBZQQAAAAAAAAAABgEAWUEAAAAAAAAAAAEJAFlBAAAAAAAAAAAECgBZQQAAAAAAAAAAAAAAAA=</t>
        </r>
      </text>
    </comment>
    <comment ref="A1930" authorId="0" shapeId="0" xr:uid="{793DA4C2-2335-4485-8116-E8DE868709BC}">
      <text>
        <r>
          <rPr>
            <sz val="9"/>
            <color indexed="81"/>
            <rFont val="MS P ゴシック"/>
            <family val="3"/>
            <charset val="128"/>
          </rPr>
          <t>Insight iXlW00001C0001930R0585476093S00003858P00864LAocjBAQBF1NjaVRlZ2ljLmRhdGEuTW9sZWN1bGUBbwF/ARJTY2lUZWdpYy5Nb2xlY3VsZQAAAQFkAv5qAQAAAAIAAiwYAAAA/PwA/AACAAAAAAAA8L8C8x/Sb18H8j8C6Ugu/yH98r8AAAAAGAAAAPz8APwAAgAAAAAAAPC/AvYoXI/C9eY/AsZtNIC3QN6/AAAAABgAAAD8/AD8AAIAAAAAAADwvwKP5PIf0m/TPwIawFsgQfHyvwAAAAAYAAAA/PwA/AACAAAAAAAA8L8Ccc6I0t7g9r8C6bevA+eM6D8AAAAAGAAAAPz8APwAAgAAAAAAAPC/Ar3jFB3J5fa/AvSOU3Qkl6+/AAAAABwAAAD8/AD8AAIAAAAAAADwvwI7cM6I0t7mvwIAkX77OnDevwAAAAAYAAAA/PwA/AACAAAAAAAA8L8C4ZwRpb3BZz8CKjqSy39Ir78AAAAAGAAAAPz8APwAAgAAAAAAAPC/AALxhclUwajoPwAAAAAYAAAA/PwA/AACAAAAAAAA8L8CP1dbsb/s5r8CF9nO91Pj8j8AAAAAHAAAAPz8APwAAgAAAAAAAPC/Ar3jFB3J5fY/ArCUZYhjXay/AAAAACQAAAD8/AD8AAIAAAAAAADwvwI7cM6I0t7mPwLpSC7/If3yPwAAAAAsBAABZQQAAAAAAAAAAAgEAWUEAAAAAAAAAAAMEAFlCAgAAAAAAAAAEBQBZQQAAAAAAAAAABQYAWUICAAAAAAAAAAYHAFlBAAAAAAAAAAAHCABZQgIAAAAAAAAACAMAWUEAAAAAAAAAAAYBAFlBAAAAAAAAAAABCQBZQQAAAAAAAAAABwoAWUEAAAAAAAAAAAAAAAA</t>
        </r>
      </text>
    </comment>
    <comment ref="A1931" authorId="0" shapeId="0" xr:uid="{BD3E4345-686C-49AA-91B3-C4636351F972}">
      <text>
        <r>
          <rPr>
            <sz val="9"/>
            <color indexed="81"/>
            <rFont val="MS P ゴシック"/>
            <family val="3"/>
            <charset val="128"/>
          </rPr>
          <t>Insight iXlW00001C0001931R0585476093S00003860P00916LAocjBAQBF1NjaVRlZ2ljLmRhdGEuTW9sZWN1bGUBbwF/ARJTY2lUZWdpYy5Nb2xlY3VsZQAAAQFkAv5qAQAAAAIAAjAYAAAA/PwA/AACAAAAAAAA8L8Cs3vysFBr8D8CvXSTGARW7L8AAAAAGAAAAPz8APwAAgAAAAAAAPC/ArMMcayL2/G/AkymCkYlddY/AAAAABwAAAD8/AD8AAIAAAAAAADwvwL/If32deDxvwKI9NvXgXPevwAAAAAYAAAA/PwA/AACAAAAAAAA8L8CEAu1pnnH2b8CWoY41sVt7L8AAAAAGAAAAPz8APwAAgAAAAAAAPC/AuY/pN++DtQ/Au/Jw0Ktad6/AAAAABgAAAD8/AD8AAIAAAAAAADwvwKsHFpkO9/TPwL0bFZ9rrbWPwAAAAAYAAAA/PwA/AACAAAAAAAA8L8CF9nO91Pj2b8CppvEILBy6D8AAAAAHAAAAPz8APwAAgAAAAAAAPC/AlYwKqkT0Ps/AqcKRiV1At6/AAAAABgAAAD8/AD8AAIAAAAAAADwvwLCFyZTBaMDQAIVrkfhehTsvwAAAAAYAAAA/PwA/AACAAAAAAAA8L8CP+jZrPpc/b8CrmnecYqO6D8AAAAAAREAAAD8/AD8AAIAAAAAAADwvwLCFyZTBaMDwAJ6xyk6ksvHvwAAAAABEQAAAPz8APwAAgAAAAAAAPC/AqCrrdhfdu8/AlqGONbFbew/AAAAACgECAFlCAgAAAAAAAAACAwBZQQAAAAAAAAAAAwQAWUICAAAAAAAAAAQFAFlBAAAAAAAAAAAFBgBZQgIAAAAAAAAABgEAWUEAAAAAAAAAAAQAAFlBAAAAAAAAAAAABwBZQQAAAAAAAAAABwgAWUEAAAAAAAAAAAEJAFlBAAAAAAAAAAAAAAAAA==</t>
        </r>
      </text>
    </comment>
    <comment ref="A1932" authorId="0" shapeId="0" xr:uid="{9C77C1DA-E0DD-49FF-885A-C6FDF7DCC8F7}">
      <text>
        <r>
          <rPr>
            <sz val="9"/>
            <color indexed="81"/>
            <rFont val="MS P ゴシック"/>
            <family val="3"/>
            <charset val="128"/>
          </rPr>
          <t>Insight iXlW00001C0001932R0585476093S00003862P00916LAocjBAQBF1NjaVRlZ2ljLmRhdGEuTW9sZWN1bGUBbwF/ARJTY2lUZWdpYy5Nb2xlY3VsZQAAAQFkAv5qAQAAAAIAAjAYAAAA/PwA/AACAAAAAAAA8L8C7Z48LNSa6j8C/0P67evA7b8AAAAAGAAAAPz8APwAAgAAAAAAAPC/Alr1udqK/fS/AgwkKH6MudM/AAAAABwAAAD8/AD8AAIAAAAAAADwvwJNFYxK6gT1vwL+ZffkYaHgvwAAAAAYAAAA/PwA/AACAAAAAAAA8L8CbJp3nKIj478CuvyH9NvX7b8AAAAAGAAAAPz8APwAAgAAAAAAAPC/At4CCYofY74/ApOpglFJneC/AAAAABgAAAD8/AD8AAIAAAAAAADwvwL3deCcEaW9PwLfcYqO5PLTPwAAAAAYAAAA/PwA/AACAAAAAAAA8L8C2j15WKg1478C4E+Nl24S5z8AAAAAHAAAAPz8APwAAgAAAAAAAPC/AjC7Jw8Ltfg/Au/Jw0KtaeC/AAAAABgAAAD8/AD8AAIAAAAAAADwvwJlO99PjRcCQAJXfa62Yn/tvwAAAAAYAAAA/PwA/AACAAAAAAAA8L8CmbuWkA966j8Cam/whclU5z8AAAAAAREAAAD8/AD8AAIAAAAAAADwvwJlO99PjRcCwAK6/If029ftPwAAAAABEQAAAPz8APwAAgAAAAAAAPC/ApDC9Shcj/4/AtiBc0aU9uY/AAAAACgECAFlCAgAAAAAAAAACAwBZQQAAAAAAAAAAAwQAWUICAAAAAAAAAAQFAFlBAAAAAAAAAAAFBgBZQgIAAAAAAAAABgEAWUEAAAAAAAAAAAQAAFlBAAAAAAAAAAAABwBZQQAAAAAAAAAABwgAWUEAAAAAAAAAAAUJAFlBAAAAAAAAAAAAAAAAA==</t>
        </r>
      </text>
    </comment>
    <comment ref="A1933" authorId="0" shapeId="0" xr:uid="{D0374CD0-C92B-4548-9347-3411363DE07B}">
      <text>
        <r>
          <rPr>
            <sz val="9"/>
            <color indexed="81"/>
            <rFont val="MS P ゴシック"/>
            <family val="3"/>
            <charset val="128"/>
          </rPr>
          <t>Insight iXlW00001C0001933R0585476093S00003864P01232LAocjBAQBF1NjaVRlZ2ljLmRhdGEuTW9sZWN1bGUBbwF/ARJTY2lUZWdpYy5Nb2xlY3VsZQAAAQFkAv5qAQAAAAIAAgEQJAAAAPz8APwAAgAAAAAAAPC/Aqw+V1uxfxZAAgvXo3A9ShRAAAAAACQAAAD8/AD8AAIAAAAAAADwvwLbiv1l96QVQALSkVz+Q3oXQAAAAAAgAAAA/PwA/AACAAAAAAAA8L8CFoxK6gR0EEAC8tJNYhAYGkAAAAAAGAAAAPz8APwAAgAAAAAAAPC/AuSDns2qTxNAAr+fGi/dJBVAAAAAACAAAAD8/AD8AAIAAAAAAADwvwLkg57Nqk8TQALy0k1iENgRQAAAAAAYAAAA/PwA/AACAAAAAAAA8L8Cxv6ye/IwC0AC8tJNYhDYEUAAAAAAHAAAAPz8APwAAgAAAAAAAPC/Asb+snvyMAtAAr+fGi/dJBVAAAAAABgAAAD8/AD8AAIAAAAAAADwvwIWjErqBHQQQAIlBoGVQ8sWQAAAAAAYAAAA/PwA/AACAAAAAAAA8L8C5IOezapPE0ACSgwCK4cWDUAAAAAAGAAAAPz8APwAAgAAAAAAAPC/AuSDns2qTxNAAnicoiO5fAZAAAAAABwAAAD8/AD8AAIAAAAAAADwvwIWjErqBHQQQAKrz9VW7C8DQAAAAAAYAAAA/PwA/AACAAAAAAAA8L8Cxv6ye/IwC0ACeJyiI7l8BkAAAAAAGAAAAPz8APwAAgAAAAAAAPC/Asb+snvyMAtAAkoMAiuHFg1AAAAAABgAAAD8/AD8AAIAAAAAAADwvwIWjErqBHQQQAKLbOf7qTEQQAAAAAABEQAAAPz8APwAAgAAAAAAAPC/Ap/Nqs/VFhFAAsE5I0p7g/g/AAAAAAQAAAD8/AD8AAIAAAAAAADwvwJuxf6ye/ITQAJb07zjFB3/PwAAAAABEAwEAWUEAAAAAAAAAAAMAAFlBAAAAAAAAAAAEAwBZQQAAAAAAAAAABgUAWUEAAAAAAAAAAAcCAFlCAAAAAAAAAAAHAwBZQQAAAAAAAAAABwYAWUEAAAAAAAAAAAkIAFlBAAAAAAAAAAAKCQBZQQAAAAAAAAAACwoAWUEAAAAAAAAAAAwLAFlBAAAAAAAAAAANDABZQQAAAAAAAAAADQgAWUEAAAAAAAAAAA0EAFlBAAAAAAAAAAAFDQBZQQAAAAAAAAAADg8AWUEAAAAAAAAAAAAAAAA</t>
        </r>
      </text>
    </comment>
    <comment ref="A1934" authorId="0" shapeId="0" xr:uid="{74925102-18B8-4B03-A69C-6015FE19CC99}">
      <text>
        <r>
          <rPr>
            <sz val="9"/>
            <color indexed="81"/>
            <rFont val="MS P ゴシック"/>
            <family val="3"/>
            <charset val="128"/>
          </rPr>
          <t>Insight iXlW00001C0001934R0585476093S00003866P00864LAocjBAQBF1NjaVRlZ2ljLmRhdGEuTW9sZWN1bGUBbwF/ARJTY2lUZWdpYy5Nb2xlY3VsZQAAAQFkAv5qAQAAAAIAAiwYAAAA/PwA/AACAAAAAAAA8L8CvsEXJlMF8j8CtOpztRX78r8AAAAAGAAAAPz8APwAAgAAAAAAAPC/AlAeFmpN8+Y/Aj4K16NwPd6/AAAAABgAAAD8/AD8AAIAAAAAAADwvwLLMsSxLm7TPwLlYaHWNO/yvwAAAAAYAAAA/PwA/AACAAAAAAAA8L8CWRe30QDe9r8CYVRSJ6CJ6D8AAAAAGAAAAPz8APwAAgAAAAAAAPC/AqYsQxzr4va/AvSOU3Qkl6+/AAAAABwAAAD8/AD8AAIAAAAAAADwvwKVZYhjXdzmvwJ4LSEf9GzevwAAAAAYAAAA/PwA/AACAAAAAAAA8L8C4ZwRpb3BZz8CKjqSy39Ir78AAAAAGAAAAPz8APwAAgAAAAAAAPC/AAJKe4MvTKboPwAAAAAYAAAA/PwA/AACAAAAAAAA8L8CmUwVjErq5r8C4noUrkfh8j8AAAAAHAAAAPz8APwAAgAAAAAAAPC/AqYsQxzr4vY/ArCUZYhjXay/AAAAABgAAAD8/AD8AAIAAAAAAADwvwKVZYhjXdzmPwK06nO1FfvyPwAAAAAsBAABZQQAAAAAAAAAAAgEAWUEAAAAAAAAAAAMEAFlCAgAAAAAAAAAEBQBZQQAAAAAAAAAABQYAWUICAAAAAAAAAAYHAFlBAAAAAAAAAAAHCABZQgIAAAAAAAAACAMAWUEAAAAAAAAAAAYBAFlBAAAAAAAAAAABCQBZQQAAAAAAAAAABwoAWUEAAAAAAAAAAAAAAAA</t>
        </r>
      </text>
    </comment>
    <comment ref="A1935" authorId="0" shapeId="0" xr:uid="{A97EC67A-0A87-40BE-AF52-AF77FAF04155}">
      <text>
        <r>
          <rPr>
            <sz val="9"/>
            <color indexed="81"/>
            <rFont val="MS P ゴシック"/>
            <family val="3"/>
            <charset val="128"/>
          </rPr>
          <t>Insight iXlW00001C0001935R0585476093S00003868P00936LAocjBAQBF1NjaVRlZ2ljLmRhdGEuTW9sZWN1bGUBbwF/ARJTY2lUZWdpYy5Nb2xlY3VsZQAAAQFkAv5qAQAAAAIAAjAYAAAA/PwA/AACAAAAAAAA8L8CiWNd3EYD8j8C9I5TdCSX+b8AAAAAGAAAAPz8APwAAgAAAAAAAPC/AuVhodY07+Y/AuviNhrAW+y/AAAAABgAAAD8/AD8AAIAAAAAAADwvwLLMsSxLm7TPwLMEMe6uI35vwAAAAAYAAAA/PwA/AACAAAAAAAA8L8CJLn8h/Tb9r8CVHQkl/+Q1j8AAAAAGAAAAPz8APwAAgAAAAAAAPC/Av8h/fZ14Pa/Ak2mCkYldd6/AAAAABwAAAD8/AD8AAIAAAAAAADwvwKVZYhjXdzmvwKmm8QgsHLsvwAAAAAYAAAA/PwA/AACAAAAAAAA8L8C4ZwRpb3BZz8CeC0hH/Rs3r8AAAAAGAAAAPz8APwAAgAAAAAAAPC/AAJjEFg5tMjWPwAAAAAYAAAA/PwA/AACAAAAAAAA8L8CmUwVjErq5r8CqoJRSZ2A6D8AAAAAHAAAAPz8APwAAgAAAAAAAPC/Av8h/fZ14PY/Ai9uowG8Bd6/AAAAACAAAAD8/AD8AAIAAAAAAADwvwJIUPwYc9fmPwIwuycPC7XoPwAAAAAYAAAA/PwA/AACAAAAAAAA8L8CPZtVn6ut5j8C9I5TdCSX+T8AAAAAMAQAAWUEAAAAAAAAAAAIBAFlBAAAAAAAAAAADBABZQgIAAAAAAAAABAUAWUEAAAAAAAAAAAUGAFlCAgAAAAAAAAAGBwBZQQAAAAAAAAAABwgAWUICAAAAAAAAAAgDAFlBAAAAAAAAAAAGAQBZQQAAAAAAAAAAAQkAWUEAAAAAAAAAAAcKAFlBAAAAAAAAAAAKCwBZQQAAAAAAAAAAAAAAAA=</t>
        </r>
      </text>
    </comment>
    <comment ref="A1936" authorId="0" shapeId="0" xr:uid="{FA476041-028C-47E8-A5C8-587FEE49BDDF}">
      <text>
        <r>
          <rPr>
            <sz val="9"/>
            <color indexed="81"/>
            <rFont val="MS P ゴシック"/>
            <family val="3"/>
            <charset val="128"/>
          </rPr>
          <t>Insight iXlW00001C0001936R0585476093S00003870P01304LAocjBAQBF1NjaVRlZ2ljLmRhdGEuTW9sZWN1bGUBbwF/ARJTY2lUZWdpYy5Nb2xlY3VsZQAAAQFkAv5qAQAAAAIAAgERGAAAAPz8APwAAgAAAAAAAPC/AtNNYhBYOeK/AqCrrdhfduO/AAAAABgAAAD8/AD8AAIAAAAAAADwvwLfcYqO5PLxvwLSAN4CCYrzvwAAAAAcAAAA/PwA/AACAAAAAAAA8L8CSHL5D+m3678CeAskKH4MAMAAAAAAGAAAAPz8APwAAgAAAAAAAPC/AjLmriXkg66/ArN78rBQawHAAAAAABgAAAD8/AD8AAIAAAAAAADwvwIOT6+UZYjfPwLzH9JvXwf5vwAAAAAYAAAA/PwA/AACAAAAAAAA8L8CzjtO0ZFczj8CjGzn+6nx6L8AAAAAGAAAAPz8APwAAgAAAAAAAPC/AvcGX5hMFfU/Ar7BFyZTBfm/AAAAABwAAAD8/AD8AAIAAAAAAADwvwJlqmBUUif5PwKMbOf7qfHovwAAAAAcAAAA/PwA/AACAAAAAAAA8L8CbsX+snvy7D8CWRe30QDe0r8AAAAAGAAAAPz8APwAAgAAAAAAAPC/Am7F/rJ78uw/Av8h/fZ14OA/AAAAABgAAAD8/AD8AAIAAAAAAADwvwLyQc9m1ef5PwIzVTAqqRPuPwAAAAAYAAAA/PwA/AACAAAAAAAA8L8C8kHPZtXn+T8CzV1LyAc9/D8AAAAAHAAAAPz8APwAAgAAAAAAAPC/Am7F/rJ78uw/ArN78rBQawFAAAAAABgAAAD8/AD8AAIAAAAAAADwvwJjf9k9eVjIPwLNXUvIBz38PwAAAAAYAAAA/PwA/AACAAAAAAAA8L8CY3/ZPXlYyD8CM1UwKqkT7j8AAAAAAREAAAD8/AD8AAIAAAAAAADwvwLyQc9m1ef5vwKUGARWDi3kvwAAAAABEQAAAPz8APwAAgAAAAAAAPC/AuVhodY07+a/AigPC7Wmef4/AAAAAAERAAQBZQQAAAAAAAAAAAQIAWUEAAAAAAAAAAAIDAFlBAAAAAAAAAAADBABZQQAAAAAAAAAABAUAWUICAAAAAAAAAAUAAFlBAAAAAAAAAAAEBgBZQQAAAAAAAAAABgcAWUICAAAAAAAAAAcIAFlBAAAAAAAAAAAIBQBZQQAAAAAAAAAACAkAWUEAAAAAAAAAAAkKAFlCAwAAAAAAAAAKCwBZQQAAAAAAAAAACwwAWUICAAAAAAAAAAwNAFlBAAAAAAAAAAANDgBZQgIAAAAAAAAADgkAWUEAAAAAAAAAAAAAAAA</t>
        </r>
      </text>
    </comment>
    <comment ref="A1937" authorId="0" shapeId="0" xr:uid="{2E7BE065-96A4-486B-A11E-1E7B5B839E51}">
      <text>
        <r>
          <rPr>
            <sz val="9"/>
            <color indexed="81"/>
            <rFont val="MS P ゴシック"/>
            <family val="3"/>
            <charset val="128"/>
          </rPr>
          <t>Insight iXlW00001C0001937R0585476093S00003872P01392LAocjBAQBF1NjaVRlZ2ljLmRhdGEuTW9sZWN1bGUBbwF/ARJTY2lUZWdpYy5Nb2xlY3VsZQAAAQFkAv5qAQAAAAIAAgESHAAAAPz8APwAAgAAAAAAAPC/AtQrZRniWPa/AvXb14FzRuq/AAAAABgAAAD8/AD8AAIAAAAAAADwvwLUK2UZ4lj2vwKfzarP1Vb6vwAAAAAYAAAA/PwA/AACAAAAAAAA8L8C1udqK/aX478Cs3vysFBr/r8AAAAAGAAAAPz8APwAAgAAAAAAAPC/AlK4HoXrUcC/ApSHhVrTvPO/AAAAABwAAAD8/AD8AAIAAAAAAADwvwLW52or9pfjvwLMf0i/fR3ivwAAAAAYAAAA/PwA/AACAAAAAAAA8L8CWRe30QDe1r8CTRWMSuoEzD8AAAAAGAAAAPz8APwAAgAAAAAAAPC/AjQRNjy9UuY/ApSHhVrTvPO/AAAAABgAAAD8/AD8AAIAAAAAAADwvwKRfvs6cM7cPwJDPujZrPrYPwAAAAAYAAAA/PwA/AACAAAAAAAA8L8C8x/Sb18H8D8CnaIjufyHzL8AAAAAGAAAAPz8APwAAgAAAAAAAPC/At9xio7k8vw/ArN78rBQa6q/AAAAABgAAAD8/AD8AAIAAAAAAADwvwLBOSNKe4MAQAKCBMWPMXfnPwAAAAAYAAAA/PwA/AACAAAAAAAA8L8CHHxhMlUw+D8ClrIMcayL9T8AAAAAGAAAAPz8APwAAgAAAAAAAPC/AnIbDeAtkOY/Agkbnl4py/I/AAAAACAAAAD8/AD8AAIAAAAAAADwvwIxKqkT0ET8PwJANV66SQwBQAAAAAAYAAAA/PwA/AACAAAAAAAA8L8C9I5TdCSXBEACe6UsQxxrAkAAAAAAGAAAAPz8APwAAgAAAAAAAPC/AsE5I0p7gwDAAkA1XrpJDAHAAAAAACAAAAD8/AD8AAIAAAAAAADwvwJ8gy9MpooGwAIMJCh+jLn8vwAAAAAgAAAA/PwA/AACAAAAAAAA8L8CS3uDL0ym/78CsVBrmnecB8AAAAAAARMABAFlCAgAAAAAAAAABAgBZQQAAAAAAAAAAAgMAWUICAAAAAAAAAAMEAFlBAAAAAAAAAAAEAABZQQAAAAAAAAAABAUAWUEAAAAAAAAAAAMGAFlBAAAAAAAAAAAFBwBZQQAAAAAAAAAABwgAWUIDAAAAAAAAAAgJAFlBAAAAAAAAAAAJCgBZQgIAAAAAAAAACgsAWUEAAAAAAAAAAAsMAFlCAgAAAAAAAAAMBwBZQQAAAAAAAAAADQ4AWUEAAAAAAAAAAAsNAFlBAAAAAAAAAAAPAEQAWUIAAAAAAAAAAA8AREBZQQAAAAAAAAAAAQ8AWUEAAAAAAAAAAAAAAAA</t>
        </r>
      </text>
    </comment>
    <comment ref="A1938" authorId="0" shapeId="0" xr:uid="{692A487D-06DB-48A3-90AC-17188CE49A78}">
      <text>
        <r>
          <rPr>
            <sz val="9"/>
            <color indexed="81"/>
            <rFont val="MS P ゴシック"/>
            <family val="3"/>
            <charset val="128"/>
          </rPr>
          <t>Insight iXlW00001C0001938R0585476093S00003874P01396LAocjBAQBF1NjaVRlZ2ljLmRhdGEuTW9sZWN1bGUBbwF/ARJTY2lUZWdpYy5Nb2xlY3VsZQAAAQFkAv5qAQAAAAIAAgESGAAAAPz8APwAAgAAAAAAAPC/AiRKe4MvTPe/AoJzRpT2BuW/AAAAABgAAAD8/AD8AAIAAAAAAADwvwKmLEMc6+LzvwJP0ZFc/kP3vwAAAAAYAAAA/PwA/AACAAAAAAAA8L8C/DpwzojS2r8CwcqhRbbz978AAAAAHAAAAPz8APwAAgAAAAAAAPC/AgVWDi2ynb+/At0kBoGVQ+e/AAAAABwAAAD8/AD8AAIAAAAAAADwvwLzsFBrmnfovwI6tMh2vp/KvwAAAAAYAAAA/PwA/AACAAAAAAAA8L8Cj+TyH9Jvnz8CiWNd3EaDAcAAAAAAGAAAAPz8APwAAgAAAAAAAPC/AlUwKqkT0AHAAopBYOXQIte/AAAAACAAAAD8/AD8AAIAAAAAAADwvwLi6ZWyDPEGwAJ2cRsN4C3svwAAAAAgAAAA/PwA/AACAAAAAAAA8L8C8tJNYhDYAsACVAWjkjoB3T8AAAAAGAAAAPz8APwAAgAAAAAAAPC/AuBPjZduEue/AqFns+pzteM/AAAAABgAAAD8/AD8AAIAAAAAAADwvwJ56SYxCKyMPwL7XG3F/rLvPwAAAAAYAAAA/PwA/AACAAAAAAAA8L8C+n5qvHST5j8Cpb3BFyZT4T8AAAAAGAAAAPz8APwAAgAAAAAAAPC/AlfsL7snD/c/ArOd76fGS+0/AAAAABgAAAD8/AD8AAIAAAAAAADwvwLJ5T+k3773PwIxmSoYldT7PwAAAAAYAAAA/PwA/AACAAAAAAAA8L8C1CtlGeJY6T8CiWNd3EaDAUAAAAAAGAAAAPz8APwAAgAAAAAAAPC/Asl2vp8aL60/AmTMXUvIB/0/AAAAACAAAAD8/AD8AAIAAAAAAADwvwIBb4EExQ8BQAJ+rrZif9ndPwAAAAAYAAAA/PwA/AACAAAAAAAA8L8C4umVsgzxBkACt/P91Hjp6j8AAAAAARMABAFlCAgAAAAAAAAABAgBZQQAAAAAAAAAAAgMAWUICAAAAAAAAAAMEAFlBAAAAAAAAAAAEAABZQQAAAAAAAAAAAgUAWUEAAAAAAAAAAAAGAFlBAAAAAAAAAAAGBwBZQQAAAAAAAAAABggAWUIAAAAAAAAAAAQJAFlBAAAAAAAAAAAJCgBZQQAAAAAAAAAACgsAWUIDAAAAAAAAAAsMAFlBAAAAAAAAAAAMDQBZQgIAAAAAAAAADQ4AWUEAAAAAAAAAAA4PAFlCAgAAAAAAAAAPCgBZQQAAAAAAAAAADABEAFlBAAAAAAAAAAAARABEQFlBAAAAAAAAAAAAAAAAA==</t>
        </r>
      </text>
    </comment>
    <comment ref="A1939" authorId="0" shapeId="0" xr:uid="{10EF9E2D-2006-4108-9584-404D3DE3125F}">
      <text>
        <r>
          <rPr>
            <sz val="9"/>
            <color indexed="81"/>
            <rFont val="MS P ゴシック"/>
            <family val="3"/>
            <charset val="128"/>
          </rPr>
          <t>Insight iXlW00001C0001939R0585476093S00003876P00948LAocjBAQBF1NjaVRlZ2ljLmRhdGEuTW9sZWN1bGUBbwF/ARJTY2lUZWdpYy5Nb2xlY3VsZQAAAQFkAv5qAQAAAAIAAjAYAAAA/PwA/AACAAAAAAAA8L8Cmggbnl4p378C0GbV52or2j8AAAAAGAAAAPz8APwAAgAAAAAAAPC/ApoIG55eKd+/Ah/0bFZ9rtq/AAAAABwAAAD8/AD8AAIAAAAAAADwvwJWMCqpE9DMPwKze/KwUGvqvwAAAAAYAAAA/PwA/AACAAAAAAAA8L8CVjAqqRPQzD8Cs3vysFBr6j8AAAAAHAAAAPz8APwAAgAAAAAAAPC/AoljXdxGA+4/AtBm1edqK9o/AAAAABgAAAD8/AD8AAIAAAAAAADwvwKJY13cRgPuPwIRWDm0yHbavwAAAAAYAAAA/PwA/AACAAAAAAAA8L8CjNtoAG+B+z8CmN2Th4Va5b8AAAAAGAAAAPz8APwAAgAAAAAAAPC/Aldbsb/sngFAApX2Bl+YTGW/AAAAABwAAAD8/AD8AAIAAAAAAADwvwKM22gAb4H7PwL45GGh1jTlPwAAAAAYAAAA/PwA/AACAAAAAAAA8L8Cc2iR7Xw/878CD5wzorQ36j8AAAAAHAAAAPz8APwAAgAAAAAAAPC/AueMKO0Nvv6/AngtIR/0bNo/AAAAAAERAAAA/PwA/AACAAAAAAAA8L8CV1uxv+yeAcAC48eYu5aQ4b8AAAAAMAAEAWUEAAAAAAAAAAAADAFlCAgAAAAAAAAABAgBZQgIAAAAAAAAAAgUAWUEAAAAAAAAAAAQDAFlBAAAAAAAAAAAEBQBZQQAAAAAAAAAABQYAWUIDAAAAAAAAAAYHAFlBAAAAAAAAAAAHCABZQgIAAAAAAAAACAQAWUEAAAAAAAAAAAAJAFlBAAAAAAAAAAAJCgBZQQAAAAAAAAAAAAAAAA=</t>
        </r>
      </text>
    </comment>
    <comment ref="A1940" authorId="0" shapeId="0" xr:uid="{0F1A0854-E22D-48A6-8857-73899B6AB6A2}">
      <text>
        <r>
          <rPr>
            <sz val="9"/>
            <color indexed="81"/>
            <rFont val="MS P ゴシック"/>
            <family val="3"/>
            <charset val="128"/>
          </rPr>
          <t>Insight iXlW00001C0001940R0585476093S00003878P01020LAocjBAQBF1NjaVRlZ2ljLmRhdGEuTW9sZWN1bGUBbwF/ARJTY2lUZWdpYy5Nb2xlY3VsZQAAAQFkAv5qAQAAAAIAAjQYAAAA/PwA/AACAAAAAAAA8L8CGXPXEvJB378ClyGOdXEb5z8AAAAAGAAAAPz8APwAAgAAAAAAAPC/Ahlz1xLyQd+/As1dS8gHPbu/AAAAABwAAAD8/AD8AAIAAAAAAADwvwKZTBWMSurMPwL2l92Th4XgvwAAAAAYAAAA/PwA/AACAAAAAAAA8L8CmUwVjErqzD8CPgrXo3A98j8AAAAAHAAAAPz8APwAAgAAAAAAAPC/AiZ1ApoIG+4/ApchjnVxG+c/AAAAABgAAAD8/AD8AAIAAAAAAADwvwImdQKaCBvuPwKBJsKGp1e6vwAAAAAYAAAA/PwA/AACAAAAAAAA8L8CZTvfT42X+z8CHcnlP6Tf1r8AAAAAGAAAAPz8APwAAgAAAAAAAPC/ApQYBFYOrQFAAnrHKTqSy9M/AAAAABwAAAD8/AD8AAIAAAAAAADwvwJlO99PjZf7PwI3GsBbIEHvPwAAAAAYAAAA/PwA/AACAAAAAAAA8L8COwFNhA1P878CbJp3nKIj8j8AAAAAHAAAAPz8APwAAgAAAAAAAPC/Amb35GGh1v6/AusENBE2POc/AAAAABgAAAD8/AD8AAIAAAAAAADwvwK1N/jCZKr/PwI+CtejcD3yvwAAAAABEQAAAPz8APwAAgAAAAAAAPC/ApQYBFYOrQHAAlR0JJf/kM6/AAAAADQABAFlBAAAAAAAAAAAAAwBZQgIAAAAAAAAAAQIAWUICAAAAAAAAAAIFAFlBAAAAAAAAAAAEAwBZQQAAAAAAAAAABAUAWUEAAAAAAAAAAAUGAFlCAwAAAAAAAAAGBwBZQQAAAAAAAAAABwgAWUICAAAAAAAAAAgEAFlBAAAAAAAAAAAACQBZQQAAAAAAAAAACQoAWUEAAAAAAAAAAAYLAFlBAAAAAAAAAAAAAAAAA==</t>
        </r>
      </text>
    </comment>
    <comment ref="A1941" authorId="0" shapeId="0" xr:uid="{80C0B6ED-0F27-4DBC-998B-7E8AFAF4A475}">
      <text>
        <r>
          <rPr>
            <sz val="9"/>
            <color indexed="81"/>
            <rFont val="MS P ゴシック"/>
            <family val="3"/>
            <charset val="128"/>
          </rPr>
          <t>Insight iXlW00001C0001941R0585476093S00003880P01304LAocjBAQBF1NjaVRlZ2ljLmRhdGEuTW9sZWN1bGUBbwF/ARJTY2lUZWdpYy5Nb2xlY3VsZQAAAQFkAv5qAQAAAAIAAgERGAAAAPz8APwAAgAAAAAAAPC/AtNNYhBYOeK/AqCrrdhfduO/AAAAABgAAAD8/AD8AAIAAAAAAADwvwLfcYqO5PLxvwLSAN4CCYrzvwAAAAAcAAAA/PwA/AACAAAAAAAA8L8CSHL5D+m3678CeAskKH4MAMAAAAAAGAAAAPz8APwAAgAAAAAAAPC/AjLmriXkg66/ArN78rBQawHAAAAAABgAAAD8/AD8AAIAAAAAAADwvwIOT6+UZYjfPwLzH9JvXwf5vwAAAAAYAAAA/PwA/AACAAAAAAAA8L8CzjtO0ZFczj8CjGzn+6nx6L8AAAAAGAAAAPz8APwAAgAAAAAAAPC/AvcGX5hMFfU/AvMf0m9fB/m/AAAAABwAAAD8/AD8AAIAAAAAAADwvwJlqmBUUif5PwKMbOf7qfHovwAAAAAcAAAA/PwA/AACAAAAAAAA8L8CbsX+snvy7D8CWRe30QDe0r8AAAAAGAAAAPz8APwAAgAAAAAAAPC/Am7F/rJ78uw/Av8h/fZ14OA/AAAAABgAAAD8/AD8AAIAAAAAAADwvwLyQc9m1ef5PwIzVTAqqRPuPwAAAAAcAAAA/PwA/AACAAAAAAAA8L8C8kHPZtXn+T8CzV1LyAc9/D8AAAAAGAAAAPz8APwAAgAAAAAAAPC/Am7F/rJ78uw/ArN78rBQawFAAAAAABgAAAD8/AD8AAIAAAAAAADwvwJjf9k9eVjIPwLNXUvIBz38PwAAAAAYAAAA/PwA/AACAAAAAAAA8L8CY3/ZPXlYyD8CM1UwKqkT7j8AAAAAAREAAAD8/AD8AAIAAAAAAADwvwLyQc9m1ef5vwKUGARWDi3kvwAAAAABEQAAAPz8APwAAgAAAAAAAPC/AuVhodY07+a/AigPC7Wmef4/AAAAAAERAAQBZQQAAAAAAAAAAAQIAWUEAAAAAAAAAAAIDAFlBAAAAAAAAAAADBABZQQAAAAAAAAAABAUAWUICAAAAAAAAAAUAAFlBAAAAAAAAAAAEBgBZQQAAAAAAAAAABgcAWUICAAAAAAAAAAcIAFlBAAAAAAAAAAAIBQBZQQAAAAAAAAAACAkAWUEAAAAAAAAAAAkKAFlCAwAAAAAAAAAKCwBZQQAAAAAAAAAACwwAWUICAAAAAAAAAAwNAFlBAAAAAAAAAAANDgBZQgIAAAAAAAAADgkAWUEAAAAAAAAAAAAAAAA</t>
        </r>
      </text>
    </comment>
    <comment ref="A1942" authorId="0" shapeId="0" xr:uid="{50FC4FB7-0ED8-4FD9-9272-9405A32AD16B}">
      <text>
        <r>
          <rPr>
            <sz val="9"/>
            <color indexed="81"/>
            <rFont val="MS P ゴシック"/>
            <family val="3"/>
            <charset val="128"/>
          </rPr>
          <t>Insight iXlW00001C0001942R0585476093S00003882P01104LAocjBAQBF1NjaVRlZ2ljLmRhdGEuTW9sZWN1bGUBbwF/ARJTY2lUZWdpYy5Nb2xlY3VsZQAAAQFkAv5qAQAAAAIAAjggAAAA/PwA/AACAAAAAAAA8L8C33GKjuTy1z8CNYC3QILi8j8AAAAAGAAAAPz8APwAAgAAAAAAAPC/At9xio7k8tc/AgU0ETY8vdY/AAAAABwAAAD8/AD8AAIAAAAAAADwvwLwp8ZLN4nyPwLM7snDQq25PwAAAAAYAAAA/PwA/AACAAAAAAAA8L8C0ETY8PRK+j8CVHQkl/+Q6D8AAAAAHAAAAPz8APwAAgAAAAAAAPC/AvCnxks3ifI/Arraiv1l9/Y/AAAAABwAAAD8/AD8AAIAAAAAAADwvwI6kst/SL8DQAJUdCSX/5DoPwAAAAAYAAAA/PwA/AACAAAAAAAA8L8Cnl4pyxDH0r8C+n5qvHSTwL8AAAAAGAAAAPz8APwAAgAAAAAAAPC/AlJJnYAmwvC/AvnCZKpgVMo/AAAAABgAAAD8/AD8AAIAAAAAAADwvwIAkX77OnD7vwIGEhQ/xtzRvwAAAAAYAAAA/PwA/AACAAAAAAAA8L8CBOeMKO0N+r8CZTvfT42X8b8AAAAAGAAAAPz8APwAAgAAAAAAAPC/Ah6n6Egu/+u/Arraiv1l9/a/AAAAABgAAAD8/AD8AAIAAAAAAADwvwIHX5hMFYzKvwKze/KwUGvuvwAAAAAgAAAA/PwA/AACAAAAAAAA8L8COpLLf0i/A8ACZMxdS8gHrT8AAAAAGAAAAPz8APwAAgAAAAAAAPC/Ahlz1xLywQnAAnWTGARWDtk/AAAAADwABAFlBAAAAAAAAAAABAgBZQgIAAAAAAAAAAgMAWUEAAAAAAAAAAAMEAFlCAgAAAAAAAAAEAABZQQAAAAAAAAAAAwUAWUEAAAAAAAAAAAEGAFlBAAAAAAAAAAAGBwBZQgMAAAAAAAAABwgAWUEAAAAAAAAAAAgJAFlCAgAAAAAAAAAJCgBZQQAAAAAAAAAACgsAWUICAAAAAAAAAAsGAFlBAAAAAAAAAAAMDQBZQQAAAAAAAAAACAwAWUEAAAAAAAAAAAAAAAA</t>
        </r>
      </text>
    </comment>
    <comment ref="A1943" authorId="0" shapeId="0" xr:uid="{22C62B4E-99C1-48B5-90B6-F91127023F72}">
      <text>
        <r>
          <rPr>
            <sz val="9"/>
            <color indexed="81"/>
            <rFont val="MS P ゴシック"/>
            <family val="3"/>
            <charset val="128"/>
          </rPr>
          <t>Insight iXlW00001C0001943R0585476093S00003884P01104LAocjBAQBF1NjaVRlZ2ljLmRhdGEuTW9sZWN1bGUBbwF/ARJTY2lUZWdpYy5Nb2xlY3VsZQAAAQFkAv5qAQAAAAIAAjggAAAA/PwA/AACAAAAAAAA8L8Cdy0hH/Rs0j8ChlrTvOMU9D8AAAAAGAAAAPz8APwAAgAAAAAAAPC/AnctIR/0bNI/AoXrUbgehds/AAAAABwAAAD8/AD8AAIAAAAAAADwvwJHA3gLJCjxPwJnZmZmZmbGPwAAAAAYAAAA/PwA/AACAAAAAAAA8L8CKKCJsOHp+D8C2IFzRpT26j8AAAAAHAAAAPz8APwAAgAAAAAAAPC/AkcDeAskKPE/Ailcj8L1KPg/AAAAABwAAAD8/AD8AAIAAAAAAADwvwKuad5xig4DQALYgXNGlPbqPwAAAAAYAAAA/PwA/AACAAAAAAAA8L8CQfFjzF1L2L8CxbEubqMBrL8AAAAAGAAAAPz8APwAAgAAAAAAAPC/Avvt68A5I/K/Av0Yc9cS8tE/AAAAABgAAAD8/AD8AAIAAAAAAADwvwIa4lgXt9H8vwL77evAOSPKvwAAAAAYAAAA/PwA/AACAAAAAAAA8L8CHjhnRGlv+78ChQ1Pr5Rl8L8AAAAAGAAAAPz8APwAAgAAAAAAAPC/AlJJnYAmwu6/AvhT46WbxPW/AAAAABgAAAD8/AD8AAIAAAAAAADwvwInwoanV8rSvwIRx7q4jQbsvwAAAAAgAAAA/PwA/AACAAAAAAAA8L8CrmnecYoOA8ACKVyPwvUo+L8AAAAAGAAAAPz8APwAAgAAAAAAAPC/AhI2PL1SFgnAAnrHKTqSy/K/AAAAADwABAFlBAAAAAAAAAAABAgBZQgIAAAAAAAAAAgMAWUEAAAAAAAAAAAMEAFlCAgAAAAAAAAAEAABZQQAAAAAAAAAAAwUAWUEAAAAAAAAAAAEGAFlBAAAAAAAAAAAGBwBZQgMAAAAAAAAABwgAWUEAAAAAAAAAAAgJAFlCAgAAAAAAAAAJCgBZQQAAAAAAAAAACgsAWUICAAAAAAAAAAsGAFlBAAAAAAAAAAAMDQBZQQAAAAAAAAAACQwAWUEAAAAAAAAAAAAAAAA</t>
        </r>
      </text>
    </comment>
    <comment ref="A1944" authorId="0" shapeId="0" xr:uid="{9A92C75A-87E4-4CFD-9455-61A2701DB333}">
      <text>
        <r>
          <rPr>
            <sz val="9"/>
            <color indexed="81"/>
            <rFont val="MS P ゴシック"/>
            <family val="3"/>
            <charset val="128"/>
          </rPr>
          <t>Insight iXlW00001C0001944R0585476093S00003886P01460LAocjBAQBF1NjaVRlZ2ljLmRhdGEuTW9sZWN1bGUBbwF/ARJTY2lUZWdpYy5Nb2xlY3VsZQAAAQFkAv5qAQAAAAIAAgETGAAAAPz8APwAAgAAAAAAAPC/AjQRNjy9Uoa/Ai6QoPgx5tI/AAAAABgAAAD8/AD8AAIAAAAAAADwvwK2hHzQs1nnvwK4rwPnjCi9vwAAAAAYAAAA/PwA/AACAAAAAAAA8L8CV32utmJ/578CK4cW2c737b8AAAAAARAAAAD8/AD8AAIAAAAAAADwvwI0ETY8vVKWvwKKsOHplbL1vwAAAAAYAAAA/PwA/AACAAAAAAAA8L8CJEp7gy9M5j8Cm+Ydp+hI7r8AAAAAGAAAAPz8APwAAgAAAAAAAPC/AsgpOpLLf+Y/AljKMsSxLr6/AAAAABgAAAD8/AD8AAIAAAAAAADwvwIsZRniWBfnvwLCFyZTBaPmPwAAAAAYAAAA/PwA/AACAAAAAAAA8L8CtTf4wmSq5j8CGuJYF7fR5j8AAAAAGAAAAPz8APwAAgAAAAAAAPC/AkhQ/Bhz1/Y/AkqdgCbChtM/AAAAACAAAAD8/AD8AAIAAAAAAADwvwKNuWsJ+SABQAJBE2HD0yvnPwAAAAAgAAAA/PwA/AACAAAAAAAA8L8CG8BbIEHx9j8CMLsnDwu14L8AAAAAIAAAAPz8APwAAgAAAAAAAPC/ArhAguLHmOO/ApoqGJXUCf+/AAAAACAAAAD8/AD8AAIAAAAAAADwvwK06nO1FfvhPwKaKhiV1An/vwAAAAAYAAAA/PwA/AACAAAAAAAA8L8CYeXQItv55r8CU5YhjnVx+D8AAAAAGAAAAPz8APwAAgAAAAAAAPC/Au9aQj7o2fa/ApoqGJXUCf8/AAAAABgAAAD8/AD8AAIAAAAAAADwvwKNuWsJ+SABwAJ7FK5H4Xr4PwAAAAAYAAAA/PwA/AACAAAAAAAA8L8C5q4l5IMeAcACu0kMAiuH5j8AAAAAGAAAAPz8APwAAgAAAAAAAPC/AjtwzojS3va/AgMJih9j7tI/AAAAACQAAAD8/AD8AAIAAAAAAADwvwAC8x/Sb18H/z8AAAAAARQABAFlBAAAAAAAAAAAABQBZQQAAAAAAAAAAAQIAWUEAAAAAAAAAAAIDAFlBAAAAAAAAAAADBABZQQAAAAAAAAAABAUAWUEAAAAAAAAAAAYAAFlBAAAAAAAAAAAABwBZQQAAAAAAAAAABwgAWUEAAAAAAAAAAAgJAFlBAAAAAAAAAAAICgBZQgAAAAAAAAAAAwsAWUIAAAAAAAAAAAMMAFlCAAAAAAAAAAAGDQBZQgMAAAAAAAAADQ4AWUEAAAAAAAAAAA4PAFlCAgAAAAAAAAAPAEQAWUEAAAAAAAAAAABEAERAWUICAAAAAAAAAABERgBZQQAAAAAAAAAADQBEgFlBAAAAAAAAAAAAAAAAA==</t>
        </r>
      </text>
    </comment>
    <comment ref="A1945" authorId="0" shapeId="0" xr:uid="{585143DD-AB3E-45FD-8B06-894DDC69616E}">
      <text>
        <r>
          <rPr>
            <sz val="9"/>
            <color indexed="81"/>
            <rFont val="MS P ゴシック"/>
            <family val="3"/>
            <charset val="128"/>
          </rPr>
          <t>Insight iXlW00001C0001945R0585476093S00003888P01392LAocjBAQBF1NjaVRlZ2ljLmRhdGEuTW9sZWN1bGUBbwF/ARJTY2lUZWdpYy5Nb2xlY3VsZQAAAQFkAv5qAQAAAAIAAgESHAAAAPz8APwAAgAAAAAAAPC/AkXY8PRKWfa/Agkbnl4py+S/AAAAABgAAAD8/AD8AAIAAAAAAADwvwJF2PD0Sln2vwKamZmZmZn3vwAAAAAYAAAA/PwA/AACAAAAAAAA8L8C1udqK/aX478CPZtVn6ut+78AAAAAGAAAAPz8APwAAgAAAAAAAPC/AlK4HoXrUcC/Ao9TdCSX//C/AAAAABwAAAD8/AD8AAIAAAAAAADwvwLW52or9pfjvwLAfR04Z0TZvwAAAAAYAAAA/PwA/AACAAAAAAAA8L8CWRe30QDe1r8CQz7o2az62D8AAAAAGAAAAPz8APwAAgAAAAAAAPC/AjQRNjy9UuY/Ao9TdCSX//C/AAAAABgAAAD8/AD8AAIAAAAAAADwvwKRfvs6cM7cPwIN4C2QoPjhPwAAAAAYAAAA/PwA/AACAAAAAAAA8L8CZMxdS8gH8D8Cs3vysFBrqr8AAAAAGAAAAPz8APwAAgAAAAAAAPC/AlAeFmpN8/w/AobJVMGopL4/AAAAABgAAAD8/AD8AAIAAAAAAADwvwL6D+m3r4MAQAIydy0hH/TsPwAAAAAYAAAA/PwA/AACAAAAAAAA8L8CjSjtDb4w+D8CfT81XrpJ+D8AAAAAGAAAAPz8APwAAgAAAAAAAPC/AnIbDeAtkOY/AmFUUiegifU/AAAAACAAAAD8/AD8AAIAAAAAAADwvwKWsgxxrIvDPwJ6Nqs+V1v/PwAAAAAYAAAA/PwA/AACAAAAAAAA8L8CYcPTK2UZ2j8CoyO5/If0BUAAAAAAGAAAAPz8APwAAgAAAAAAAPC/AvoP6bevgwDAAno2qz5XW/+/AAAAACAAAAD8/AD8AAIAAAAAAADwvwLtL7snD4sGwAIH8BZIUPz5vwAAAAAgAAAA/PwA/AACAAAAAAAA8L8CvCcPC7Wm/78C54wo7Q0+BsAAAAAAARMABAFlCAgAAAAAAAAABAgBZQQAAAAAAAAAAAgMAWUICAAAAAAAAAAMEAFlBAAAAAAAAAAAEAABZQQAAAAAAAAAABAUAWUEAAAAAAAAAAAMGAFlBAAAAAAAAAAAFBwBZQQAAAAAAAAAABwgAWUIDAAAAAAAAAAgJAFlBAAAAAAAAAAAJCgBZQgIAAAAAAAAACgsAWUEAAAAAAAAAAAsMAFlCAgAAAAAAAAAMBwBZQQAAAAAAAAAADQ4AWUEAAAAAAAAAAAwNAFlBAAAAAAAAAAAPAEQAWUIAAAAAAAAAAA8AREBZQQAAAAAAAAAAAQ8AWUEAAAAAAAAAAAAAAAA</t>
        </r>
      </text>
    </comment>
    <comment ref="A1946" authorId="0" shapeId="0" xr:uid="{B22484B6-813A-44EB-A5E1-C1DF60ACC951}">
      <text>
        <r>
          <rPr>
            <sz val="9"/>
            <color indexed="81"/>
            <rFont val="MS P ゴシック"/>
            <family val="3"/>
            <charset val="128"/>
          </rPr>
          <t>Insight iXlW00001C0001946R0585476093S00003890P01396LAocjBAQBF1NjaVRlZ2ljLmRhdGEuTW9sZWN1bGUBbwF/ARJTY2lUZWdpYy5Nb2xlY3VsZQAAAQFkAv5qAQAAAAIAAgESGAAAAPz8APwAAgAAAAAAAPC/Ak2mCkYldei/AoJzRpT2BuW/AAAAABgAAAD8/AD8AAIAAAAAAADwvwJRa5p3nKLhvwJP0ZFc/kP3vwAAAAAYAAAA/PwA/AACAAAAAAAA8L8Ckst/SL990T8CwcqhRbbz978AAAAAHAAAAPz8APwAAgAAAAAAAPC/Aoc41sVtNOI/At0kBoGVQ+e/AAAAABwAAAD8/AD8AAIAAAAAAADwvwLCFyZTBaOyvwI6tMh2vp/KvwAAAAAYAAAA/PwA/AACAAAAAAAA8L8CPSzUmuYd5z8CiWNd3EaDAcAAAAAAGAAAAPz8APwAAgAAAAAAAPC/Aq5p3nGKjvi/AopBYOXQIte/AAAAACAAAAD8/AD8AAIAAAAAAADwvwJj7lpCPmgBwAJ2cRsN4C3svwAAAAAgAAAA/PwA/AACAAAAAAAA8L8C564l5IOe+r8CVAWjkjoB3T8AAAAAGAAAAPz8APwAAgAAAAAAAPC/Ap88LNSa5p2/AqFns+pzteM/AAAAABgAAAD8/AD8AAIAAAAAAADwvwKgibDh6ZXmPwL7XG3F/rLvPwAAAAAYAAAA/PwA/AACAAAAAAAA8L8CIUHxY8xd9j8Cpb3BFyZT4T8AAAAAGAAAAPz8APwAAgAAAAAAAPC/Aqrx0k1iEAFAArOd76fGS+0/AAAAABgAAAD8/AD8AAIAAAAAAADwvwJj7lpCPmgBQAIxmSoYldT7PwAAAAAYAAAA/PwA/AACAAAAAAAA8L8C54wo7Q2+9z8CiWNd3EaDAUAAAAAAGAAAAPz8APwAAgAAAAAAAPC/AmfV52or9uc/AmTMXUvIB/0/AAAAACAAAAD8/AD8AAIAAAAAAADwvwIIPZtVn6v1PwJR/Bhz1xLSvwAAAAAYAAAA/PwA/AACAAAAAAAA8L8CrBxaZDtfAEACyzLEsS5u578AAAAAARMABAFlCAgAAAAAAAAABAgBZQQAAAAAAAAAAAgMAWUICAAAAAAAAAAMEAFlBAAAAAAAAAAAEAABZQQAAAAAAAAAAAgUAWUEAAAAAAAAAAAAGAFlBAAAAAAAAAAAGBwBZQQAAAAAAAAAABggAWUIAAAAAAAAAAAQJAFlBAAAAAAAAAAAJCgBZQQAAAAAAAAAACgsAWUIDAAAAAAAAAAsMAFlBAAAAAAAAAAAMDQBZQgIAAAAAAAAADQ4AWUEAAAAAAAAAAA4PAFlCAgAAAAAAAAAPCgBZQQAAAAAAAAAACwBEAFlBAAAAAAAAAAAARABEQFlBAAAAAAAAAAAAAAAAA==</t>
        </r>
      </text>
    </comment>
    <comment ref="A1947" authorId="0" shapeId="0" xr:uid="{CF468482-8434-4F2B-B8D6-32D1F74E7221}">
      <text>
        <r>
          <rPr>
            <sz val="9"/>
            <color indexed="81"/>
            <rFont val="MS P ゴシック"/>
            <family val="3"/>
            <charset val="128"/>
          </rPr>
          <t>Insight iXlW00001C0001947R0585476093S00003892P01104LAocjBAQBF1NjaVRlZ2ljLmRhdGEuTW9sZWN1bGUBbwF/ARJTY2lUZWdpYy5Nb2xlY3VsZQAAAQFkAv5qAQAAAAIAAjgYAAAA/PwA/AACAAAAAAAA8L8CXynLEMe6qL8CjpduEoPA2j8AAAAAHAAAAPz8APwAAgAAAAAAAPC/AjC7Jw8Lteg/ArK/7J48LOA/AAAAABgAAAD8/AD8AAIAAAAAAADwvwK1pnnHKTruPwLLoUW28/30PwAAAAAcAAAA/PwA/AACAAAAAAAA8L8CMEymCkYlzT8CXkvIBz2b+z8AAAAAIAAAAPz8APwAAgAAAAAAAPC/AvOwUGuad9i/ApSHhVrTvPI/AAAAABwAAAD8/AD8AAIAAAAAAADwvwIjbHh6pSz7PwKwlGWIY136PwAAAAAYAAAA/PwA/AACAAAAAAAA8L8CRrbz/dR43b8CJZf/kH770r8AAAAAGAAAAPz8APwAAgAAAAAAAPC/AsUgsHJokfS/AiWX/5B++9K/AAAAABgAAAD8/AD8AAIAAAAAAADwvwIjbHh6pSz7vwJYyjLEsS7wvwAAAAAYAAAA/PwA/AACAAAAAAAA8L8CxSCwcmiR9L8CXkvIBz2b+78AAAAAGAAAAPz8APwAAgAAAAAAAPC/Aka28/3UeN2/Al5LyAc9m/u/AAAAABgAAAD8/AD8AAIAAAAAAADwvwJfKcsQx7qovwJYyjLEsS7wvwAAAAAgAAAA/PwA/AACAAAAAAAA8L8CI2x4eqUs+78CjpduEoPA2j8AAAAAGAAAAPz8APwAAgAAAAAAAPC/AlpkO99PjfS/ApoIG55eKfI/AAAAADwABAFlCAgAAAAAAAAABAgBZQQAAAAAAAAAAAgMAWUICAAAAAAAAAAMEAFlBAAAAAAAAAAAEAABZQQAAAAAAAAAAAgUAWUEAAAAAAAAAAAAGAFlBAAAAAAAAAAAGBwBZQgMAAAAAAAAABwgAWUEAAAAAAAAAAAgJAFlCAgAAAAAAAAAJCgBZQQAAAAAAAAAACgsAWUICAAAAAAAAAAsGAFlBAAAAAAAAAAAMDQBZQQAAAAAAAAAABwwAWUEAAAAAAAAAAAAAAAA</t>
        </r>
      </text>
    </comment>
    <comment ref="A1948" authorId="0" shapeId="0" xr:uid="{355819F7-34BC-452B-9B5B-FB9D98B40BDC}">
      <text>
        <r>
          <rPr>
            <sz val="9"/>
            <color indexed="81"/>
            <rFont val="MS P ゴシック"/>
            <family val="3"/>
            <charset val="128"/>
          </rPr>
          <t>Insight iXlW00001C0001948R0585476093S00003894P01088LAocjBAQBF1NjaVRlZ2ljLmRhdGEuTW9sZWN1bGUBbwF/ARJTY2lUZWdpYy5Nb2xlY3VsZQAAAQFkAv5qAQAAAAIAAjgYAAAA/PwA/AACAAAAAAAA8L8Cd76fGi/dzL8C24r9Zffk1b8AAAAAGAAAAPz8APwAAgAAAAAAAPC/AkHxY8xdS+I/Av9D+u3rwOG/AAAAABwAAAD8/AD8AAIAAAAAAADwvwIWak3zjlPwPwKamZmZmZnBPwAAAAAYAAAA/PwA/AACAAAAAAAA8L8Ca7x0kxgE4D8CxNMrZRni6D8AAAAAGAAAAPz8APwAAgAAAAAAAPC/AmKh1jTvONG/AnTXEvJBz94/AAAAABgAAAD8/AD8AAIAAAAAAADwvwJPr5RliGPNvwLM7snDQq3yvwAAAAAYAAAA/PwA/AACAAAAAAAA8L8CcT0K16Nw+r8Cbef7qfHS1b8AAAAAHAAAAPz8APwAAgAAAAAAAPC/AnE9CtejcPq/ApeQD3o2q/K/AAAAABgAAAD8/AD8AAIAAAAAAADwvwKMSuoENBHuvwItQxzr4jb5vwAAAAAYAAAA/PwA/AACAAAAAAAA8L8CjErqBDQR7r8C/Yf029eBsz8AAAAAIAAAAPz8APwAAgAAAAAAAPC/AkhQ/Bhz1+Y/Ai1DHOviNvk/AAAAACAAAAD8/AD8AAIAAAAAAADwvwKYbhKDwMrrPwLaPXlYqDX1vwAAAAAYAAAA/PwA/AACAAAAAAAA8L8ChutRuB6F/T8C5x2n6Eguxz8AAAAAAREAAAD8/AD8AAIAAAAAAADwvwKG61G4HoX9vwJ88rBQa5rjPwAAAAA4AAQBZQQAAAAAAAAAAAQIAWUEAAAAAAAAAAAIDAFlBAAAAAAAAAAADBABZQQAAAAAAAAAABAAAWUEAAAAAAAAAAAYHAFlBAAAAAAAAAAAGCQBZQQAAAAAAAAAABwgAWUEAAAAAAAAAAAgFAFlBAAAAAAAAAAAFAABZQQAAAAAAAAAAAAkAWUEAAAAAAAAAAAMKAFlCAAAAAAAAAAABCwBZQgAAAAAAAAAAAgwAWUEAAAAAAAAAAAAAAAA</t>
        </r>
      </text>
    </comment>
    <comment ref="A1949" authorId="0" shapeId="0" xr:uid="{35A7BB8D-0BF8-496B-800B-1C0CEA482FB1}">
      <text>
        <r>
          <rPr>
            <sz val="9"/>
            <color indexed="81"/>
            <rFont val="MS P ゴシック"/>
            <family val="3"/>
            <charset val="128"/>
          </rPr>
          <t>Insight iXlW00001C0001949R0585476093S00003896P00964LAocjBAQBF1NjaVRlZ2ljLmRhdGEuTW9sZWN1bGUBbwF/ARJTY2lUZWdpYy5Nb2xlY3VsZQAAAQFkAv5qAQAAAAIAAjAYAAAA/PwA/AACAAAAAAAA8L8CEHo2qz5X078CjgbwFkhQrD8AAAAAGAAAAPz8APwAAgAAAAAAAPC/AhB6Nqs+V9O/AuC+Dpwzoui/AAAAABwAAAD8/AD8AAIAAAAAAADwvwKze/KwUGvaPwIK+aBns+ryvwAAAAAYAAAA/PwA/AACAAAAAAAA8L8CKH6MuWsJ8j8C4L4OnDOi6L8AAAAAGAAAAPz8APwAAgAAAAAAAPC/Aih+jLlrCfI/Ao4G8BZIUKw/AAAAABwAAAD8/AD8AAIAAAAAAADwvwKze/KwUGvaPwI5Z0Rpb/DdPwAAAAAYAAAA/PwA/AACAAAAAAAA8L8CwH0dOGdE8L8COWdEaW/w3T8AAAAAGAAAAPz8APwAAgAAAAAAAPC/AlkXt9EA3va/Agr5oGez6vI/AAAAABgAAAD8/AD8AAIAAAAAAADwvwLzsFBrmnf9vwI5Z0Rpb/DdPwAAAAAYAAAA/PwA/AACAAAAAAAA8L8C87BQa5p3/T8COWdEaW/w3T8AAAAAIAAAAPz8APwAAgAAAAAAAPC/AhdIUPwYcwRAArCUZYhjXaw/AAAAACAAAAD8/AD8AAIAAAAAAADwvwLzsFBrmnf9PwICTYQNT6/0PwAAAAA0AAQBZQgIAAAAAAAAAAQIAWUEAAAAAAAAAAAIDAFlCAgAAAAAAAAADBABZQQAAAAAAAAAABAUAWUICAAAAAAAAAAUAAFlBAAAAAAAAAAAABgBZQQAAAAAAAAAABgcAWUEAAAAAAAAAAAcIAFlBAAAAAAAAAAAIBgBZQQAAAAAAAAAACQoAWUIAAAAAAAAAAAkLAFlBAAAAAAAAAAAECQBZQQAAAAAAAAAAAAAAAA=</t>
        </r>
      </text>
    </comment>
    <comment ref="A1950" authorId="0" shapeId="0" xr:uid="{F05CA093-034C-4FE3-8A67-543FAA31B082}">
      <text>
        <r>
          <rPr>
            <sz val="9"/>
            <color indexed="81"/>
            <rFont val="MS P ゴシック"/>
            <family val="3"/>
            <charset val="128"/>
          </rPr>
          <t>Insight iXlW00001C0001950R0585476093S00003898P01320LAocjBAQBF1NjaVRlZ2ljLmRhdGEuTW9sZWN1bGUBbwF/ARJTY2lUZWdpYy5Nb2xlY3VsZQAAAQFkAv5qAQAAAAIAAgERHAAAAPz8APwAAgAAAAAAAPC/ArAD54wo7fG/AifChqdXyuS/AAAAABgAAAD8/AD8AAIAAAAAAADwvwKwA+eMKO3xvwK4QILix5j3vwAAAAAYAAAA/PwA/AACAAAAAAAA8L8CGy/dJAaB1b8CW0I+6Nms+78AAAAAGAAAAPz8APwAAgAAAAAAAPC/AkYldQKaCMM/Ah6n6Egu//C/AAAAABwAAAD8/AD8AAIAAAAAAADwvwIbL90kBoHVvwL7y+7Jw0LZvwAAAAAYAAAA/PwA/AACAAAAAAAA8L8CNKK0N/jCtL8Cfoy5awn52D8AAAAAGAAAAPz8APwAAgAAAAAAAPC/ApoIG55eKe8/Ah6n6Egu//C/AAAAABgAAAD8/AD8AAIAAAAAAADwvwLnHafoSC72PwKKH2PuWkLWvwAAAAAYAAAA/PwA/AACAAAAAAAA8L8Cr7Zif9k95z8CK4cW2c734T8AAAAAGAAAAPz8APwAAgAAAAAAAPC/Ava52or9Ze8/An/7OnDOiPU/AAAAABgAAAD8/AD8AAIAAAAAAADwvwJTliGOdXHbPwInMQisHFr/PwAAAAAYAAAA/PwA/AACAAAAAAAA8L8CD5wzorQ32L8CC0YldQKa/D8AAAAAGAAAAPz8APwAAgAAAAAAAPC/AjEqqRPQROS/ApM6AU2EDfA/AAAAACQAAAD8/AD8AAIAAAAAAADwvwJeS8gHPZv8PwKb5h2n6Ej4PwAAAAAYAAAA/PwA/AACAAAAAAAA8L8CXkvIBz2b/L8CJzEIrBxa/78AAAAAIAAAAPz8APwAAgAAAAAAAPC/AqJFtvP9VATAArTqc7UV+/m/AAAAACAAAAD8/AD8AAIAAAAAAADwvwKY/5B++zr7vwI+CtejcD0GwAAAAAABEgAEAWUICAAAAAAAAAAECAFlBAAAAAAAAAAACAwBZQgIAAAAAAAAAAwQAWUEAAAAAAAAAAAQAAFlBAAAAAAAAAAAEBQBZQQAAAAAAAAAAAwYAWUEAAAAAAAAAAAYHAFlBAAAAAAAAAAAFCABZQgMAAAAAAAAACAkAWUEAAAAAAAAAAAkKAFlCAgAAAAAAAAAKCwBZQQAAAAAAAAAACwwAWUICAAAAAAAAAAwFAFlBAAAAAAAAAAAJDQBZQQAAAAAAAAAADg8AWUIAAAAAAAAAAA4ARABZQQAAAAAAAAAAAQ4AWUEAAAAAAAAAAAAAAAA</t>
        </r>
      </text>
    </comment>
    <comment ref="A1951" authorId="0" shapeId="0" xr:uid="{A78387C8-3B19-4829-A880-A343D14C2394}">
      <text>
        <r>
          <rPr>
            <sz val="9"/>
            <color indexed="81"/>
            <rFont val="MS P ゴシック"/>
            <family val="3"/>
            <charset val="128"/>
          </rPr>
          <t>Insight iXlW00001C0001951R0585476093S00003900P01320LAocjBAQBF1NjaVRlZ2ljLmRhdGEuTW9sZWN1bGUBbwF/ARJTY2lUZWdpYy5Nb2xlY3VsZQAAAQFkAv5qAQAAAAIAAgERHAAAAPz8APwAAgAAAAAAAPC/AunZrPpcbe2/Agg9m1Wfq/C/AAAAABgAAAD8/AD8AAIAAAAAAADwvwLp2az6XG3tvwI7cM6I0t79vwAAAAAYAAAA/PwA/AACAAAAAAAA8L8CWag1zTtOwb8CYOXQItv5AMAAAAAAGAAAAPz8APwAAgAAAAAAAPC/ApLtfD81XtY/AqLWNO84Rfe/AAAAABwAAAD8/AD8AAIAAAAAAADwvwJZqDXNO07BvwLJdr6fGi/pvwAAAAAYAAAA/PwA/AACAAAAAAAA8L8ChslUwaikvj8C/Knx0k1iYL8AAAAAGAAAAPz8APwAAgAAAAAAAPC/Agkbnl4py/I/AqLWNO84Rfe/AAAAABgAAAD8/AD8AAIAAAAAAADwvwKjtDf4wmT5PwKuR+F6FK7nvwAAAAAYAAAA/PwA/AACAAAAAAAA8L8CJuSDns2q7T8CCD2bVZ+rxT8AAAAAGAAAAPz8APwAAgAAAAAAAPC/Arfz/dR46fI/AhQ/xty1hO4/AAAAABgAAAD8/AD8AAIAAAAAAADwvwKh+DHmriXkPwIzVTAqqRP5PwAAAAAYAAAA/PwA/AACAAAAAAAA8L8CQYLix5i7xr8CFmpN845T9j8AAAAAGAAAAPz8APwAAgAAAAAAAPC/AnP5D+m3r9u/AlpkO99PjeM/AAAAACQAAAD8/AD8AAIAAAAAAADwvwKsrdhfdk/sPwKOBvAWSNACQAAAAAAYAAAA/PwA/AACAAAAAAAA8L8Co7Q3+MJk+b8CjgbwFkjQAsAAAAAAIAAAAPz8APwAAgAAAAAAAPC/AkT67evAuQLAAhwN4C2QIADAAAAAACAAAAD8/AD8AAIAAAAAAADwvwLcaABvgQT4vwI4+MJkqmAJwAAAAAABEgAEAWUICAAAAAAAAAAECAFlBAAAAAAAAAAACAwBZQgIAAAAAAAAAAwQAWUEAAAAAAAAAAAQAAFlBAAAAAAAAAAAEBQBZQQAAAAAAAAAAAwYAWUEAAAAAAAAAAAYHAFlBAAAAAAAAAAAFCABZQgMAAAAAAAAACAkAWUEAAAAAAAAAAAkKAFlCAgAAAAAAAAAKCwBZQQAAAAAAAAAACwwAWUICAAAAAAAAAAwFAFlBAAAAAAAAAAAKDQBZQQAAAAAAAAAADg8AWUIAAAAAAAAAAA4ARABZQQAAAAAAAAAAAQ4AWUEAAAAAAAAAAAAAAAA</t>
        </r>
      </text>
    </comment>
    <comment ref="A1952" authorId="0" shapeId="0" xr:uid="{1B091E6F-F80C-42BD-BC65-BCF128DDBA88}">
      <text>
        <r>
          <rPr>
            <sz val="9"/>
            <color indexed="81"/>
            <rFont val="MS P ゴシック"/>
            <family val="3"/>
            <charset val="128"/>
          </rPr>
          <t>Insight iXlW00001C0001952R0585476093S00003902P01320LAocjBAQBF1NjaVRlZ2ljLmRhdGEuTW9sZWN1bGUBbwF/ARJTY2lUZWdpYy5Nb2xlY3VsZQAAAQFkAv5qAQAAAAIAAgERGAAAAPz8APwAAgAAAAAAAPC/AoG3QILix9y/Apf/kH77Oua/AAAAABgAAAD8/AD8AAIAAAAAAADwvwJpke18PzXOvwLoaiv2l933vwAAAAAYAAAA/PwA/AACAAAAAAAA8L8Cc9cS8kHP4j8CyxDHuriN+L8AAAAAHAAAAPz8APwAAgAAAAAAAPC/AjEqqRPQROw/AvOwUGuad+i/AAAAABwAAAD8/AD8AAIAAAAAAADwvwL6D+m3rwPPPwLUK2UZ4ljPvwAAAAAYAAAA/PwA/AACAAAAAAAA8L8CZTvfT42X8D8CVTAqqRPQAcAAAAAAGAAAAPz8APwAAgAAAAAAAPC/AjLmriXkg/O/AvCnxks3idm/AAAAACAAAAD8/AD8AAIAAAAAAADwvwJLWYY41sX9vwKppE5AE2HtvwAAAAAgAAAA/PwA/AACAAAAAAAA8L8Cayv2l92T9b8CwhcmUwWj2j8AAAAAGAAAAPz8APwAAgAAAAAAAPC/AoofY+5aQtI/Atnw9EpZhuI/AAAAABgAAAD8/AD8AAIAAAAAAADwvwIWak3zjlPwPwLm0CLb+X7uPwAAAAAYAAAA/PwA/AACAAAAAAAA8L8CL26jAbwF8T8CcT0K16Nw/D8AAAAAGAAAAPz8APwAAgAAAAAAAPC/AnrHKTqSy9c/AlUwKqkT0AFAAAAAABgAAAD8/AD8AAIAAAAAAADwvwKRD3o2qz7XvwJvEoPAyqH9PwAAAAAYAAAA/PwA/AACAAAAAAAA8L8Ct9EA3gIJ2r8CF0hQ/Bhz8D8AAAAAJAAAAPz8APwAAgAAAAAAAPC/AmMQWDm0yPw/AryWkA96NgFAAAAAABgAAAD8/AD8AAIAAAAAAADwvwJLWYY41sX9PwJJLv8h/XYBwAAAAAABEgAEAWUICAAAAAAAAAAECAFlBAAAAAAAAAAACAwBZQgIAAAAAAAAAAwQAWUEAAAAAAAAAAAQAAFlBAAAAAAAAAAACBQBZQQAAAAAAAAAAAAYAWUEAAAAAAAAAAAYHAFlBAAAAAAAAAAAGCABZQgAAAAAAAAAABAkAWUEAAAAAAAAAAAkKAFlCAwAAAAAAAAAKCwBZQQAAAAAAAAAACwwAWUICAAAAAAAAAAwNAFlBAAAAAAAAAAANDgBZQgIAAAAAAAAADgkAWUEAAAAAAAAAAAsPAFlBAAAAAAAAAAAFAEQAWUEAAAAAAAAAAAAAAAA</t>
        </r>
      </text>
    </comment>
    <comment ref="A1953" authorId="0" shapeId="0" xr:uid="{37F58AC5-3F69-4A1B-85D0-654A85888828}">
      <text>
        <r>
          <rPr>
            <sz val="9"/>
            <color indexed="81"/>
            <rFont val="MS P ゴシック"/>
            <family val="3"/>
            <charset val="128"/>
          </rPr>
          <t>Insight iXlW00001C0001953R0585476093S00003904P01320LAocjBAQBF1NjaVRlZ2ljLmRhdGEuTW9sZWN1bGUBbwF/ARJTY2lUZWdpYy5Nb2xlY3VsZQAAAQFkAv5qAQAAAAIAAgERGAAAAPz8APwAAgAAAAAAAPC/AoG3QILix9y/Ar8OnDOitPG/AAAAABgAAAD8/AD8AAIAAAAAAADwvwJpke18PzXOvwLc+X5qvHT+vwAAAAAYAAAA/PwA/AACAAAAAAAA8L8Cc9cS8kHP4j8Cv58aL90k/78AAAAAHAAAAPz8APwAAgAAAAAAAPC/AjEqqRPQROw/Am3n+6nx0vK/AAAAABwAAAD8/AD8AAIAAAAAAADwvwL6D+m3rwPPPwIofoy5awnlvwAAAAAYAAAA/PwA/AACAAAAAAAA8L8CZTvfT42X8D8CCM4ZUdobBcAAAAAAGAAAAPz8APwAAgAAAAAAAPC/AjLmriXkg/O/AsHKoUW28+m/AAAAACAAAAD8/AD8AAIAAAAAAADwvwJLWYY41sX9vwJI4XoUrkf1vwAAAAAgAAAA/PwA/AACAAAAAAAA8L8CETY8vVKW9b8CrK3YX3ZPbj8AAAAAGAAAAPz8APwAAgAAAAAAAPC/AoofY+5aQtI/ApX2Bl+YTMU/AAAAABgAAAD8/AD8AAIAAAAAAADwvwIWak3zjlPwPwL/snvysFDhPwAAAAAYAAAA/PwA/AACAAAAAAAA8L8CiWNd3EYD8T8C16NwPQrX9T8AAAAAGAAAAPz8APwAAgAAAAAAAPC/AnrHKTqSy9c/ArfRAN4CCf0/AAAAABgAAAD8/AD8AAIAAAAAAADwvwKRD3o2qz7XvwIL16NwPQr3PwAAAAAYAAAA/PwA/AACAAAAAAAA8L8Ct9EA3gIJ2r8CSHL5D+m34z8AAAAAJAAAAPz8APwAAgAAAAAAAPC/AgdfmEwVjNo/AgjOGVHaGwVAAAAAABgAAAD8/AD8AAIAAAAAAADwvwJLWYY41sX9PwLD9Shcj8IEwAAAAAABEgAEAWUICAAAAAAAAAAECAFlBAAAAAAAAAAACAwBZQgIAAAAAAAAAAwQAWUEAAAAAAAAAAAQAAFlBAAAAAAAAAAACBQBZQQAAAAAAAAAAAAYAWUEAAAAAAAAAAAYHAFlBAAAAAAAAAAAGCABZQgAAAAAAAAAABAkAWUEAAAAAAAAAAAkKAFlCAwAAAAAAAAAKCwBZQQAAAAAAAAAACwwAWUICAAAAAAAAAAwNAFlBAAAAAAAAAAANDgBZQgIAAAAAAAAADgkAWUEAAAAAAAAAAAwPAFlBAAAAAAAAAAAFAEQAWUEAAAAAAAAAAAAAAAA</t>
        </r>
      </text>
    </comment>
    <comment ref="A1954" authorId="0" shapeId="0" xr:uid="{6DAE8AF7-DAAB-443F-95AE-EEEEE1CAC2F6}">
      <text>
        <r>
          <rPr>
            <sz val="9"/>
            <color indexed="81"/>
            <rFont val="MS P ゴシック"/>
            <family val="3"/>
            <charset val="128"/>
          </rPr>
          <t>Insight iXlW00001C0001954R0585476093S00003906P01072LAocjBAQBF1NjaVRlZ2ljLmRhdGEuTW9sZWN1bGUBbwF/ARJTY2lUZWdpYy5Nb2xlY3VsZQAAAQFkAv5qAQAAAAIAAjgYAAAA/PwA/AACAAAAAAAA8L8CxY8xdy0hAcACSFD8GHPXYj8AAAAAGAAAAPz8APwAAgAAAAAAAPC/AsWPMXctIQHAAvnCZKpgVOq/AAAAABgAAAD8/AD8AAIAAAAAAADwvwJPQBNhw9P2vwIW+8vuycPzvwAAAAAYAAAA/PwA/AACAAAAAAAA8L8CJ8KGp1fK5r8C+cJkqmBU6r8AAAAAGAAAAPz8APwAAgAAAAAAAPC/AifChqdXyua/AkhQ/Bhz12I/AAAAABgAAAD8/AD8AAIAAAAAAADwvwIwuycPC7X2vwLGbTSAt0DaPwAAAAAYAAAA/PwA/AACAAAAAAAA8L8CSFD8GHPXYj8CB1+YTBWM2j8AAAAAGAAAAPz8APwAAgAAAAAAAPC/Ane+nxov3eY/AmAHzhlR2ms/AAAAABgAAAD8/AD8AAIAAAAAAADwvwJPQBNhw9P2PwKMSuoENBHavwAAAAAYAAAA/PwA/AACAAAAAAAA8L8C1XjpJjEI8j8CYeXQItv55j8AAAAAGAAAAPz8APwAAgAAAAAAAPC/AsNkqmBUUtM/AnDwhclUwea/AAAAABwAAAD8/AD8AAIAAAAAAADwvwLFjzF3LSEBQAKV9gZfmEx1PwAAAAABEQAAAPz8APwAAgAAAAAAAPC/Ai3UmuYdp/a/Ahb7y+7Jw/M/AAAAAAERAAAA/PwA/AACAAAAAAAA8L8CIo51cRsNAUACmN2Th4Va7b8AAAAANAAEAWUICAAAAAAAAAAECAFlBAAAAAAAAAAACAwBZQgIAAAAAAAAAAwQAWUEAAAAAAAAAAAQFAFlCAgAAAAAAAAAFAABZQQAAAAAAAAAABAYAWUEAAAAAAAAAAAYHAFlBAAAAAAAAAAAHCABZQQAAAAAAAAAABwkAWUEAAAAAAAAAAAcKAFlBAAAAAAAAAAAICwBZQQAAAAAAAAAABQwAWUEAAAAAAAAAAAAAAAA</t>
        </r>
      </text>
    </comment>
    <comment ref="A1955" authorId="0" shapeId="0" xr:uid="{74060602-7E7D-4123-AB30-0B941C16A493}">
      <text>
        <r>
          <rPr>
            <sz val="9"/>
            <color indexed="81"/>
            <rFont val="MS P ゴシック"/>
            <family val="3"/>
            <charset val="128"/>
          </rPr>
          <t>Insight iXlW00001C0001955R0585476093S00003908P01072LAocjBAQBF1NjaVRlZ2ljLmRhdGEuTW9sZWN1bGUBbwF/ARJTY2lUZWdpYy5Nb2xlY3VsZQAAAQFkAv5qAQAAAAIAAjgYAAAA/PwA/AACAAAAAAAA8L8CtFn1udqK/L8CTmIQWDm00D8AAAAAGAAAAPz8APwAAgAAAAAAAPC/ArRZ9bnaivy/AkA1XrpJDOK/AAAAABgAAAD8/AD8AAIAAAAAAADwvwJ5eqUsQxzxvwJVwaikTkDvvwAAAAAYAAAA/PwA/AACAAAAAAAA8L8C9GxWfa621r8CQDVeukkM4r8AAAAAGAAAAPz8APwAAgAAAAAAAPC/AvRsVn2utta/Ak5iEFg5tNA/AAAAABgAAAD8/AD8AAIAAAAAAADwvwLLoUW28/3wvwK6awn5oGflPwAAAAAYAAAA/PwA/AACAAAAAAAA8L8CNl66SQwC1z8CPb1SliGO5T8AAAAAGAAAAPz8APwAAgAAAAAAAPC/AqH4MeauJfE/ArwFEhQ/xtA/AAAAABgAAAD8/AD8AAIAAAAAAADwvwK0WfW52or8PwJGJXUCmgjDvwAAAAAYAAAA/PwA/AACAAAAAAAA8L8COpLLf0i/9z8CVcGopE5A7z8AAAAAGAAAAPz8APwAAgAAAAAAAPC/AixlGeJYF+U/Am7F/rJ78ty/AAAAABwAAAD8/AD8AAIAAAAAAADwvwJ4nKIjufwDQALE0ytlGeLQPwAAAAABEQAAAPz8APwAAgAAAAAAAPC/AnicoiO5/APAAlXBqKROQO+/AAAAAAERAAAA/PwA/AACAAAAAAAA8L8CDXGsi9voA0ACwqikTkAT5b8AAAAANAAEAWUICAAAAAAAAAAECAFlBAAAAAAAAAAACAwBZQgIAAAAAAAAAAwQAWUEAAAAAAAAAAAQFAFlCAgAAAAAAAAAFAABZQQAAAAAAAAAABAYAWUEAAAAAAAAAAAYHAFlBAAAAAAAAAAAHCABZQQAAAAAAAAAABwkAWUEAAAAAAAAAAAcKAFlBAAAAAAAAAAAICwBZQQAAAAAAAAAAAQwAWUEAAAAAAAAAAAAAAAA</t>
        </r>
      </text>
    </comment>
    <comment ref="A1956" authorId="0" shapeId="0" xr:uid="{A243CB43-0235-4991-9328-A76A965C3990}">
      <text>
        <r>
          <rPr>
            <sz val="9"/>
            <color indexed="81"/>
            <rFont val="MS P ゴシック"/>
            <family val="3"/>
            <charset val="128"/>
          </rPr>
          <t>Insight iXlW00001C0001956R0585476093S00003910P01400LAocjBAQBF1NjaVRlZ2ljLmRhdGEuTW9sZWN1bGUBbwF/ARJTY2lUZWdpYy5Nb2xlY3VsZQAAAQFkAv5qAQAAAAIAAgERHAAAAPz8APwAAgAAAAAAAPC/AunZrPpcbe2/AifChqdXyuS/AAAAABgAAAD8/AD8AAIAAAAAAADwvwLp2az6XG3tvwK4QILix5j3vwAAAAAYAAAA/PwA/AACAAAAAAAA8L8CWag1zTtOwb8CW0I+6Nms+78AAAAAGAAAAPz8APwAAgAAAAAAAPC/ApLtfD81XtY/Ah6n6Egu//C/AAAAABwAAAD8/AD8AAIAAAAAAADwvwJZqDXNO07BvwL7y+7Jw0LZvwAAAAAYAAAA/PwA/AACAAAAAAAA8L8ChslUwaikvj8Cfoy5awn52D8AAAAAGAAAAPz8APwAAgAAAAAAAPC/Agkbnl4py/I/Ah6n6Egu//C/AAAAABgAAAD8/AD8AAIAAAAAAADwvwIm5IOezartPwIrhxbZzvfhPwAAAAAYAAAA/PwA/AACAAAAAAAA8L8Ct/P91Hjp8j8Cf/s6cM6I9T8AAAAAGAAAAPz8APwAAgAAAAAAAPC/AqH4MeauJeQ/AicxCKwcWv8/AAAAABgAAAD8/AD8AAIAAAAAAADwvwJBguLHmLvGvwILRiV1Apr8PwAAAAAYAAAA/PwA/AACAAAAAAAA8L8Cc/kP6bev278CkzoBTYQN8D8AAAAAJAAAAPz8APwAAgAAAAAAAPC/AsDsnjws1PO/Au2ePCzUmuo/AAAAABgAAAD8/AD8AAIAAAAAAADwvwKjtDf4wmT5PwKKH2PuWkLWvwAAAAAYAAAA/PwA/AACAAAAAAAA8L8Co7Q3+MJk+b8CJzEIrBxa/78AAAAAIAAAAPz8APwAAgAAAAAAAPC/AkT67evAuQLAArTqc7UV+/m/AAAAACAAAAD8/AD8AAIAAAAAAADwvwLcaABvgQT4vwI+CtejcD0GwAAAAAABEgAEAWUICAAAAAAAAAAECAFlBAAAAAAAAAAACAwBZQgIAAAAAAAAAAwQAWUEAAAAAAAAAAAQAAFlBAAAAAAAAAAAEBQBZQQAAAAAAAAAAAwYAWUEAAAAAAAAAAAUHAFlCAwAAAAAAAAAHCABZQQAAAAAAAAAACAkAWUICAAAAAAAAAAkKAFlBAAAAAAAAAAAKCwBZQgIAAAAAAAAACwUAWUEAAAAAAAAAAAsMAFlBAAAAAAAAAAAGDQBZQQAAAAAAAAAADg8AWUIAAAAAAAAAAA4ARABZQQAAAAAAAAAAAQ4AWUEAAAAAAAAAAAAAAEAAAAAAAAAAAAAAAQMASXR0dPT09PT+vYEQ08ySPYD9g72D/YQ8fHT0fYR+vH48fH68frxAAAAAAAAAA==</t>
        </r>
      </text>
    </comment>
    <comment ref="A1957" authorId="0" shapeId="0" xr:uid="{992DC078-BCFF-4A20-B201-83BA61B1A801}">
      <text>
        <r>
          <rPr>
            <sz val="9"/>
            <color indexed="81"/>
            <rFont val="MS P ゴシック"/>
            <family val="3"/>
            <charset val="128"/>
          </rPr>
          <t>Insight iXlW00001C0001957R0585476093S00003912P01320LAocjBAQBF1NjaVRlZ2ljLmRhdGEuTW9sZWN1bGUBbwF/ARJTY2lUZWdpYy5Nb2xlY3VsZQAAAQFkAv5qAQAAAAIAAgERGAAAAPz8APwAAgAAAAAAAPC/As3MzMzMzNy/AvH0SlmGOOa/AAAAABgAAAD8/AD8AAIAAAAAAADwvwICvAUSFD/OvwIGEhQ/xtz3vwAAAAAYAAAA/PwA/AACAAAAAAAA8L8CzczMzMzM4j8C6bevA+eM+L8AAAAAHAAAAPz8APwAAgAAAAAAAPC/Ak/RkVz+Q+w/Ak2mCkYldei/AAAAABwAAAD8/AD8AAIAAAAAAADwvwLpSC7/If3OPwJtVn2utmLPvwAAAAAYAAAA/PwA/AACAAAAAAAA8L8CKe0NvjCZ8D8CHVpkO9/PAcAAAAAAGAAAAPz8APwAAgAAAAAAAPC/AvaX3ZOHhfO/AmhEaW/whdm/AAAAACAAAAD8/AD8AAIAAAAAAADwvwIQC7Wmecf9vwLl8h/Sb1/tvwAAAAAgAAAA/PwA/AACAAAAAAAA8L8CL90kBoGV9b8CdgKaCBue2j8AAAAAGAAAAPz8APwAAgAAAAAAAPC/Atc07zhFR9I/AjLmriXkg+I/AAAAABgAAAD8/AD8AAIAAAAAAADwvwLbG3xhMlXwPwJuNIC3QILuPwAAAAAYAAAA/PwA/AACAAAAAAAA8L8CTRWMSuoE8T8Cj+TyH9Jv/D8AAAAAGAAAAPz8APwAAgAAAAAAAPC/Ai2yne+nxtc/Ah1aZDvfzwFAAAAAABgAAAD8/AD8AAIAAAAAAADwvwLdJAaBlUPXvwLCFyZTBaP9PwAAAAAYAAAA/PwA/AACAAAAAAAA8L8Ca7x0kxgE2r8C2/l+arx08D8AAAAAJAAAAPz8APwAAgAAAAAAAPC/AoUNT6+UZfs/AhiV1AloIuA/AAAAABgAAAD8/AD8AAIAAAAAAADwvwIQC7Wmecf9PwIrhxbZzncBwAAAAAABEgAEAWUICAAAAAAAAAAECAFlBAAAAAAAAAAACAwBZQgIAAAAAAAAAAwQAWUEAAAAAAAAAAAQAAFlBAAAAAAAAAAACBQBZQQAAAAAAAAAAAAYAWUEAAAAAAAAAAAYHAFlBAAAAAAAAAAAGCABZQgAAAAAAAAAABAkAWUEAAAAAAAAAAAkKAFlCAwAAAAAAAAAKCwBZQQAAAAAAAAAACwwAWUICAAAAAAAAAAwNAFlBAAAAAAAAAAANDgBZQgIAAAAAAAAADgkAWUEAAAAAAAAAAAoPAFlBAAAAAAAAAAAFAEQAWUEAAAAAAAAAAAAAAAA</t>
        </r>
      </text>
    </comment>
    <comment ref="A1958" authorId="0" shapeId="0" xr:uid="{41B14FE7-76DD-4AF7-8D89-BD71E1BF7CEB}">
      <text>
        <r>
          <rPr>
            <sz val="9"/>
            <color indexed="81"/>
            <rFont val="MS P ゴシック"/>
            <family val="3"/>
            <charset val="128"/>
          </rPr>
          <t>Insight iXlW00001C0001958R0585476093S00003914P01072LAocjBAQBF1NjaVRlZ2ljLmRhdGEuTW9sZWN1bGUBbwF/ARJTY2lUZWdpYy5Nb2xlY3VsZQAAAQFkAv5qAQAAAAIAAjgYAAAA/PwA/AACAAAAAAAA8L8CPb1SliGO/L8CTmIQWDm00D8AAAAAGAAAAPz8APwAAgAAAAAAAPC/Aj29UpYhjvy/AkA1XrpJDOK/AAAAABgAAAD8/AD8AAIAAAAAAADwvwJyio7k8h/xvwJVwaikTkDvvwAAAAAYAAAA/PwA/AACAAAAAAAA8L8C2qz6XG3F1r8CQDVeukkM4r8AAAAAGAAAAPz8APwAAgAAAAAAAPC/Atqs+lxtxda/Ak5iEFg5tNA/AAAAABgAAAD8/AD8AAIAAAAAAADwvwLEsS5uowHxvwK6awn5oGflPwAAAAAYAAAA/PwA/AACAAAAAAAA8L8CUB4Wak3z1j8CPb1SliGO5T8AAAAAGAAAAPz8APwAAgAAAAAAAPC/AhiV1AloIvE/ArwFEhQ/xtA/AAAAABgAAAD8/AD8AAIAAAAAAADwvwK7SQwCK4f8PwJGJXUCmgjDvwAAAAAYAAAA/PwA/AACAAAAAAAA8L8Csi5uowG89z8CVcGopE5A7z8AAAAAGAAAAPz8APwAAgAAAAAAAPC/AhueXinLEOU/Am7F/rJ78ty/AAAAABwAAAD8/AD8AAIAAAAAAADwvwJ7FK5H4foDQALE0ytlGeLQPwAAAAABEQAAAPz8APwAAgAAAAAAAPC/AnsUrkfh+gPAAvd14JwRpeU/AAAAAAERAAAA/PwA/AACAAAAAAAA8L8CEOm3rwPnA0ACwqikTkAT5b8AAAAANAAEAWUICAAAAAAAAAAECAFlBAAAAAAAAAAACAwBZQgIAAAAAAAAAAwQAWUEAAAAAAAAAAAQFAFlCAgAAAAAAAAAFAABZQQAAAAAAAAAABAYAWUEAAAAAAAAAAAYHAFlBAAAAAAAAAAAHCABZQQAAAAAAAAAABwkAWUEAAAAAAAAAAAcKAFlBAAAAAAAAAAAICwBZQQAAAAAAAAAAAAwAWUEAAAAAAAAAAAAAAAA</t>
        </r>
      </text>
    </comment>
    <comment ref="A1959" authorId="0" shapeId="0" xr:uid="{778A9E01-8FF5-4F93-8434-C20BF7190E5D}">
      <text>
        <r>
          <rPr>
            <sz val="9"/>
            <color indexed="81"/>
            <rFont val="MS P ゴシック"/>
            <family val="3"/>
            <charset val="128"/>
          </rPr>
          <t>Insight iXlW00001C0001959R0585476093S00003916P01308LAocjBAQBF1NjaVRlZ2ljLmRhdGEuTW9sZWN1bGUBbwF/ARJTY2lUZWdpYy5Nb2xlY3VsZQAAAQFkAv5qAQAAAAIAAgERAREAAAD8/AD8AAIAAAAAAADwvwLYEvJBz2bNvwI0ETY8vVL1PwAAAAAYAAAA/PwA/AACAAAAAAAA8L8CM8SxLm4jAcACY3/ZPXlYuL8AAAAAGAAAAPz8APwAAgAAAAAAAPC/AjPEsS5uIwHAAjXvOEVHcu2/AAAAABgAAAD8/AD8AAIAAAAAAADwvwIqqRPQRNj2vwI0ETY8vVL1vwAAAAAYAAAA/PwA/AACAAAAAAAA8L8CwOyePCzU5r8CNe84RUdy7b8AAAAAGAAAAPz8APwAAgAAAAAAAPC/AsDsnjws1Oa/AmN/2T15WLi/AAAAABgAAAD8/AD8AAIAAAAAAADwvwJ90LNZ9bn2vwJNFYxK6gTUPwAAAAAYAAAA/PwA/AACAAAAAAAA8L8CL26jAbwFUj8CjgbwFkhQ1D8AAAAAGAAAAPz8APwAAgAAAAAAAPC/AsDsnjws1OY/Aqrx0k1iELi/AAAAABgAAAD8/AD8AAIAAAAAAADwvwLA7J48LNTmPwJ+HThnRGntvwAAAAAYAAAA/PwA/AACAAAAAAAA8L8CKqkT0ETY9j8CWag1zTtO9b8AAAAAIAAAAPz8APwAAgAAAAAAAPC/AjPEsS5uIwFAAn4dOGdEae2/AAAAABgAAAD8/AD8AAIAAAAAAADwvwIzxLEubiMBQAKq8dJNYhC4vwAAAAAYAAAA/PwA/AACAAAAAAAA8L8CKqkT0ETY9j8C/Knx0k1i1D8AAAAAGAAAAPz8APwAAgAAAAAAAPC/AsDsnjws1OY/AhRhw9MrZec/AAAAABwAAAD8/AD8AAIAAAAAAADwvwIqqRPQRNj2PwIjSnuDL0zyPwAAAAABEQAAAPz8APwAAgAAAAAAAPC/Agg9m1Wfq/a/AvjkYaHWNPI/AAAAAAERBAgBZQgIAAAAAAAAAAgMAWUEAAAAAAAAAAAMEAFlCAgAAAAAAAAAEBQBZQQAAAAAAAAAABQYAWUICAAAAAAAAAAYBAFlBAAAAAAAAAAAFBwBZQQAAAAAAAAAABwgAWUEAAAAAAAAAAAgJAFlBAAAAAAAAAAAJCgBZQQAAAAAAAAAACgsAWUEAAAAAAAAAAAsMAFlBAAAAAAAAAAAMDQBZQQAAAAAAAAAADQgAWUEAAAAAAAAAAAgOAFlBAAAAAAAAAAAODwBZQQAAAAAAAAAABgBEAFlBAAAAAAAAAAAAAAAAA==</t>
        </r>
      </text>
    </comment>
    <comment ref="A1960" authorId="0" shapeId="0" xr:uid="{93E5C73D-7EA8-4091-BE00-F44935F8B1F6}">
      <text>
        <r>
          <rPr>
            <sz val="9"/>
            <color indexed="81"/>
            <rFont val="MS P ゴシック"/>
            <family val="3"/>
            <charset val="128"/>
          </rPr>
          <t>Insight iXlW00001C0001960R0585476093S00003918P01304LAocjBAQBF1NjaVRlZ2ljLmRhdGEuTW9sZWN1bGUBbwF/ARJTY2lUZWdpYy5Nb2xlY3VsZQAAAQFkAv5qAQAAAAIAAgERGAAAAPz8APwAAgAAAAAAAPC/AgR4CyQofrw/AsWPMXctIeW/AAAAABgAAAD8/AD8AAIAAAAAAADwvwIEeAskKH68PwIW+8vuycP3vwAAAAAgAAAA/PwA/AACAAAAAAAA8L8CWoY41sVt6j8CdEaU9gZf/r8AAAAAGAAAAPz8APwAAgAAAAAAAPC/AqRwPQrXo/g/Ahb7y+7Jw/e/AAAAABgAAAD8/AD8AAIAAAAAAADwvwKkcD0K16P4PwLFjzF3LSHlvwAAAAAYAAAA/PwA/AACAAAAAAAA8L8CWoY41sVt6j8C4ZwRpb3Bz78AAAAAGAAAAPz8APwAAgAAAAAAAPC/AgCRfvs6cNo/AkJg5dAi290/AAAAABgAAAD8/AD8AAIAAAAAAADwvwLkg57Nqs/zPwJCYOXQItvdPwAAAAAcAAAA/PwA/AACAAAAAAAA8L8CjNtoAG+BAEACQmDl0CLb3T8AAAAAGAAAAPz8APwAAgAAAAAAAPC/As47TtGRXNq/AkJg5dAi290/AAAAABgAAAD8/AD8AAIAAAAAAADwvwJWn6ut2F/qvwKfPCzUmubyPwAAAAAYAAAA/PwA/AACAAAAAAAA8L8C3gIJih9j+r8Cnzws1Jrm8j8AAAAAGAAAAPz8APwAAgAAAAAAAPC/AubQItv5fgDAAkJg5dAi290/AAAAABgAAAD8/AD8AAIAAAAAAADwvwLeAgmKH2P6vwLhnBGlvcHPvwAAAAAYAAAA/PwA/AACAAAAAAAA8L8CVp+rrdhf6r8C4ZwRpb3Bz78AAAAAAREAAAD8/AD8AAIAAAAAAADwvwKM22gAb4EAwAJ0RpT2Bl/+PwAAAAABEQAAAPz8APwAAgAAAAAAAPC/AnZxGw3gLcg/AhiV1AloIvU/AAAAAAERAAQBZQQAAAAAAAAAAAQIAWUEAAAAAAAAAAAIDAFlBAAAAAAAAAAADBABZQQAAAAAAAAAABAUAWUEAAAAAAAAAAAUAAFlBAAAAAAAAAAAFBgBZQQAAAAAAAAAABQcAWUEAAAAAAAAAAAcIAFlBAAAAAAAAAAAGCQBZQQAAAAAAAAAACQoAWUIDAAAAAAAAAAoLAFlBAAAAAAAAAAALDABZQgIAAAAAAAAADA0AWUEAAAAAAAAAAA0OAFlCAgAAAAAAAAAOCQBZQQAAAAAAAAAACw8AWUEAAAAAAAAAAAAAAAA</t>
        </r>
      </text>
    </comment>
    <comment ref="A1961" authorId="0" shapeId="0" xr:uid="{76552D44-04BC-44AF-A550-1E85BA072E14}">
      <text>
        <r>
          <rPr>
            <sz val="9"/>
            <color indexed="81"/>
            <rFont val="MS P ゴシック"/>
            <family val="3"/>
            <charset val="128"/>
          </rPr>
          <t>Insight iXlW00001C0001961R0585476093S00003920P01304LAocjBAQBF1NjaVRlZ2ljLmRhdGEuTW9sZWN1bGUBbwF/ARJTY2lUZWdpYy5Nb2xlY3VsZQAAAQFkAv5qAQAAAAIAAgERGAAAAPz8APwAAgAAAAAAAPC/AkVpb/CFyeA/Av+ye/KwUNO/AAAAABgAAAD8/AD8AAIAAAAAAADwvwJFaW/whcngPwKCc0aU9gbyvwAAAAAgAAAA/PwA/AACAAAAAAAA8L8C3pOHhVrT8z8C4L4OnDOi+L8AAAAAGAAAAPz8APwAAgAAAAAAAPC/AvzL7snDQv8/AoJzRpT2BvK/AAAAABgAAAD8/AD8AAIAAAAAAADwvwL8y+7Jw0L/PwL/snvysFDTvwAAAAAYAAAA/PwA/AACAAAAAAAA8L8C3pOHhVrT8z8CbXh6pSxDvD8AAAAAGAAAAPz8APwAAgAAAAAAAPC/AsRCrWneceo/AoUNT6+UZeo/AAAAABgAAAD8/AD8AAIAAAAAAADwvwIkKH6MuWv6PwKFDU+vlGXqPwAAAAAcAAAA/PwA/AACAAAAAAAA8L8CrK3YX3bPA0AChQ1Pr5Rl6j8AAAAAGAAAAPz8APwAAgAAAAAAAPC/Ase6uI0G8FY/AoUNT6+UZeo/AAAAABgAAAD8/AD8AAIAAAAAAADwvwKb5h2n6EjavwLgvg6cM6L4PwAAAAAYAAAA/PwA/AACAAAAAAAA8L8C2qz6XG3F878C4L4OnDOi+D8AAAAAGAAAAPz8APwAAgAAAAAAAPC/Alafq63YX/q/AoUNT6+UZeo/AAAAABgAAAD8/AD8AAIAAAAAAADwvwLarPpcbcXzvwJteHqlLEO8PwAAAAAYAAAA/PwA/AACAAAAAAAA8L8Cm+Ydp+hI2r8CbXh6pSxDvD8AAAAAAREAAAD8/AD8AAIAAAAAAADwvwKsrdhfds8DwAKFDU+vlGXqPwAAAAABEQAAAPz8APwAAgAAAAAAAPC/Ao/k8h/Sb+s/Ag8tsp3vp/c/AAAAAAERAAQBZQQAAAAAAAAAAAQIAWUEAAAAAAAAAAAIDAFlBAAAAAAAAAAADBABZQQAAAAAAAAAABAUAWUEAAAAAAAAAAAUAAFlBAAAAAAAAAAAFBgBZQQAAAAAAAAAABQcAWUEAAAAAAAAAAAcIAFlBAAAAAAAAAAAGCQBZQQAAAAAAAAAACQoAWUIDAAAAAAAAAAoLAFlBAAAAAAAAAAALDABZQgIAAAAAAAAADA0AWUEAAAAAAAAAAA0OAFlCAgAAAAAAAAAOCQBZQQAAAAAAAAAADA8AWUEAAAAAAAAAAAAAAAA</t>
        </r>
      </text>
    </comment>
    <comment ref="A1962" authorId="0" shapeId="0" xr:uid="{27264937-EE09-451A-9ACF-0E640952E71A}">
      <text>
        <r>
          <rPr>
            <sz val="9"/>
            <color indexed="81"/>
            <rFont val="MS P ゴシック"/>
            <family val="3"/>
            <charset val="128"/>
          </rPr>
          <t>Insight iXlW00001C0001962R0585476093S00003922P01036LAocjBAQBF1NjaVRlZ2ljLmRhdGEuTW9sZWN1bGUBbwF/ARJTY2lUZWdpYy5Nb2xlY3VsZQAAAQFkAv5qAQAAAAIAAjQcAAAA/PwA/AACAAAAAAAA8L8CSFD8GHPXyr8CwcqhRbbz6T8AAAAAGAAAAPz8APwAAgAAAAAAAPC/AkhQ/Bhz18q/AnnpJjEIrIy/AAAAABwAAAD8/AD8AAIAAAAAAADwvwLPZtXnaivgPwKzne+nxkvbvwAAAAAYAAAA/PwA/AACAAAAAAAA8L8CMuauJeSD8z8CeekmMQisjL8AAAAAGAAAAPz8APwAAgAAAAAAAPC/AjLmriXkg/M/AsHKoUW28+k/AAAAABgAAAD8/AD8AAIAAAAAAADwvwLPZtXnaivgPwL6fmq8dJPzPwAAAAAYAAAA/PwA/AACAAAAAAAA8L8Cp3nHKTqS7b8Cs53vp8ZL278AAAAAGAAAAPz8APwAAgAAAAAAAPC/AvCnxks3ifu/As1dS8gHPcu/AAAAABgAAAD8/AD8AAIAAAAAAADwvwJuxf6ye/L+vwJHA3gLJCjwvwAAAAAYAAAA/PwA/AACAAAAAAAA8L8C4C2QoPgx8r8C+n5qvHST878AAAAAGAAAAPz8APwAAgAAAAAAAPC/Am7F/rJ78v4/Avp+arx0k/M/AAAAACAAAAD8/AD8AAIAAAAAAADwvwJVUiegiTAFQALByqFFtvPpPwAAAAAgAAAA/PwA/AACAAAAAAAA8L8CbsX+snvy/j8CF9nO91NjAEAAAAAAOAAEAWUICAAAAAAAAAAECAFlBAAAAAAAAAAACAwBZQgIAAAAAAAAAAwQAWUEAAAAAAAAAAAQFAFlCAgAAAAAAAAAFAABZQQAAAAAAAAAAAQYAWUEAAAAAAAAAAAYHAFlBAAAAAAAAAAAHCABZQQAAAAAAAAAACAkAWUEAAAAAAAAAAAkGAFlBAAAAAAAAAAAKCwBZQgAAAAAAAAAACgwAWUEAAAAAAAAAAAQKAFlBAAAAAAAAAAAAAAAAA==</t>
        </r>
      </text>
    </comment>
    <comment ref="A1963" authorId="0" shapeId="0" xr:uid="{40AF037D-F931-4A01-B9C8-DE44113477B8}">
      <text>
        <r>
          <rPr>
            <sz val="9"/>
            <color indexed="81"/>
            <rFont val="MS P ゴシック"/>
            <family val="3"/>
            <charset val="128"/>
          </rPr>
          <t>Insight iXlW00001C0001963R0585476093S00003924P01020LAocjBAQBF1NjaVRlZ2ljLmRhdGEuTW9sZWN1bGUBbwF/ARJTY2lUZWdpYy5Nb2xlY3VsZQAAAQFkAv5qAQAAAAIAAjQYAAAA/PwA/AACAAAAAAAA8L8CGuJYF7fR7L8CLUMc6+I22j8AAAAAGAAAAPz8APwAAgAAAAAAAPC/AhriWBe30ey/Ahb7y+7Jw9q/AAAAABwAAAD8/AD8AAIAAAAAAADwvwJGR3L5D+nHvwK3Yn/ZPXnqvwAAAAAYAAAA/PwA/AACAAAAAAAA8L8CRkdy+Q/px78Ct2J/2T156j8AAAAAHAAAAPz8APwAAgAAAAAAAPC/AqYsQxzr4uA/Ai1DHOviNto/AAAAABgAAAD8/AD8AAIAAAAAAADwvwKmLEMc6+LgPwJuNIC3QILavwAAAAAYAAAA/PwA/AACAAAAAAAA8L8Cfoy5awn59D8CYHZPHhZq5b8AAAAAGAAAAPz8APwAAgAAAAAAAPC/Au58PzVeuvw/AkhQ/Bhz12K/AAAAABwAAAD8/AD8AAIAAAAAAADwvwJ+jLlrCfn0PwJzaJHtfD/lPwAAAAAYAAAA/PwA/AACAAAAAAAA8L8CTDeJQWDl+b8CE4PAyqFF6j8AAAAAHAAAAPz8APwAAgAAAAAAAPC/AqFns+pztQLAAtUJaCJseNo/AAAAABgAAAD8/AD8AAIAAAAAAADwvwIRWDm0yPYEQAJIUPwYc9divwAAAAABEQAAAPz8APwAAgAAAAAAAPC/AhFYObTI9gTAAuauJeSDnuG/AAAAADQABAFlBAAAAAAAAAAAAAwBZQgIAAAAAAAAAAQIAWUICAAAAAAAAAAIFAFlBAAAAAAAAAAAEAwBZQQAAAAAAAAAABAUAWUEAAAAAAAAAAAUGAFlCAwAAAAAAAAAGBwBZQQAAAAAAAAAABwgAWUICAAAAAAAAAAgEAFlBAAAAAAAAAAAACQBZQQAAAAAAAAAACQoAWUEAAAAAAAAAAAcLAFlBAAAAAAAAAAAAAAAAA==</t>
        </r>
      </text>
    </comment>
    <comment ref="A1964" authorId="0" shapeId="0" xr:uid="{1A8483C7-CCD1-450E-8205-B29944AF9C72}">
      <text>
        <r>
          <rPr>
            <sz val="9"/>
            <color indexed="81"/>
            <rFont val="MS P ゴシック"/>
            <family val="3"/>
            <charset val="128"/>
          </rPr>
          <t>Insight iXlW00001C0001964R0585476093S00003926P01304LAocjBAQBF1NjaVRlZ2ljLmRhdGEuTW9sZWN1bGUBbwF/ARJTY2lUZWdpYy5Nb2xlY3VsZQAAAQFkAv5qAQAAAAIAAgERGAAAAPz8APwAAgAAAAAAAPC/AvtcbcX+sg5AAr+fGi/dJLY/AAAAABwAAAD8/AD8AAIAAAAAAADwvwL7XG3F/rIOQAJvEoPAyqHnvwAAAAAYAAAA/PwA/AACAAAAAAAA8L8CMLsnDws1EkAC0SLb+X5q8r8AAAAAGAAAAPz8APwAAgAAAAAAAPC/AoxK6gQ0ERVAAm8Sg8DKoee/AAAAABgAAAD8/AD8AAIAAAAAAADwvwKMSuoENBEVQAK/nxov3SS2PwAAAAAYAAAA/PwA/AACAAAAAAAA8L8CMLsnDws1EkACVg4tsp3v3z8AAAAAGAAAAPz8APwAAgAAAAAAAPC/AiigibDh6RdAAuhqK/aX3d8/AAAAABgAAAD8/AD8AAIAAAAAAADwvwJQjZduEsMaQAK/nxov3SS2PwAAAAAcAAAA/PwA/AACAAAAAAAA8L8CKKCJsOHpF0AC7Q2+MJkq9T8AAAAAGAAAAPz8APwAAgAAAAAAAPC/AhdIUPwY8x1AAryWkA96NtM/AAAAABgAAAD8/AD8AAIAAAAAAADwvwLFsS5uowEJQAJPr5RliGPyvwAAAAAYAAAA/PwA/AACAAAAAAAA8L8Cg1FJnYAm+z8C3gIJih9j8r8AAAAAGAAAAPz8APwAAgAAAAAAAPC/Ao/k8h/Sb+8/AnicoiO5/Pi/AAAAABgAAAD8/AD8AAIAAAAAAADwvwLpt68D54z0PwKLjuTyH9LbvwAAAAAYAAAA/PwA/AACAAAAAAAA8L8CjnVxGw3gAEACGuJYF7fR/b8AAAAAIAAAAPz8APwAAgAAAAAAAPC/Al+YTBWMSgNAAonS3uALk+e/AAAAACAAAAD8/AD8AAIAAAAAAADwvwLFsS5uowEJQAKD4seYu5b/vwAAAAABEQAEAWUEAAAAAAAAAAAECAFlBAAAAAAAAAAACAwBZQQAAAAAAAAAAAwQAWUEAAAAAAAAAAAQFAFlBAAAAAAAAAAAFAABZQQAAAAAAAAAABAYAWUEAAAAAAAAAAAYHAFlBAAAAAAAAAAAGCABZQQAAAAAAAAAABwkAWUEAAAAAAAAAAA8LAFlBAAAAAAAAAAAPCgBZQQAAAAAAAAAACwwAWUEAAAAAAAAAAAsNAFlBAAAAAAAAAAALDgBZQQAAAAAAAAAACgBEAFlCAAAAAAAAAAABCgBZQQAAAAAAAAAAAAAAAA=</t>
        </r>
      </text>
    </comment>
    <comment ref="A1965" authorId="0" shapeId="0" xr:uid="{CC32E5EB-1286-42C1-B4C4-6818A855A8D4}">
      <text>
        <r>
          <rPr>
            <sz val="9"/>
            <color indexed="81"/>
            <rFont val="MS P ゴシック"/>
            <family val="3"/>
            <charset val="128"/>
          </rPr>
          <t>Insight iXlW00001C0001965R0585476093S00003928P01216LAocjBAQBF1NjaVRlZ2ljLmRhdGEuTW9sZWN1bGUBbwF/ARJTY2lUZWdpYy5Nb2xlY3VsZQAAAQFkAv5qAQAAAAIAAgEQGAAAAPz8APwAAgAAAAAAAPC/Ag8LtaZ5x9U/Agu1pnnHKfG/AAAAABgAAAD8/AD8AAIAAAAAAADwvwLgvg6cM6LyPwILtaZ5xynxvwAAAAAYAAAA/PwA/AACAAAAAAAA8L8C9GxWfa629j8Cdy0hH/Rs0r8AAAAAGAAAAPz8APwAAgAAAAAAAPC/AoxK6gQ0Eeg/Ao0o7Q2+MMk/AAAAABgAAAD8/AD8AAIAAAAAAADwvwIGEhQ/xty1PwJ3LSEf9GzSvwAAAAAYAAAA/PwA/AACAAAAAAAA8L8CbxKDwMqhxT8CFNBE2PD06D8AAAAAGAAAAPz8APwAAgAAAAAAAPC/ApOpglFJnfQ/ApLtfD81Xuo/AAAAABwAAAD8/AD8AAIAAAAAAADwvwLrc7UV+8sAQAJaZDvfT43lPwAAAAAYAAAA/PwA/AACAAAAAAAA8L8CnRGlvcEX5L8CkDF3LSEf4j8AAAAAGAAAAPz8APwAAgAAAAAAAPC/AsdLN4lBYPO/AmdmZmZmZvI/AAAAABgAAAD8/AD8AAIAAAAAAADwvwKq8dJNYhAAwAJn1edqK/btPwAAAAAYAAAA/PwA/AACAAAAAAAA8L8CS1mGONbFAcACQmDl0CLbwT8AAAAAHAAAAPz8APwAAgAAAAAAAPC/AvjkYaHWNPq/AoUNT6+UZdy/AAAAABgAAAD8/AD8AAIAAAAAAADwvwLVmuYdp+jqvwJxPQrXo3DNvwAAAAABEQAAAPz8APwAAgAAAAAAAPC/AktZhjjWxQFAAgCRfvs6cL6/AAAAAAERAAAA/PwA/AACAAAAAAAA8L8CMzMzMzMz9r8CZ2ZmZmZm8r8AAAAAPAAEAWUEAAAAAAAAAAAECAFlBAAAAAAAAAAACAwBZQQAAAAAAAAAAAwQAWUEAAAAAAAAAAAQAAFlBAAAAAAAAAAADBQBZQQAAAAAAAAAAAwYAWUEAAAAAAAAAAAYHAFlBAAAAAAAAAAAFCABZQQAAAAAAAAAACAkAWUIDAAAAAAAAAAkKAFlBAAAAAAAAAAAKCwBZQgIAAAAAAAAACwwAWUEAAAAAAAAAAAwNAFlCAgAAAAAAAAANCABZQQAAAAAAAAAAAAAAAA=</t>
        </r>
      </text>
    </comment>
    <comment ref="A1966" authorId="0" shapeId="0" xr:uid="{8FF9C94C-9FF7-499F-BB2A-B11DF2490B53}">
      <text>
        <r>
          <rPr>
            <sz val="9"/>
            <color indexed="81"/>
            <rFont val="MS P ゴシック"/>
            <family val="3"/>
            <charset val="128"/>
          </rPr>
          <t>Insight iXlW00001C0001966R0585476093S00003930P01524LAocjBAQBF1NjaVRlZ2ljLmRhdGEuTW9sZWN1bGUBbwF/ARJTY2lUZWdpYy5Nb2xlY3VsZQAAAQFkAv5qAQAAAAIAAgEUGAAAAPz8APwAAgAAAAAAAPC/Amx4eqUsQ9i/AisYldQJaOq/AAAAABgAAAD8/AD8AAIAAAAAAADwvwJseHqlLEPYvwJJv30dOGf6vwAAAAAgAAAA/PwA/AACAAAAAAAA8L8CggTFjzF31T8Cj1N0JJd/AMAAAAAAGAAAAPz8APwAAgAAAAAAAPC/AphuEoPAyvA/Akm/fR04Z/q/AAAAABgAAAD8/AD8AAIAAAAAAADwvwKYbhKDwMrwPwIrGJXUCWjqvwAAAAAYAAAA/PwA/AACAAAAAAAA8L8CggTFjzF31T8CZ2ZmZmZm2r8AAAAAGAAAAPz8APwAAgAAAAAAAPC/AphuEoPAyvA/AmIyVTAqqTO/AAAAABgAAAD8/AD8AAIAAAAAAADwvwKCBMWPMXfVPwJnZmZmZmbaPwAAAAAYAAAA/PwA/AACAAAAAAAA8L8CbHh6pSxD2L8C3gIJih9j6j8AAAAAGAAAAPz8APwAAgAAAAAAAPC/Amx4eqUsQ9i/AqO0N/jCZPo/AAAAABgAAAD8/AD8AAIAAAAAAADwvwLIKTqSy3/xvwKPU3Qkl38AQAAAAAAYAAAA/PwA/AACAAAAAAAA8L8CAwmKH2Pu/L8Co7Q3+MJk+j8AAAAAGAAAAPz8APwAAgAAAAAAAPC/AgMJih9j7vy/At4CCYofY+o/AAAAABgAAAD8/AD8AAIAAAAAAADwvwLIKTqSy3/xvwJnZmZmZmbaPwAAAAAcAAAA/PwA/AACAAAAAAAA8L8C+8vuycNC/D8CbjSAt0CC2r8AAAAAAREAAAD8/AD8AAIAAAAAAADwvwIDCYofY+78PwJ7FK5H4XriPwAAAAAYAAAA/PwA/AACAAAAAAAA8L8CggTFjzF31T8Cj1N0JJd/AEAAAAAAJAAAAPz8APwAAgAAAAAAAPC/ArTqc7UV++c/Aiz2l92Th/U/AAAAACQAAAD8/AD8AAIAAAAAAADwvwL1SlmGONbwPwLkg57Nqs8DQAAAAAAkAAAA/PwA/AACAAAAAAAA8L8Cofgx5q4ltL8CQYLix5g7BkAAAAAAARQABAFlBAAAAAAAAAAABAgBZQQAAAAAAAAAAAgMAWUEAAAAAAAAAAAMEAFlBAAAAAAAAAAAEBQBZQQAAAAAAAAAABQAAWUEAAAAAAAAAAAUGAFlBAAAAAAAAAAAFBwBZQQAAAAAAAAAABwgAWUEAAAAAAAAAAAgJAFlCAwAAAAAAAAAJCgBZQQAAAAAAAAAACgsAWUICAAAAAAAAAAsMAFlBAAAAAAAAAAAMDQBZQgIAAAAAAAAADQgAWUEAAAAAAAAAAAYOAFlBAAAAAAAAAAAARABEQFlBAAAAAAAAAAAARABEgFlBAAAAAAAAAAAARABEwFlBAAAAAAAAAAAJAEQAWUEAAAAAAAAAAAAAAAA</t>
        </r>
      </text>
    </comment>
    <comment ref="A1967" authorId="0" shapeId="0" xr:uid="{D923FD74-05C8-4E79-B207-EE5C2D138090}">
      <text>
        <r>
          <rPr>
            <sz val="9"/>
            <color indexed="81"/>
            <rFont val="MS P ゴシック"/>
            <family val="3"/>
            <charset val="128"/>
          </rPr>
          <t>Insight iXlW00001C0001967R0585476093S00003932P01180LAocjBAQBF1NjaVRlZ2ljLmRhdGEuTW9sZWN1bGUBbwF/ARJTY2lUZWdpYy5Nb2xlY3VsZQAAAQFkAv5qAQAAAAIAAjwcAAAA/PwA/AACAAAAAAAA8L8CotY07zhFz78C4QuTqYJR8T8AAAAAGAAAAPz8APwAAgAAAAAAAPC/AqLWNO84Rc+/Ai//If32ddA/AAAAABgAAAD8/AD8AAIAAAAAAADwvwKV9gZfmEzhPwJIUPwYc9diPwAAAAAYAAAA/PwA/AACAAAAAAAA8L8CKxiV1Alo8D8CrYvbaABv5T8AAAAAHAAAAPz8APwAAgAAAAAAAPC/ApX2Bl+YTOE/Ava52or9ZfU/AAAAABgAAAD8/AD8AAIAAAAAAADwvwJe3EYDeAvsPwKaKhiV1AnovwAAAAAcAAAA/PwA/AACAAAAAAAA8L8C9P3UeOkm+z8CkX77OnDO6r8AAAAAGAAAAPz8APwAAgAAAAAAAPC/AmpN845TdAFAAtS84xQdycW/AAAAABgAAAD8/AD8AAIAAAAAAADwvwLwp8ZLN4n9PwK1N/jCZKriPwAAAAAYAAAA/PwA/AACAAAAAAAA8L8CyXa+nxov7b8ClyGOdXEbzb8AAAAAGAAAAPz8APwAAgAAAAAAAPC/Ak7zjlN0JPu/Ailcj8L1KJw/AAAAABgAAAD8/AD8AAIAAAAAAADwvwJqTfOOU3QBwAJ7FK5H4XrkvwAAAAAYAAAA/PwA/AACAAAAAAAA8L8CTvOOU3Qk+78CXf5D+u3r9L8AAAAAGAAAAPz8APwAAgAAAAAAAPC/Asl2vp8aL+2/AkhQ/Bhz1/C/AAAAAAERAAAA/PwA/AACAAAAAAAA8L8CZF3cRgN4yz8C9rnaiv1l9b8AAAAAARAABAFlCAgAAAAAAAAABAgBZQQAAAAAAAAAAAgMAWUICAAAAAAAAAAMEAFlBAAAAAAAAAAAEAABZQQAAAAAAAAAAAgUAWUEAAAAAAAAAAAUGAFlBAAAAAAAAAAAGBwBZQQAAAAAAAAAABwgAWUEAAAAAAAAAAAgDAFlBAAAAAAAAAAABCQBZQQAAAAAAAAAACQoAWUEAAAAAAAAAAAoLAFlBAAAAAAAAAAALDABZQQAAAAAAAAAADA0AWUEAAAAAAAAAAA0JAFlBAAAAAAAAAAAAAAAAA==</t>
        </r>
      </text>
    </comment>
    <comment ref="A1968" authorId="0" shapeId="0" xr:uid="{252BF2F8-E10A-4D26-9AF7-F58BC1E7ABA0}">
      <text>
        <r>
          <rPr>
            <sz val="9"/>
            <color indexed="81"/>
            <rFont val="MS P ゴシック"/>
            <family val="3"/>
            <charset val="128"/>
          </rPr>
          <t>Insight iXlW00001C0001968R0585476093S00003934P01252LAocjBAQBF1NjaVRlZ2ljLmRhdGEuTW9sZWN1bGUBbwF/ARJTY2lUZWdpYy5Nb2xlY3VsZQAAAQFkAv5qAQAAAAIAAgEQHAAAAPz8APwAAgAAAAAAAPC/Atbnaiv2l8W/AjWAt0CC4vI/AAAAABgAAAD8/AD8AAIAAAAAAADwvwLW52or9pfFvwJBguLHmLvWPwAAAAAYAAAA/PwA/AACAAAAAAAA8L8CKssQx7q44z8CzO7Jw0KtuT8AAAAAGAAAAPz8APwAAgAAAAAAAPC/AgRWDi2ynfE/AjbNO07Rkeg/AAAAABwAAAD8/AD8AAIAAAAAAADwvwIqyxDHurjjPwJJLv8h/fb2PwAAAAAYAAAA/PwA/AACAAAAAAAA8L8CxEKtad5x7j8CEOm3rwPn5L8AAAAAHAAAAPz8APwAAgAAAAAAAPC/AraEfNCzWfw/Agg9m1Wfq+e/AAAAABgAAAD8/AD8AAIAAAAAAADwvwLmP6Tfvg4CQAJdbcX+snuyvwAAAAAYAAAA/PwA/AACAAAAAAAA8L8CWDm0yHa+/j8Ci47k8h/S5T8AAAAAGAAAAPz8APwAAgAAAAAAAPC/AjSitDf4wuq/Avp+arx0k8C/AAAAABgAAAD8/AD8AAIAAAAAAADwvwKP5PIf0m/5vwL5wmSqYFTKPwAAAAAYAAAA/PwA/AACAAAAAAAA8L8C5j+k374OAsACQmDl0CLb0b8AAAAAIAAAAPz8APwAAgAAAAAAAPC/AjtwzojSXgHAAmU730+Nl/G/AAAAABgAAAD8/AD8AAIAAAAAAADwvwJbQj7o2az2vwJJLv8h/fb2vwAAAAAYAAAA/PwA/AACAAAAAAAA8L8CPE7RkVz+578CZ2ZmZmZm7r8AAAAAAREAAAD8/AD8AAIAAAAAAADwvwIYJlMFo5LSPwLA7J48LNTzvwAAAAABEQAEAWUICAAAAAAAAAAECAFlBAAAAAAAAAAACAwBZQgIAAAAAAAAAAwQAWUEAAAAAAAAAAAQAAFlBAAAAAAAAAAACBQBZQQAAAAAAAAAABQYAWUEAAAAAAAAAAAYHAFlBAAAAAAAAAAAHCABZQQAAAAAAAAAACAMAWUEAAAAAAAAAAAEJAFlBAAAAAAAAAAAJCgBZQQAAAAAAAAAACgsAWUEAAAAAAAAAAAsMAFlBAAAAAAAAAAAMDQBZQQAAAAAAAAAADQ4AWUEAAAAAAAAAAA4JAFlBAAAAAAAAAAAAAAAAA==</t>
        </r>
      </text>
    </comment>
    <comment ref="A1969" authorId="0" shapeId="0" xr:uid="{4B9FDE92-6997-40E5-8F62-1AEA48482224}">
      <text>
        <r>
          <rPr>
            <sz val="9"/>
            <color indexed="81"/>
            <rFont val="MS P ゴシック"/>
            <family val="3"/>
            <charset val="128"/>
          </rPr>
          <t>Insight iXlW00001C0001969R0585476093S00003936P00964LAocjBAQBF1NjaVRlZ2ljLmRhdGEuTW9sZWN1bGUBbwF/ARJTY2lUZWdpYy5Nb2xlY3VsZQAAAQFkAv5qAQAAAAIAAjAcAAAA/PwA/AACAAAAAAAA8L8C9P3UeOkm8b8ClWWIY13c1r8AAAAAGAAAAPz8APwAAgAAAAAAAPC/AvT91HjpJvG/Agr5oGez6vK/AAAAABwAAAD8/AD8AAIAAAAAAADwvwJIUPwYc9fWvwKjkjoBTYT5vwAAAAAYAAAA/PwA/AACAAAAAAAA8L8C4noUrkfh1j8CCvmgZ7Pq8r8AAAAAGAAAAPz8APwAAgAAAAAAAPC/AuJ6FK5H4dY/ApVliGNd3Na/AAAAABgAAAD8/AD8AAIAAAAAAADwvwJIUPwYc9fWvwKOBvAWSFCsPwAAAAAYAAAA/PwA/AACAAAAAAAA8L8CSFD8GHPX1r8Csr/snjws7D8AAAAAGAAAAPz8APwAAgAAAAAAAPC/Ailcj8L1KKw/AqOSOgFNhPk/AAAAABgAAAD8/AD8AAIAAAAAAADwvwI6tMh2vp/ovwKjkjoBTYT5PwAAAAAYAAAA/PwA/AACAAAAAAAA8L8C9P3UeOkm8T8CjgbwFkhQrD8AAAAAIAAAAPz8APwAAgAAAAAAAPC/Ai/dJAaBlfw/ApVliGNd3Na/AAAAACAAAAD8/AD8AAIAAAAAAADwvwKDUUmdgCbxPwLQZtXnaivsPwAAAAA0AAQBZQgIAAAAAAAAAAQIAWUEAAAAAAAAAAAIDAFlCAgAAAAAAAAADBABZQQAAAAAAAAAABAUAWUICAAAAAAAAAAUAAFlBAAAAAAAAAAAFBgBZQQAAAAAAAAAABgcAWUEAAAAAAAAAAAcIAFlBAAAAAAAAAAAIBgBZQQAAAAAAAAAACQoAWUIAAAAAAAAAAAkLAFlBAAAAAAAAAAAECQBZQQAAAAAAAAAAAAAAAA=</t>
        </r>
      </text>
    </comment>
    <comment ref="A1970" authorId="0" shapeId="0" xr:uid="{0A518662-AEA4-462B-8A1E-AEF9D0EB3176}">
      <text>
        <r>
          <rPr>
            <sz val="9"/>
            <color indexed="81"/>
            <rFont val="MS P ゴシック"/>
            <family val="3"/>
            <charset val="128"/>
          </rPr>
          <t>Insight iXlW00001C0001970R0585476093S00003938P00964LAocjBAQBF1NjaVRlZ2ljLmRhdGEuTW9sZWN1bGUBbwF/ARJTY2lUZWdpYy5Nb2xlY3VsZQAAAQFkAv5qAQAAAAIAAjAYAAAA/PwA/AACAAAAAAAA8L8CEHo2qz5X078C4L4OnDOi6D8AAAAAGAAAAPz8APwAAgAAAAAAAPC/AhB6Nqs+V9O/Ao4G8BZIUKy/AAAAABwAAAD8/AD8AAIAAAAAAADwvwKze/KwUGvaPwI5Z0Rpb/DdvwAAAAAcAAAA/PwA/AACAAAAAAAA8L8CKH6MuWsJ8j8CjgbwFkhQrL8AAAAAGAAAAPz8APwAAgAAAAAAAPC/Aih+jLlrCfI/AuC+Dpwzoug/AAAAABgAAAD8/AD8AAIAAAAAAADwvwKze/KwUGvaPwIK+aBns+ryPwAAAAAYAAAA/PwA/AACAAAAAAAA8L8CwH0dOGdE8L8COWdEaW/w3b8AAAAAGAAAAPz8APwAAgAAAAAAAPC/AvOwUGuad/2/AjlnRGlv8N2/AAAAABgAAAD8/AD8AAIAAAAAAADwvwJZF7fRAN72vwIK+aBns+ryvwAAAAAYAAAA/PwA/AACAAAAAAAA8L8C87BQa5p3/T8CCvmgZ7Pq8j8AAAAAIAAAAPz8APwAAgAAAAAAAPC/AhdIUPwYcwRAAuC+Dpwzoug/AAAAACAAAAD8/AD8AAIAAAAAAADwvwLzsFBrmnf9PwIfFmpN8w4AQAAAAAA0AAQBZQgIAAAAAAAAAAQIAWUEAAAAAAAAAAAIDAFlCAgAAAAAAAAADBABZQQAAAAAAAAAABAUAWUICAAAAAAAAAAUAAFlBAAAAAAAAAAABBgBZQQAAAAAAAAAABgcAWUEAAAAAAAAAAAcIAFlBAAAAAAAAAAAIBgBZQQAAAAAAAAAACQoAWUIAAAAAAAAAAAkLAFlBAAAAAAAAAAAECQBZQQAAAAAAAAAAAAAAAA=</t>
        </r>
      </text>
    </comment>
    <comment ref="A1971" authorId="0" shapeId="0" xr:uid="{C0556054-40F2-4997-85B5-A2334DF7E6FE}">
      <text>
        <r>
          <rPr>
            <sz val="9"/>
            <color indexed="81"/>
            <rFont val="MS P ゴシック"/>
            <family val="3"/>
            <charset val="128"/>
          </rPr>
          <t>Insight iXlW00001C0001971R0585476093S00003940P01160LAocjBAQBF1NjaVRlZ2ljLmRhdGEuTW9sZWN1bGUBbwF/ARJTY2lUZWdpYy5Nb2xlY3VsZQAAAQFkAv5qAQAAAAIAAjwcAAAA/PwA/AACAAAAAAAA8L8Ct/P91Hjp978C/Yf029eB8r8AAAAAGAAAAPz8APwAAgAAAAAAAPC/Arfz/dR46fe/AjC7Jw8Ltf+/AAAAABgAAAD8/AD8AAIAAAAAAADwvwIwuycPC7XmvwKitDf4wuQBwAAAAAAYAAAA/PwA/AACAAAAAAAA8L8CRWlv8IXJzL8ClyGOdXEb+b8AAAAAHAAAAPz8APwAAgAAAAAAAPC/AjC7Jw8Ltea/ArMMcayL2+y/AAAAABgAAAD8/AD8AAIAAAAAAADwvwIOvjCZKhjdvwKwA+eMKO29vwAAAAAYAAAA/PwA/AACAAAAAAAA8L8CFoxK6gQ04z8ClyGOdXEb+b8AAAAAHAAAAPz8APwAAgAAAAAAAPC/AqTfvg6cM/A/Apjdk4eFWuu/AAAAABgAAAD8/AD8AAIAAAAAAADwvwJ/+zpwzojWPwJgB84ZUdqrPwAAAAAYAAAA/PwA/AACAAAAAAAA8L8CBoGVQ4ts4z8CZvfkYaHW6j8AAAAAGAAAAPz8APwAAgAAAAAAAPC/Ao4G8BZIUKw/Alyxv+yePPc/AAAAABgAAAD8/AD8AAIAAAAAAADwvwKq8dJNYhDovwKwcmiR7Xz0PwAAAAAYAAAA/PwA/AACAAAAAAAA8L8CeXqlLEMc8L8CHeviNhrA3z8AAAAAAREAAAD8/AD8AAIAAAAAAADwvwJgB84ZUdrTPwKitDf4wuQBQAAAAAABEQAAAPz8APwAAgAAAAAAAPC/Arfz/dR46fc/AvjCZKpgVMI/AAAAADwABAFlCAgAAAAAAAAABAgBZQQAAAAAAAAAAAgMAWUICAAAAAAAAAAMEAFlBAAAAAAAAAAAEAABZQQAAAAAAAAAABAUAWUEAAAAAAAAAAAMGAFlBAAAAAAAAAAAGBwBZQQAAAAAAAAAABQgAWUIDAAAAAAAAAAgJAFlBAAAAAAAAAAAJCgBZQgIAAAAAAAAACgsAWUEAAAAAAAAAAAsMAFlCAgAAAAAAAAAMBQBZQQAAAAAAAAAACg0AWUEAAAAAAAAAAAAAAAA</t>
        </r>
      </text>
    </comment>
    <comment ref="A1972" authorId="0" shapeId="0" xr:uid="{EB261043-7F9E-4E63-B94F-2144C619A798}">
      <text>
        <r>
          <rPr>
            <sz val="9"/>
            <color indexed="81"/>
            <rFont val="MS P ゴシック"/>
            <family val="3"/>
            <charset val="128"/>
          </rPr>
          <t>Insight iXlW00001C0001972R0585476093S00003942P01232LAocjBAQBF1NjaVRlZ2ljLmRhdGEuTW9sZWN1bGUBbwF/ARJTY2lUZWdpYy5Nb2xlY3VsZQAAAQFkAv5qAQAAAAIAAgEQHAAAAPz8APwAAgAAAAAAAPC/AsZtNIC3QPa/Av2H9NvXgfK/AAAAABgAAAD8/AD8AAIAAAAAAADwvwLGbTSAt0D2vwIwuycPC7X/vwAAAAAYAAAA/PwA/AACAAAAAAAA8L8CumsJ+aBn478CorQ3+MLkAcAAAAAAGAAAAPz8APwAAgAAAAAAAPC/AoJzRpT2Br+/ApchjnVxG/m/AAAAABwAAAD8/AD8AAIAAAAAAADwvwK6awn5oGfjvwKzDHGsi9vsvwAAAAAYAAAA/PwA/AACAAAAAAAA8L8C5tAi2/l+1r8CsAPnjCjtvb8AAAAAGAAAAPz8APwAAgAAAAAAAPC/AvaX3ZOHheY/ApchjnVxG/m/AAAAABwAAAD8/AD8AAIAAAAAAADwvwKVZYhjXdzxPwKY3ZOHhVrrvwAAAAAYAAAA/PwA/AACAAAAAAAA8L8CQRNhw9Mr3T8CYAfOGVHaqz8AAAAAGAAAAPz8APwAAgAAAAAAAPC/AueMKO0NvuY/ArMMcayL2+o/AAAAABgAAAD8/AD8AAIAAAAAAADwvwL129eBc0bEPwJcsb/snjz3PwAAAAAYAAAA/PwA/AACAAAAAAAA8L8CyeU/pN++5L8CsHJoke189D8AAAAAGAAAAPz8APwAAgAAAAAAAPC/AhDpt68D5+y/Ah3r4jYawN8/AAAAAAERAAAA/PwA/AACAAAAAAAA8L8Cxm00gLdA9j8C3bWEfNAzAMAAAAAAIAAAAPz8APwAAgAAAAAAAPC/Ak2mCkYlddo/AqK0N/jC5AFAAAAAABgAAAD8/AD8AAIAAAAAAADwvwJKnYAmwobzPwIW+8vuyUMDQAAAAAABEAAEAWUICAAAAAAAAAAECAFlBAAAAAAAAAAACAwBZQgIAAAAAAAAAAwQAWUEAAAAAAAAAAAQAAFlBAAAAAAAAAAAEBQBZQQAAAAAAAAAAAwYAWUEAAAAAAAAAAAYHAFlBAAAAAAAAAAAFCABZQgMAAAAAAAAACAkAWUEAAAAAAAAAAAkKAFlCAgAAAAAAAAAKCwBZQQAAAAAAAAAACwwAWUICAAAAAAAAAAwFAFlBAAAAAAAAAAAODwBZQQAAAAAAAAAACg4AWUEAAAAAAAAAAAAAAAA</t>
        </r>
      </text>
    </comment>
    <comment ref="A1973" authorId="0" shapeId="0" xr:uid="{A2A994B5-F8DE-4D4B-8510-749D8A478A79}">
      <text>
        <r>
          <rPr>
            <sz val="9"/>
            <color indexed="81"/>
            <rFont val="MS P ゴシック"/>
            <family val="3"/>
            <charset val="128"/>
          </rPr>
          <t>Insight iXlW00001C0001973R0585476093S00003944P01180LAocjBAQBF1NjaVRlZ2ljLmRhdGEuTW9sZWN1bGUBbwF/ARJTY2lUZWdpYy5Nb2xlY3VsZQAAAQFkAv5qAQAAAAIAAjwcAAAA/PwA/AACAAAAAAAA8L8CotY07zhFz78Cy6FFtvP98D8AAAAAGAAAAPz8APwAAgAAAAAAAPC/AqLWNO84Rc+/AjQRNjy9Us4/AAAAABgAAAD8/AD8AAIAAAAAAADwvwJI4XoUrkfhPwI830+Nl26SvwAAAAAYAAAA/PwA/AACAAAAAAAA8L8CumsJ+aBn8D8CgLdAguLH5D8AAAAAHAAAAPz8APwAAgAAAAAAAPC/AkjhehSuR+E/Am6jAbwFEvU/AAAAABgAAAD8/AD8AAIAAAAAAADwvwIRx7q4jQbsPwICTYQNT6/ovwAAAAAYAAAA/PwA/AACAAAAAAAA8L8CbJp3nKIj+z8C3Pl+arx0678AAAAAGAAAAPz8APwAAgAAAAAAAPC/AsHKoUW2cwFAAvyp8dJNYsi/AAAAABwAAAD8/AD8AAIAAAAAAADwvwIOT6+UZYj9PwKJY13cRgPiPwAAAAAYAAAA/PwA/AACAAAAAAAA8L8C5x2n6Egu7b8CSHL5D+m3z78AAAAAGAAAAPz8APwAAgAAAAAAAPC/AhKlvcEXJvu/ApPLf0i/fX0/AAAAABgAAAD8/AD8AAIAAAAAAADwvwLByqFFtnMBwALFjzF3LSHlvwAAAAAYAAAA/PwA/AACAAAAAAAA8L8CEqW9wRcm+78CkQ96Nqs+9b8AAAAAGAAAAPz8APwAAgAAAAAAAPC/Aucdp+hILu2/Au0NvjCZKvG/AAAAAAERAAAA/PwA/AACAAAAAAAA8L8Cg1FJnYAm+T8CkQ96Nqs+9T8AAAAAARAABAFlCAgAAAAAAAAABAgBZQQAAAAAAAAAAAgMAWUICAAAAAAAAAAMEAFlBAAAAAAAAAAAEAABZQQAAAAAAAAAAAgUAWUEAAAAAAAAAAAUGAFlBAAAAAAAAAAAGBwBZQQAAAAAAAAAABwgAWUEAAAAAAAAAAAgDAFlBAAAAAAAAAAABCQBZQQAAAAAAAAAACQoAWUEAAAAAAAAAAAoLAFlBAAAAAAAAAAALDABZQQAAAAAAAAAADA0AWUEAAAAAAAAAAA0JAFlBAAAAAAAAAAAAAAAAA==</t>
        </r>
      </text>
    </comment>
    <comment ref="A1974" authorId="0" shapeId="0" xr:uid="{9856F6B2-2F08-4F44-81BA-0D4924AFA4B6}">
      <text>
        <r>
          <rPr>
            <sz val="9"/>
            <color indexed="81"/>
            <rFont val="MS P ゴシック"/>
            <family val="3"/>
            <charset val="128"/>
          </rPr>
          <t>Insight iXlW00001C0001974R0585476093S00003946P01252LAocjBAQBF1NjaVRlZ2ljLmRhdGEuTW9sZWN1bGUBbwF/ARJTY2lUZWdpYy5Nb2xlY3VsZQAAAQFkAv5qAQAAAAIAAgEQHAAAAPz8APwAAgAAAAAAAPC/Aiz2l92Th8W/AqYsQxzr4vI/AAAAABgAAAD8/AD8AAIAAAAAAADwvwIs9pfdk4fFvwJBguLHmLvWPwAAAAAYAAAA/PwA/AACAAAAAAAA8L8CKssQx7q44z8CzO7Jw0KtuT8AAAAAGAAAAPz8APwAAgAAAAAAAPC/AqtgVFInoPE/AjbNO07Rkeg/AAAAABwAAAD8/AD8AAIAAAAAAADwvwIqyxDHurjjPwK62or9Zff2PwAAAAAYAAAA/PwA/AACAAAAAAAA8L8CEVg5tMh27j8CXf5D+u3r5L8AAAAAGAAAAPz8APwAAgAAAAAAAPC/Al2PwvUoXPw/Agg9m1Wfq+e/AAAAABgAAAD8/AD8AAIAAAAAAADwvwIfFmpN8w4CQAJdbcX+snuyvwAAAAAcAAAA/PwA/AACAAAAAAAA8L8C/0P67evA/j8CPnlYqDXN5T8AAAAAGAAAAPz8APwAAgAAAAAAAPC/AueMKO0Nvuq/AizUmuYdp8C/AAAAABgAAAD8/AD8AAIAAAAAAADwvwKP5PIf0m/5vwL5wmSqYFTKPwAAAAAYAAAA/PwA/AACAAAAAAAA8L8CHxZqTfMOAsACQmDl0CLb0b8AAAAAIAAAAPz8APwAAgAAAAAAAPC/AiFB8WPMXQHAAtbnaiv2l/G/AAAAABgAAAD8/AD8AAIAAAAAAADwvwLM7snDQq32vwK62or9Zff2vwAAAAAYAAAA/PwA/AACAAAAAAAA8L8CPE7RkVz+578Cs3vysFBr7r8AAAAAAREAAAD8/AD8AAIAAAAAAADwvwKx4emVsgz7PwIW+8vuycP1PwAAAAABEQAEAWUICAAAAAAAAAAECAFlBAAAAAAAAAAACAwBZQgIAAAAAAAAAAwQAWUEAAAAAAAAAAAQAAFlBAAAAAAAAAAACBQBZQQAAAAAAAAAABQYAWUEAAAAAAAAAAAYHAFlBAAAAAAAAAAAHCABZQQAAAAAAAAAACAMAWUEAAAAAAAAAAAEJAFlBAAAAAAAAAAAJCgBZQQAAAAAAAAAACgsAWUEAAAAAAAAAAAsMAFlBAAAAAAAAAAAMDQBZQQAAAAAAAAAADQ4AWUEAAAAAAAAAAA4JAFlBAAAAAAAAAAAAAAAAA==</t>
        </r>
      </text>
    </comment>
  </commentList>
</comments>
</file>

<file path=xl/sharedStrings.xml><?xml version="1.0" encoding="utf-8"?>
<sst xmlns="http://schemas.openxmlformats.org/spreadsheetml/2006/main" count="9874" uniqueCount="4902">
  <si>
    <t>CHEMISTRY</t>
  </si>
  <si>
    <t>IDNUMBER</t>
  </si>
  <si>
    <t>SALTDATA</t>
  </si>
  <si>
    <t>Free</t>
  </si>
  <si>
    <t>Purity</t>
  </si>
  <si>
    <t>&gt;95%</t>
  </si>
  <si>
    <t>CHEMICAL_NAME</t>
  </si>
  <si>
    <t>FORMULA</t>
  </si>
  <si>
    <t>MW</t>
  </si>
  <si>
    <t>C10H13N3O2</t>
  </si>
  <si>
    <t>C8H11N3O3</t>
  </si>
  <si>
    <t>C11H14N2O3</t>
  </si>
  <si>
    <t>C9H12N2O3</t>
  </si>
  <si>
    <t>C10H14N2O3</t>
  </si>
  <si>
    <t>C16H22FN3O4</t>
  </si>
  <si>
    <t>C15H20FN3O4</t>
  </si>
  <si>
    <t>C12H16N2O3</t>
  </si>
  <si>
    <t>C12H15NO3</t>
  </si>
  <si>
    <t>C9H10FNO4</t>
  </si>
  <si>
    <t>C11H15N3O3</t>
  </si>
  <si>
    <t>CK0-00511</t>
  </si>
  <si>
    <t>2-[(3-Fluoro-2-nitrophenoxy)methyl]tetrahydrofuran</t>
  </si>
  <si>
    <t>C11H12FNO4</t>
  </si>
  <si>
    <t>C9H10FNO3</t>
  </si>
  <si>
    <t>C15H19FN2O5</t>
  </si>
  <si>
    <t>C11H14FNO3</t>
  </si>
  <si>
    <t>C11H15NO3</t>
  </si>
  <si>
    <t>C11H13NO3</t>
  </si>
  <si>
    <t>C16H21FN2O5</t>
  </si>
  <si>
    <t>CK0-00781</t>
  </si>
  <si>
    <t>tert-Butyl 1-(2-fluoro-6-nitrophenyl)piperidin-4-ylcarbamate</t>
  </si>
  <si>
    <t>C17H25N3O4</t>
  </si>
  <si>
    <t>C10H12N2O3</t>
  </si>
  <si>
    <t>C16H24FN3O2</t>
  </si>
  <si>
    <t>CK0-00911</t>
  </si>
  <si>
    <t>1-Fluoro-2-(2-methoxyethoxy)-3-nitrobenzene</t>
  </si>
  <si>
    <t>C16H25N3O2</t>
  </si>
  <si>
    <t>C14H20N2O2</t>
  </si>
  <si>
    <t>C9H14N2O</t>
  </si>
  <si>
    <t>C12H18N2O</t>
  </si>
  <si>
    <t>CK0-00991</t>
  </si>
  <si>
    <t>(S)-tert-Butyl 1-(4-fluoro-2-nitrophenyl)pyrrolidin-3-ylcarbamate</t>
  </si>
  <si>
    <t>CK0-01031</t>
  </si>
  <si>
    <t>(S)-tert-Butyl 3-(4-fluoro-2-nitrophenoxy)pyrrolidine-1-carboxylate</t>
  </si>
  <si>
    <t>CK0-01051</t>
  </si>
  <si>
    <t>4-[(4-Fluoro-2-nitrophenoxy)methyl]-1-methylpiperidine</t>
  </si>
  <si>
    <t>C13H17FN2O3</t>
  </si>
  <si>
    <t>CK0-01061</t>
  </si>
  <si>
    <t>(R)-tert-Butyl 3-(4-nitrophenoxy)pyrrolidine-1-carboxylate</t>
  </si>
  <si>
    <t>C15H20N2O5</t>
  </si>
  <si>
    <t>CK0-01071</t>
  </si>
  <si>
    <t>(S)-tert-Butyl 3-(4-nitrophenoxy)pyrrolidine-1-carboxylate</t>
  </si>
  <si>
    <t>CK0-01121</t>
  </si>
  <si>
    <t>5-Fluoro-2-(4-methylpiperazin-1-yl)aniline</t>
  </si>
  <si>
    <t>C11H16FN3</t>
  </si>
  <si>
    <t>CK0-01151</t>
  </si>
  <si>
    <t>tert-Butyl 4-(2-amino-4-fluorophenyl)piperazine-1-carboxylate</t>
  </si>
  <si>
    <t>C15H22FN3O2</t>
  </si>
  <si>
    <t>C15H24N4O2</t>
  </si>
  <si>
    <t>CK0-01261</t>
  </si>
  <si>
    <t>tert-Butyl 4-(2-amino-3-fluorophenylamino)piperidine-1-carboxylate</t>
  </si>
  <si>
    <t>CK0-01271</t>
  </si>
  <si>
    <t>2-Fluoro-6-morpholinoaniline</t>
  </si>
  <si>
    <t>C10H13FN2O</t>
  </si>
  <si>
    <t>C11H15FN2</t>
  </si>
  <si>
    <t>CK0-01321</t>
  </si>
  <si>
    <t>2-(Cyclohexyloxy)-6-fluoroaniline</t>
  </si>
  <si>
    <t>C12H16FNO</t>
  </si>
  <si>
    <t>CK0-01341</t>
  </si>
  <si>
    <t>2-(Cyclopentyloxy)-6-fluoroaniline</t>
  </si>
  <si>
    <t>C11H14FNO</t>
  </si>
  <si>
    <t>CK0-01351</t>
  </si>
  <si>
    <t>2-Fluoro-6-(2-methoxyethoxy)aniline</t>
  </si>
  <si>
    <t>C9H12FNO2</t>
  </si>
  <si>
    <t>CK0-01391</t>
  </si>
  <si>
    <t>(S)-tert-Butyl 1-(2-fluoro-6-nitrophenyl)pyrrolidin-3-ylcarbamate</t>
  </si>
  <si>
    <t>CK0-01401</t>
  </si>
  <si>
    <t>(R)-tert-Butyl 3-(2-fluoro-4-nitrophenoxy)pyrrolidine-1-carboxylate</t>
  </si>
  <si>
    <t>CK0-01411</t>
  </si>
  <si>
    <t>(S)-tert-Butyl 3-(2-fluoro-4-nitrophenoxy)pyrrolidine-1-carboxylate</t>
  </si>
  <si>
    <t>CK0-01501</t>
  </si>
  <si>
    <t>tert-Butyl 4-(2-fluoro-6-nitrophenoxy)piperidine-1-carboxylate</t>
  </si>
  <si>
    <t>CK0-01511</t>
  </si>
  <si>
    <t>(R)-tert-Butyl 3-(2-fluoro-6-nitrophenoxy)pyrrolidine-1-carboxylate</t>
  </si>
  <si>
    <t>CK0-01521</t>
  </si>
  <si>
    <t>(S)-tert-Butyl 3-(2-fluoro-6-nitrophenoxy)pyrrolidine-1-carboxylate</t>
  </si>
  <si>
    <t>CK0-01531</t>
  </si>
  <si>
    <t>4-[(2-Fluoro-6-nitrophenoxy)methyl]-1-methylpiperidine</t>
  </si>
  <si>
    <t>CK0-01541</t>
  </si>
  <si>
    <t>1-Fluoro-2-isopropoxy-3-nitrobenzene</t>
  </si>
  <si>
    <t>CK0-01571</t>
  </si>
  <si>
    <t>1-Fluoro-2-(neopentyloxy)-3-nitrobenzene</t>
  </si>
  <si>
    <t>CK0-01581</t>
  </si>
  <si>
    <t>2-[(2-fluoro-6-nitrophenoxy)methyl]tetrahydrofuran</t>
  </si>
  <si>
    <t>CK0-01591</t>
  </si>
  <si>
    <t>tert-Butyl 1-(5-aminopyridin-2-yl)piperidin-4-ylcarbamate</t>
  </si>
  <si>
    <t>CK0-01601</t>
  </si>
  <si>
    <t>(R)-tert-Butyl 1-(5-aminopyridin-2-yl)pyrrolidin-3-ylcarbamate</t>
  </si>
  <si>
    <t>C14H22N4O2</t>
  </si>
  <si>
    <t>C10H15N3</t>
  </si>
  <si>
    <t>C8H13N3O</t>
  </si>
  <si>
    <t>C9H15N3O</t>
  </si>
  <si>
    <t>CK0-01671</t>
  </si>
  <si>
    <t>(1R*,4R*)-4-(2-Amino-3-fluorophenylamino)cyclohexanol</t>
  </si>
  <si>
    <t>C12H17FN2O</t>
  </si>
  <si>
    <t>CK0-01681</t>
  </si>
  <si>
    <t>3-Fluoro-2-(piperidin-1-yl)aniline</t>
  </si>
  <si>
    <t>CK0-01721</t>
  </si>
  <si>
    <t>tert-Butyl 1-(2-amino-4-fluorophenyl)piperidin-4-ylcarbamate</t>
  </si>
  <si>
    <t>CK0-01781</t>
  </si>
  <si>
    <t>(R)-tert-Butyl 1-(3-aminopyridin-2-yl)pyrrolidin-3-ylcarbamate</t>
  </si>
  <si>
    <t>CK0-01791</t>
  </si>
  <si>
    <t>tert-Butyl 4-[(3-aminopyridin-2-ylamino)methyl]piperidine-1-carboxylate</t>
  </si>
  <si>
    <t>C16H26N4O2</t>
  </si>
  <si>
    <t>C11H17N3O</t>
  </si>
  <si>
    <t>C11H16FNO</t>
  </si>
  <si>
    <t>CK0-01931</t>
  </si>
  <si>
    <t>2-Fluoro-6-isobutoxyaniline</t>
  </si>
  <si>
    <t>C10H14FNO</t>
  </si>
  <si>
    <t>CK0-01951</t>
  </si>
  <si>
    <t>2-Fluoro-6-[(tetrahydrofuran-2-yl)methoxy]aniline</t>
  </si>
  <si>
    <t>C11H14FNO2</t>
  </si>
  <si>
    <t>CK0-01961</t>
  </si>
  <si>
    <t>5-Fluoro-2-(2-methoxyethoxy)aniline</t>
  </si>
  <si>
    <t>CK0-01991</t>
  </si>
  <si>
    <t>2-(Cyclopentyloxy)-5-fluoroaniline</t>
  </si>
  <si>
    <t>CK0-02001</t>
  </si>
  <si>
    <t>2-(Cyclohexyloxy)-5-fluoroaniline</t>
  </si>
  <si>
    <t>HCl</t>
  </si>
  <si>
    <t>C11H15ClFN3O2</t>
  </si>
  <si>
    <t>CK0-02041</t>
  </si>
  <si>
    <t>1-(5-Nitropyridin-2-yl)piperidin-4-aminehydrochloride</t>
  </si>
  <si>
    <t>C10H15ClN4O2</t>
  </si>
  <si>
    <t>C9H13ClN4O2</t>
  </si>
  <si>
    <t>CK0-02071</t>
  </si>
  <si>
    <t>(R)-1-(5-Nitropyridin-2-yl)pyrrolidin-3-amine hydrochloride</t>
  </si>
  <si>
    <t>CK0-02111</t>
  </si>
  <si>
    <t>N-(3-Fluoro-2-nitrophenyl)piperidin-4-amine hydrochloride</t>
  </si>
  <si>
    <t>CK0-02121</t>
  </si>
  <si>
    <t>1-(3-Fluoro-2-nitrophenyl)piperazine hydrochloride</t>
  </si>
  <si>
    <t>C10H13ClFN3O2</t>
  </si>
  <si>
    <t>CK0-02131</t>
  </si>
  <si>
    <t>(S)-1-(3-Fluoro-2-nitrophenyl)pyrrolidin-3-amine hydrochloride</t>
  </si>
  <si>
    <t>CK0-02141</t>
  </si>
  <si>
    <t>(R)-1-(3-Fluoro-2-nitrophenyl)pyrrolidin-3-amine hydrochloride</t>
  </si>
  <si>
    <t>CK0-02151</t>
  </si>
  <si>
    <t>3-Fluoro-2-nitro-N-(piperidin-4-ylmethyl)aniline hydrochloride</t>
  </si>
  <si>
    <t>C12H17ClFN3O2</t>
  </si>
  <si>
    <t>CK0-02161</t>
  </si>
  <si>
    <t>N-(2-Fluoro-6-nitrophenyl)piperidin-4-amine hydrochloride</t>
  </si>
  <si>
    <t>CK0-02191</t>
  </si>
  <si>
    <t>N-(4-Fluoro-2-nitrophenyl)piperidin-4-amine hydrochloride</t>
  </si>
  <si>
    <t>CK0-02201</t>
  </si>
  <si>
    <t>1-(4-Fluoro-2-nitrophenyl)piperazine hydrochloride</t>
  </si>
  <si>
    <t>CK0-02261</t>
  </si>
  <si>
    <t>(R)-1-(3-Nitropyridin-2-yl)pyrrolidin-3-amine hydrochloride</t>
  </si>
  <si>
    <t>CK0-02301</t>
  </si>
  <si>
    <t>2-Fluoro-1-(neopentyloxy)-4-nitrobenzene</t>
  </si>
  <si>
    <t>CK0-02311</t>
  </si>
  <si>
    <t>1-Isopropoxy-2-nitrobenzene</t>
  </si>
  <si>
    <t>C9H11NO3</t>
  </si>
  <si>
    <t>CK0-02321</t>
  </si>
  <si>
    <t>1-Nitro-2-(pentan-3-yloxy)benzene</t>
  </si>
  <si>
    <t>CK0-02331</t>
  </si>
  <si>
    <t>4-(2-Nitrophenoxy)tetrahydro-2H-pyran</t>
  </si>
  <si>
    <t>C11H13NO4</t>
  </si>
  <si>
    <t>C9H13N3O</t>
  </si>
  <si>
    <t>CK0-02371</t>
  </si>
  <si>
    <t>(1R*,4R*)-4-(5-Aminopyridin-2-ylamino)cyclohexanol</t>
  </si>
  <si>
    <t>C17H27N3O2</t>
  </si>
  <si>
    <t>CK0-02401</t>
  </si>
  <si>
    <t>(S)-1-(2-Aminophenyl)pyrrolidin-3-ol</t>
  </si>
  <si>
    <t>C10H14N2O</t>
  </si>
  <si>
    <t>CK0-02461</t>
  </si>
  <si>
    <t>3-Fluoro-2-(4-methylpiperazin-1-yl)aniline</t>
  </si>
  <si>
    <t>CK0-02481</t>
  </si>
  <si>
    <t>(S)-1-(2-Amino-6-fluorophenyl)pyrrolidin-3-ol</t>
  </si>
  <si>
    <t>CK0-02491</t>
  </si>
  <si>
    <t>(1R*,4R*)-4-(2-Amino-6-fluorophenylamino)cyclohexanol</t>
  </si>
  <si>
    <t>CK0-02511</t>
  </si>
  <si>
    <t>(S)-tert-Butyl 1-(3-aminopyridin-2-yl)pyrrolidin-3-ylcarbamate</t>
  </si>
  <si>
    <t>C15H22N2O3</t>
  </si>
  <si>
    <t>CK0-02561</t>
  </si>
  <si>
    <t>3-Fluoro-4-[(tetrahydro-2H-pyran-4-yl)methoxy]aniline</t>
  </si>
  <si>
    <t>C12H16FNO2</t>
  </si>
  <si>
    <t>CK0-02571</t>
  </si>
  <si>
    <t>3-Fluoro-4-(2-methoxyethoxy)aniline</t>
  </si>
  <si>
    <t>C8H10FNO</t>
  </si>
  <si>
    <t>CK0-02611</t>
  </si>
  <si>
    <t>4-(Cyclohexyloxy)-3-fluoroaniline</t>
  </si>
  <si>
    <t>CK0-02631</t>
  </si>
  <si>
    <t>3-Fluoro-4-[(tetrahydrofuran-2-yl)methoxy]aniline</t>
  </si>
  <si>
    <t>C15H21FN2O3</t>
  </si>
  <si>
    <t>CK0-02651</t>
  </si>
  <si>
    <t>(S)-tert-Butyl 3-(2-amino-3-fluorophenoxy)pyrrolidine-1-carboxylate</t>
  </si>
  <si>
    <t>CK0-02671</t>
  </si>
  <si>
    <t>2-Ethoxy-6-fluoroaniline</t>
  </si>
  <si>
    <t>CK0-02681</t>
  </si>
  <si>
    <t>2-Fluoro-6-(tetrahydro-2H-pyran-4-yloxy)aniline</t>
  </si>
  <si>
    <t>CK0-02711</t>
  </si>
  <si>
    <t>(R)-tert-Butyl 3-(2-amino-4-fluorophenoxy)pyrrolidine-1-carboxylate</t>
  </si>
  <si>
    <t>CK0-02741</t>
  </si>
  <si>
    <t>2-Ethoxy-5-fluoroaniline</t>
  </si>
  <si>
    <t>CK0-02771</t>
  </si>
  <si>
    <t>5-Fluoro-2-(neopentyloxy)aniline</t>
  </si>
  <si>
    <t>CK0-02781</t>
  </si>
  <si>
    <t>(R)-3-(3-Fluoro-2-nitrophenoxy)pyrrolidine hydrochloride</t>
  </si>
  <si>
    <t>C10H12ClFN2O3</t>
  </si>
  <si>
    <t>CK0-02791</t>
  </si>
  <si>
    <t>(S)-3-(3-Fluoro-2-nitrophenoxy)pyrrolidine hydrochloride</t>
  </si>
  <si>
    <t>CK0-02821</t>
  </si>
  <si>
    <t>4-(3-Fluoro-2-nitrophenoxy)piperidine hydrochloride</t>
  </si>
  <si>
    <t>C11H14ClFN2O3</t>
  </si>
  <si>
    <t>CK0-02841</t>
  </si>
  <si>
    <t>(R)-tert-Butyl 3-(5-nitropyridin-2-yloxy)pyrrolidine-1-carboxylate</t>
  </si>
  <si>
    <t>C14H19N3O5</t>
  </si>
  <si>
    <t>C17H23FN2O5</t>
  </si>
  <si>
    <t>CK0-02891</t>
  </si>
  <si>
    <t>4-[(3-Fluoro-2-nitrophenoxy)methyl]piperidine hydrochloride</t>
  </si>
  <si>
    <t>C12H16ClFN2O3</t>
  </si>
  <si>
    <t>C15H23N3O3</t>
  </si>
  <si>
    <t>CK0-02981</t>
  </si>
  <si>
    <t>tert-Butyl 4-[(5-aminopyridin-2-yloxy)methyl]piperidine-1-carboxylate</t>
  </si>
  <si>
    <t>C16H25N3O3</t>
  </si>
  <si>
    <t>CK0-03001</t>
  </si>
  <si>
    <t>1-(2-Amino-3-fluorophenyl)piperidin-4-ol</t>
  </si>
  <si>
    <t>C11H15FN2O</t>
  </si>
  <si>
    <t>CK0-03011</t>
  </si>
  <si>
    <t>4-(2-Fluoro-4-nitrophenoxy)tetrahydro-2H-pyran</t>
  </si>
  <si>
    <t>CK0-03051</t>
  </si>
  <si>
    <t>2-Fluoro-6-nitro-N-(piperidin-4-ylmethyl)aniline hydrochloride</t>
  </si>
  <si>
    <t>CK0-03201</t>
  </si>
  <si>
    <t>(S)-tert-Butyl 3-(2-aminophenoxy)pyrrolidine-1-carboxylate</t>
  </si>
  <si>
    <t>CK0-03231</t>
  </si>
  <si>
    <t>tert-Butyl 4-[(2-fluoro-6-nitrophenoxy)methyl]piperidine-1-carboxylate</t>
  </si>
  <si>
    <t>C11H15NO2</t>
  </si>
  <si>
    <t>CK0-03331</t>
  </si>
  <si>
    <t>2-(Cyclopentyloxy)-3-fluoroaniline</t>
  </si>
  <si>
    <t>CK0-03351</t>
  </si>
  <si>
    <t>3-Fluoro-2-isobutoxyaniline</t>
  </si>
  <si>
    <t>CK0-03451</t>
  </si>
  <si>
    <t>tert-Butyl 4-[(4-fluoro-2-nitrophenoxy)methyl]piperidine-1-carboxylate</t>
  </si>
  <si>
    <t>CK0-03481</t>
  </si>
  <si>
    <t>tert-Butyl 4-(3-aminopyridin-2-yloxy)piperidine-1-carboxylate</t>
  </si>
  <si>
    <t>CK0-03591</t>
  </si>
  <si>
    <t>4-(2-Fluoro-4-nitrophenoxy)piperidine hydrochloride</t>
  </si>
  <si>
    <t>C17H26N2O3</t>
  </si>
  <si>
    <t>CK0-03681</t>
  </si>
  <si>
    <t>2-(Cyclohexyloxy)-3-fluoroaniline</t>
  </si>
  <si>
    <t>CK0-03701</t>
  </si>
  <si>
    <t>3-Fluoro-2-[(tetrahydrofuran-2-yl)methoxy]aniline</t>
  </si>
  <si>
    <t>CK0-03711</t>
  </si>
  <si>
    <t>(S)-tert-Butyl 1-methylpyrrolidin-3-ylcarbamate</t>
  </si>
  <si>
    <t>C10H20N2O2</t>
  </si>
  <si>
    <t>C12H24N2O2</t>
  </si>
  <si>
    <t>C14H28N2O2</t>
  </si>
  <si>
    <t>C14H26N2O2</t>
  </si>
  <si>
    <t>C15H28N2O2</t>
  </si>
  <si>
    <t>C14H26N2O3</t>
  </si>
  <si>
    <t>C13H26N2O2</t>
  </si>
  <si>
    <t>C13H24N2O2</t>
  </si>
  <si>
    <t>C16H30N2O2</t>
  </si>
  <si>
    <t>CK0-03831</t>
  </si>
  <si>
    <t>(S)-tert-Butyl 1-(2-fluorobenzyl)pyrrolidin-3-ylcarbamate</t>
  </si>
  <si>
    <t>C16H23FN2O2</t>
  </si>
  <si>
    <t>CK0-03841</t>
  </si>
  <si>
    <t>(S)-tert-Butyl 1-(3-fluorobenzyl)pyrrolidin-3-ylcarbamate</t>
  </si>
  <si>
    <t>CK0-03851</t>
  </si>
  <si>
    <t>(S)-tert-Butyl 1-(4-fluorobenzyl)pyrrolidin-3-ylcarbamate</t>
  </si>
  <si>
    <t>CK0-03861</t>
  </si>
  <si>
    <t>2HCl</t>
  </si>
  <si>
    <t>(S)-1-Methylpyrrolidin-3-amine dihydrochloride</t>
  </si>
  <si>
    <t>C5H14Cl2N2</t>
  </si>
  <si>
    <t>CK0-03871</t>
  </si>
  <si>
    <t>(S)-1-(3-Fluorobenzyl)pyrrolidin-3-amine,dihydrochloride</t>
  </si>
  <si>
    <t>C11H17Cl2FN2</t>
  </si>
  <si>
    <t>CK0-04021</t>
  </si>
  <si>
    <t>(R)-tert-Butyl 1-(3-fluorobenzyl)pyrrolidin-3-ylcarbamate</t>
  </si>
  <si>
    <t>CK0-04051</t>
  </si>
  <si>
    <t>(R)-1-(3-Fluorobenzyl)pyrrolidin-3-amine,dihydrochloride</t>
  </si>
  <si>
    <t>C12H22N2O3</t>
  </si>
  <si>
    <t>C13H22N2O3</t>
  </si>
  <si>
    <t>CK0-04131</t>
  </si>
  <si>
    <t>(S)-tert-Butyl 1-(2-fluorobenzoyl)pyrrolidin-3-ylcarbamate</t>
  </si>
  <si>
    <t>C16H21FN2O3</t>
  </si>
  <si>
    <t>CK0-04141</t>
  </si>
  <si>
    <t>(S)-tert-Butyl 1-(3-fluorobenzoyl)pyrrolidin-3-ylcarbamate</t>
  </si>
  <si>
    <t>CK0-04151</t>
  </si>
  <si>
    <t>(S)-tert-Butyl 1-(4-fluorobenzoyl)pyrrolidin-3-ylcarbamate</t>
  </si>
  <si>
    <t>C8H15ClN2O</t>
  </si>
  <si>
    <t>CK0-04281</t>
  </si>
  <si>
    <t>(R)-tert-Butyl 1-(3-fluorobenzoyl)pyrrolidin-3-ylcarbamate</t>
  </si>
  <si>
    <t>C15H28N2O3</t>
  </si>
  <si>
    <t>C17H23FN2O3</t>
  </si>
  <si>
    <t>C15H30N2O2</t>
  </si>
  <si>
    <t>C12H16ClN3O3</t>
  </si>
  <si>
    <t>C17H25ClN2O2</t>
  </si>
  <si>
    <t>C13H24N2O3</t>
  </si>
  <si>
    <t>C9H19ClN2O</t>
  </si>
  <si>
    <t>C10H21ClN2O</t>
  </si>
  <si>
    <t>C9H22Cl2N2</t>
  </si>
  <si>
    <t>C12H16ClFN2O</t>
  </si>
  <si>
    <t>PK0-00211</t>
  </si>
  <si>
    <t>4-Fluoro-N-(piperidine-4-yl)benzamide hydrochloride</t>
  </si>
  <si>
    <t>C13H19ClN2O2</t>
  </si>
  <si>
    <t>C12H23ClN2O</t>
  </si>
  <si>
    <t>PK0-00271</t>
  </si>
  <si>
    <t>tert-Butyl 4-(neopentylamino)piperidine-1-carboxylate</t>
  </si>
  <si>
    <t>PK0-00291</t>
  </si>
  <si>
    <t>N-(Piperidine-4-yl)propionamido hydrochloride</t>
  </si>
  <si>
    <t>C8H17ClN2O</t>
  </si>
  <si>
    <t>C13H24N2O4</t>
  </si>
  <si>
    <t>C16H30N2O3</t>
  </si>
  <si>
    <t>C11H23ClN2O</t>
  </si>
  <si>
    <t>PK0-00351</t>
  </si>
  <si>
    <t>N-(Piperidine-4-yl)cyclopropanecarboxamido hydrochloride</t>
  </si>
  <si>
    <t>C9H17ClN2O</t>
  </si>
  <si>
    <t>PK0-00431</t>
  </si>
  <si>
    <t>2-Bromo-N-(piperidine-4-yl)benzamido hydrochloride</t>
  </si>
  <si>
    <t>C12H16BrClN2O</t>
  </si>
  <si>
    <t>PK0-00451</t>
  </si>
  <si>
    <t>3-Bromo-N-(piperidine-4-yl)benzamido hydrochloride</t>
  </si>
  <si>
    <t>C18H26N2O4</t>
  </si>
  <si>
    <t>C10H24Cl2N2</t>
  </si>
  <si>
    <t>C12H19BrCl2N2</t>
  </si>
  <si>
    <t>C13H22Cl2N2O</t>
  </si>
  <si>
    <t>PK0-00631</t>
  </si>
  <si>
    <t>tert-Butyl 4-(3-nitrobenzylamino)piperidine-1-carboxylate</t>
  </si>
  <si>
    <t>C10H19ClN2O</t>
  </si>
  <si>
    <t>C11H17Cl2N3O</t>
  </si>
  <si>
    <t>PK0-00721</t>
  </si>
  <si>
    <t>N-(Piperidin-4-yl)nicotinamide dihydrochloride</t>
  </si>
  <si>
    <t>PK0-00731</t>
  </si>
  <si>
    <t>N-(Piperidin-4-yl)isonicotinamide dihydrochloride</t>
  </si>
  <si>
    <t>C12H24N2O4S</t>
  </si>
  <si>
    <t>C7H17ClN2O2S</t>
  </si>
  <si>
    <t>PK0-00791</t>
  </si>
  <si>
    <t>N-(Piperidin-4-yl)benzenesulfonamide hydrochloride</t>
  </si>
  <si>
    <t>C11H17ClN2O2S</t>
  </si>
  <si>
    <t>PK0-00801</t>
  </si>
  <si>
    <t>tert-Butyl 4-(4-fluorophenylsulfonamido)piperidine-1-carboxylate</t>
  </si>
  <si>
    <t>C16H23FN2O4S</t>
  </si>
  <si>
    <t>C7H18Cl2N2</t>
  </si>
  <si>
    <t>PK0-00861</t>
  </si>
  <si>
    <t>tert-Butyl 4-(isopropylamino)piperidine-1-carboxylate</t>
  </si>
  <si>
    <t>PK0-00871</t>
  </si>
  <si>
    <t>N-Isopropylpiperidine-4-amine dihydrochloride</t>
  </si>
  <si>
    <t>C8H20Cl2N2</t>
  </si>
  <si>
    <t>PK0-00881</t>
  </si>
  <si>
    <t>N-(Pyridin-2-ylmethyl)piperidine-4-aminedihydrochloride</t>
  </si>
  <si>
    <t>C11H19Cl2N3</t>
  </si>
  <si>
    <t>PK0-00931</t>
  </si>
  <si>
    <t>4-[{1-(tert-Butoxycarbonyl)piperidin-4-ylamino}methyl]benzoic acid</t>
  </si>
  <si>
    <t>C14H22Cl2N2O2</t>
  </si>
  <si>
    <t>PK0-00951</t>
  </si>
  <si>
    <t>1-Ethyl-3-(piperidin-4-yl)urea hydrochloride</t>
  </si>
  <si>
    <t>C8H18ClN3O</t>
  </si>
  <si>
    <t>PK0-00961</t>
  </si>
  <si>
    <t>1-Isopropyl-3-(piperidin-4-yl)urea hydrochloride</t>
  </si>
  <si>
    <t>C9H20ClN3O</t>
  </si>
  <si>
    <t>PK0-00971</t>
  </si>
  <si>
    <t>1-Cyclopentyl-3-(piperidin-4-yl)urea hydrochloride</t>
  </si>
  <si>
    <t>C11H22ClN3O</t>
  </si>
  <si>
    <t>PK0-00991</t>
  </si>
  <si>
    <t>1-Phenyl-3-(piperidin-4-yl)urea hydrochloride</t>
  </si>
  <si>
    <t>C12H18ClN3O</t>
  </si>
  <si>
    <t>C12H17ClFN3O</t>
  </si>
  <si>
    <t>PK0-01011</t>
  </si>
  <si>
    <t>1-(4-Fluorophenyl)-3-(piperidin-4-yl)urea hydrochloride</t>
  </si>
  <si>
    <t>PK0-01021</t>
  </si>
  <si>
    <t>1-(3-Chlorophenyl)-3-(piperidin-4-yl)urea hydrochloride</t>
  </si>
  <si>
    <t>C12H17Cl2N3O</t>
  </si>
  <si>
    <t>PK0-01041</t>
  </si>
  <si>
    <t>1-(4-Bromophenyl)-3-(piperidin-4-yl)ureahydrochloride</t>
  </si>
  <si>
    <t>C12H17BrClN3O</t>
  </si>
  <si>
    <t>C13H20ClN3O</t>
  </si>
  <si>
    <t>PK0-01121</t>
  </si>
  <si>
    <t>tert-Butyl 4-[3-(4-fluorophenyl)ureido]piperidine-1-carboxylate</t>
  </si>
  <si>
    <t>C17H24FN3O3</t>
  </si>
  <si>
    <t>C8H17ClN2O2</t>
  </si>
  <si>
    <t>PK0-01211</t>
  </si>
  <si>
    <t>tert-Butyl 4-[4-(methoxycarbonyl)benzylamino]piperidine-1-carboxylate</t>
  </si>
  <si>
    <t>C19H28N2O4</t>
  </si>
  <si>
    <t>PK0-01221</t>
  </si>
  <si>
    <t>tert-Butyl 4-[3-(3-fluorophenyl)ureido]piperidine-1-carboxylate</t>
  </si>
  <si>
    <t>C14H26N2O4</t>
  </si>
  <si>
    <t>C8H15ClN2O2</t>
  </si>
  <si>
    <t>PK0-01271</t>
  </si>
  <si>
    <t>4-Bromo-N-(piperidin-4-yl)benzamide hydrochloride</t>
  </si>
  <si>
    <t>PK0-01291</t>
  </si>
  <si>
    <t>tert-Butyl 4-(2-fluorophenylsulfonamido)piperidine-1-carboxylate</t>
  </si>
  <si>
    <t>C11H16ClFN2O2S</t>
  </si>
  <si>
    <t>PK0-01311</t>
  </si>
  <si>
    <t>tert-Butyl 4-(3-fluorophenylsulfonamido)piperidine-1-carboxylate</t>
  </si>
  <si>
    <t>PK0-01321</t>
  </si>
  <si>
    <t>3-Fluoro-N-(piperidin-4-yl)benzenesulfonamide hydrochloride</t>
  </si>
  <si>
    <t>PK0-01351</t>
  </si>
  <si>
    <t>3-Bromo-N-(piperidin-4-yl)benzenesulfonamide hydrochloride</t>
  </si>
  <si>
    <t>C11H16BrClN2O2S</t>
  </si>
  <si>
    <t>PK0-01361</t>
  </si>
  <si>
    <t>4-Methoxy-N-(piperidin-4-yl)benzenesulfonamide hydrochloride</t>
  </si>
  <si>
    <t>C12H19ClN2O3S</t>
  </si>
  <si>
    <t>PK0-01371</t>
  </si>
  <si>
    <t>2-Nitro-N-(piperidin-4-yl)benzenesulfonamide hydrochloride</t>
  </si>
  <si>
    <t>C11H16ClN3O4S</t>
  </si>
  <si>
    <t>PK0-01411</t>
  </si>
  <si>
    <t>tert-Butyl 4-(2-ethoxyethylamino)piperidine-1-carboxylate</t>
  </si>
  <si>
    <t>C14H28N2O3</t>
  </si>
  <si>
    <t>PK0-01421</t>
  </si>
  <si>
    <t>N-(2-Ethoxyethyl)piperidin-4-amine dihydrochloride</t>
  </si>
  <si>
    <t>C9H22Cl2N2O</t>
  </si>
  <si>
    <t>PK0-01431</t>
  </si>
  <si>
    <t>N-(Pentan-3-yl)piperidin-4-amine dihydrochloride</t>
  </si>
  <si>
    <t>PK0-01451</t>
  </si>
  <si>
    <t>tert-Butyl 4-(2-hydroxyethylamino)piperidine-1-carboxylate</t>
  </si>
  <si>
    <t>C12H24N2O3</t>
  </si>
  <si>
    <t>PK0-01461</t>
  </si>
  <si>
    <t>tert-Butyl 4-(3-hydroxypropylamino)piperidine-1-carboxylate</t>
  </si>
  <si>
    <t>C13H26N2O3</t>
  </si>
  <si>
    <t>PK0-01471</t>
  </si>
  <si>
    <t>1-(3-Bromophenyl)-3-(piperidin-4-yl)ureahydrochloride</t>
  </si>
  <si>
    <t>PK0-01481</t>
  </si>
  <si>
    <t>1-(Piperidin-4-yl)-3-m-tolylurea hydrochloride</t>
  </si>
  <si>
    <t>C9H19ClN2O2</t>
  </si>
  <si>
    <t>C10H17Cl2N3O2S</t>
  </si>
  <si>
    <t>C16H25N3O4S</t>
  </si>
  <si>
    <t>PK0-01691</t>
  </si>
  <si>
    <t>1-Methyl-3-(piperidin-4-yl)urea hydrochloride</t>
  </si>
  <si>
    <t>C7H16ClN3O</t>
  </si>
  <si>
    <t>PK0-01721</t>
  </si>
  <si>
    <t>1-(2-Bromophenyl)-3-(piperidin-4-yl)ureahydrochloride</t>
  </si>
  <si>
    <t>C10H20ClN3O</t>
  </si>
  <si>
    <t>C10H20ClN3O2</t>
  </si>
  <si>
    <t>PK0-01821</t>
  </si>
  <si>
    <t>tert-Butyl 4-[3-(2-fluorophenyl)ureido]piperidine-1-carboxylate</t>
  </si>
  <si>
    <t>C18H24N2O3</t>
  </si>
  <si>
    <t>PK0-01871</t>
  </si>
  <si>
    <t>2-(Piperidin-4-yl)isoindolin-1-one hydrochloride</t>
  </si>
  <si>
    <t>C13H17ClN2O</t>
  </si>
  <si>
    <t>C11H21ClN2O2</t>
  </si>
  <si>
    <t>C14H19ClN2O3</t>
  </si>
  <si>
    <t>C13H26N2O4S</t>
  </si>
  <si>
    <t>C8H19ClN2O2S</t>
  </si>
  <si>
    <t>PK0-02031</t>
  </si>
  <si>
    <t>tert-Butyl 4-(ethoxycarbonylamino)piperidine-1-carboxylate</t>
  </si>
  <si>
    <t>PK0-02041</t>
  </si>
  <si>
    <t>Ethyl piperidin-4-ylcarbamate hydrochloride</t>
  </si>
  <si>
    <t>PK0-02091</t>
  </si>
  <si>
    <t>N-Methyl-N-(piperidin-4-yl)acetamide hydrochloride</t>
  </si>
  <si>
    <t>PK0-02121</t>
  </si>
  <si>
    <t>N-Methyl-N-(piperidin-4-yl)propionamidehydrochloride</t>
  </si>
  <si>
    <t>PK0-02131</t>
  </si>
  <si>
    <t>N-Ethyl-N-(piperidin-4-yl)propionamide hydrochloride</t>
  </si>
  <si>
    <t>PK0-02161</t>
  </si>
  <si>
    <t>Methyl 3-[(piperidin-4-yl)sulfamoyl]benzoate hydrochloride</t>
  </si>
  <si>
    <t>C13H19ClN2O4S</t>
  </si>
  <si>
    <t>PK0-02181</t>
  </si>
  <si>
    <t>tert-Butyl 4-[3-(methoxycarbonyl)benzylamino]piperidine-1-carboxylate</t>
  </si>
  <si>
    <t>PK0-02201</t>
  </si>
  <si>
    <t>1-Isopropylpiperidin-4-amine dihydrochloride</t>
  </si>
  <si>
    <t>PK0-02211</t>
  </si>
  <si>
    <t>tert-Butyl 1-(pentan-3-yl)piperidin-4-ylcarbamate</t>
  </si>
  <si>
    <t>PK0-02221</t>
  </si>
  <si>
    <t>1-(Pentan-3-yl)piperidin-4-amine dihydrochloride</t>
  </si>
  <si>
    <t>PK0-02231</t>
  </si>
  <si>
    <t>tert-Butyl 1-cyclopentylpiperidin-4-ylcarbamate</t>
  </si>
  <si>
    <t>PK0-02241</t>
  </si>
  <si>
    <t>1-Cyclopentylpiperidin-4-amine dihydrochloride</t>
  </si>
  <si>
    <t>C10H22Cl2N2</t>
  </si>
  <si>
    <t>PK0-02251</t>
  </si>
  <si>
    <t>tert-Butyl 1-cyclohexylpiperidin-4-ylcarbamate</t>
  </si>
  <si>
    <t>PK0-02261</t>
  </si>
  <si>
    <t>1-Cyclohexylpiperidin-4-amine dihydrochloride</t>
  </si>
  <si>
    <t>C11H24Cl2N2</t>
  </si>
  <si>
    <t>PK0-02271</t>
  </si>
  <si>
    <t>tert-Butyl 1-isobutylpiperidin-4-ylcarbamate</t>
  </si>
  <si>
    <t>PK0-02281</t>
  </si>
  <si>
    <t>1-Isobutylpiperidin-4-amine dihydrochloride</t>
  </si>
  <si>
    <t>PK0-02291</t>
  </si>
  <si>
    <t>tert-Butyl 1-(cyclopropylmethyl)piperidin-4-ylcarbamate</t>
  </si>
  <si>
    <t>PK0-02301</t>
  </si>
  <si>
    <t>1-(Cyclopropylmethyl)piperidin-4-amine dihydrochloride</t>
  </si>
  <si>
    <t>C9H20Cl2N2</t>
  </si>
  <si>
    <t>PK0-02311</t>
  </si>
  <si>
    <t>tert-Butyl 1-(cyclobutylmethyl)piperidin-4-ylcarbamate</t>
  </si>
  <si>
    <t>PK0-02321</t>
  </si>
  <si>
    <t>1-(Cyclobutylmethyl)piperidin-4-amine dihydrochloride</t>
  </si>
  <si>
    <t>PK0-02331</t>
  </si>
  <si>
    <t>tert-Butyl 1-(cyclopentylmethyl)piperidin-4-ylcarbamate</t>
  </si>
  <si>
    <t>PK0-02341</t>
  </si>
  <si>
    <t>1-(Cyclopentylmethyl)piperidin-4-amine dihydrochloride</t>
  </si>
  <si>
    <t>PK0-02351</t>
  </si>
  <si>
    <t>tert-Butyl 1-(cyclohexylmethyl)piperidin-4-ylcarbamate</t>
  </si>
  <si>
    <t>C17H32N2O2</t>
  </si>
  <si>
    <t>PK0-02361</t>
  </si>
  <si>
    <t>1-(Cyclohexylmethyl)piperidin-4-amine dihydrochloride</t>
  </si>
  <si>
    <t>C12H26Cl2N2</t>
  </si>
  <si>
    <t>PK0-02381</t>
  </si>
  <si>
    <t>3HCl</t>
  </si>
  <si>
    <t>1-(Pyridin-4-ylmethyl)piperidin-4-aminetrihydrochloride</t>
  </si>
  <si>
    <t>C11H20Cl3N3</t>
  </si>
  <si>
    <t>PK0-02391</t>
  </si>
  <si>
    <t>tert-Butyl 1-(2-fluorobenzyl)piperidin-4-ylcarbamate</t>
  </si>
  <si>
    <t>C17H25FN2O2</t>
  </si>
  <si>
    <t>C12H19Cl2FN2</t>
  </si>
  <si>
    <t>PK0-02411</t>
  </si>
  <si>
    <t>tert-Butyl 1-(3-fluorobenzyl)piperidin-4-ylcarbamate</t>
  </si>
  <si>
    <t>PK0-02431</t>
  </si>
  <si>
    <t>tert-Butyl 1-(4-fluorobenzyl)piperidin-4-ylcarbamate</t>
  </si>
  <si>
    <t>PK0-02491</t>
  </si>
  <si>
    <t>1-(4-Bromobenzyl)piperidin-4-amine dihydrochloride</t>
  </si>
  <si>
    <t>PK0-02501</t>
  </si>
  <si>
    <t>N-(Piperidine-4-yl)-1,4-butanesultam hydrochloride</t>
  </si>
  <si>
    <t>C9H19ClN2O2S</t>
  </si>
  <si>
    <t>PK0-02591</t>
  </si>
  <si>
    <t>1-(3-Methoxybenzyl)piperidin-4-amine dihydrochloride</t>
  </si>
  <si>
    <t>PK0-02651</t>
  </si>
  <si>
    <t>1-(4-Aminopiperidin-1-yl)-3,3-dimethylbutan-1-one</t>
  </si>
  <si>
    <t>C11H22N2O</t>
  </si>
  <si>
    <t>PK0-02671</t>
  </si>
  <si>
    <t>1-(4-Aminopiperidin-1-yl)-2-methoxyethanone hydrochloride</t>
  </si>
  <si>
    <t>PK0-02691</t>
  </si>
  <si>
    <t>(4-Aminopiperidin-1-yl)(cyclohexyl)methanone hydrochloride</t>
  </si>
  <si>
    <t>PK0-02751</t>
  </si>
  <si>
    <t>tert-Butyl 1-(2-fluorobenzoyl)piperidin-4-ylcarbamate</t>
  </si>
  <si>
    <t>PK0-02771</t>
  </si>
  <si>
    <t>tert-Butyl 1-(3-fluorobenzoyl)piperidin-4-ylcarbamate</t>
  </si>
  <si>
    <t>PK0-02791</t>
  </si>
  <si>
    <t>tert-Butyl 1-(4-fluorobenzoyl)piperidin-4-ylcarbamate</t>
  </si>
  <si>
    <t>PK0-02801</t>
  </si>
  <si>
    <t>(4-Aminopiperidin-1-yl)(4-fluorophenyl)methanone hydrochloride</t>
  </si>
  <si>
    <t>PK0-02851</t>
  </si>
  <si>
    <t>tert-Butyl N-[1-(ethanesulfonyl)piperidin-4-yl]carbamate</t>
  </si>
  <si>
    <t>PK0-02861</t>
  </si>
  <si>
    <t>1-(Ethylsulfonyl)piperidin-4-amine hydrochloride</t>
  </si>
  <si>
    <t>PK0-02871</t>
  </si>
  <si>
    <t>tert-Butyl 1-(isopropylsulfonyl)piperidin-4-ylcarbamate</t>
  </si>
  <si>
    <t>PK0-02881</t>
  </si>
  <si>
    <t>1-(Isopropylsulfonyl)piperidin-4-amine hydrochloride</t>
  </si>
  <si>
    <t>PK0-02891</t>
  </si>
  <si>
    <t>Ethyl 2-[4-(tert-butoxycarbonylamino)piperidin-1-yl]acetate</t>
  </si>
  <si>
    <t>PK0-02931</t>
  </si>
  <si>
    <t>1-(Piperidin-4-yl)piperidin-2-one hydrochloride</t>
  </si>
  <si>
    <t>PK0-02961</t>
  </si>
  <si>
    <t>Methyl 4-(N-piperidin-4-ylsulfamoyl)benzoate hydrochloride</t>
  </si>
  <si>
    <t>PK0-02971</t>
  </si>
  <si>
    <t>tert-Butyl 4-(4-aminophenylsulfonamido)piperidine-1-carboxylate</t>
  </si>
  <si>
    <t>PK0-03051</t>
  </si>
  <si>
    <t>(4-Aminopiperidin-1-yl)(3-bromophenyl)methanone hydrochloride</t>
  </si>
  <si>
    <t>PK0-03091</t>
  </si>
  <si>
    <t>(4-Aminopiperidin-1-yl)(3-methoxyphenyl)methanone hydrochloride</t>
  </si>
  <si>
    <t>PK0-03111</t>
  </si>
  <si>
    <t>(4-Aminopiperidin-1-yl)(2-nitrophenyl)methanone hydrochloride</t>
  </si>
  <si>
    <t>PK0-03131</t>
  </si>
  <si>
    <t>(4-Aminopiperidin-1-yl)(3-nitrophenyl)methanone hydrochloride</t>
  </si>
  <si>
    <t>PK0-03171</t>
  </si>
  <si>
    <t>Methyl 3-(4-aminopiperidine-1-carbonyl)benzoate hydrochloride</t>
  </si>
  <si>
    <t>PK0-03181</t>
  </si>
  <si>
    <t>tert-Butyl 1-(3,3-dimethyl-2-oxobutyl)piperidin-4-ylcarbamate</t>
  </si>
  <si>
    <t>PK0-03191</t>
  </si>
  <si>
    <t>1-(4-Aminopiperidin-1-yl)-3,3-dimethylbutan-2-one dihydrochloride</t>
  </si>
  <si>
    <t>C11H24Cl2N2O</t>
  </si>
  <si>
    <t>PK0-03211</t>
  </si>
  <si>
    <t>4-Amino-N-ethylpiperidine-1-carboxamidehydrochloride</t>
  </si>
  <si>
    <t>PK0-03221</t>
  </si>
  <si>
    <t>4-Amino-N-isopropylpiperidine-1-carboxamide hydrochloride</t>
  </si>
  <si>
    <t>PK0-03241</t>
  </si>
  <si>
    <t>tert-Butyl 1-(2,4-difluorobenzyl)piperidin-4-ylcarbamate</t>
  </si>
  <si>
    <t>C17H24F2N2O2</t>
  </si>
  <si>
    <t>C12H18Cl2F2N2</t>
  </si>
  <si>
    <t>PK0-03261</t>
  </si>
  <si>
    <t>tert-Butyl 1-(4-chloro-2-fluorobenzyl)piperidin-4-ylcarbamate</t>
  </si>
  <si>
    <t>C17H24ClFN2O2</t>
  </si>
  <si>
    <t>C12H18Cl3FN2</t>
  </si>
  <si>
    <t>PK0-03281</t>
  </si>
  <si>
    <t>tert-Butyl 1-(2-chloro-4-fluorobenzyl)piperidin-4-ylcarbamate</t>
  </si>
  <si>
    <t>C18H27FN2O2</t>
  </si>
  <si>
    <t>PK0-03311</t>
  </si>
  <si>
    <t>1-(4-Fluoro-2-methylbenzyl)piperidin-4-amine dihydrochloride</t>
  </si>
  <si>
    <t>C13H21Cl2FN2</t>
  </si>
  <si>
    <t>PK0-03321</t>
  </si>
  <si>
    <t>tert-Butyl 1-(3,4-difluorobenzyl)piperidin-4-ylcarbamate</t>
  </si>
  <si>
    <t>PK0-03341</t>
  </si>
  <si>
    <t>tert-Butyl 1-(3-chloro-4-fluorobenzyl)piperidin-4-ylcarbamate</t>
  </si>
  <si>
    <t>PK0-03351</t>
  </si>
  <si>
    <t>1-(3-Chloro-4-fluorobenzyl)piperidin-4-amine dihydrochloride</t>
  </si>
  <si>
    <t>C17H23F3N2O2</t>
  </si>
  <si>
    <t>PK0-03371</t>
  </si>
  <si>
    <t>1-(2,4,6-Trifluorobenzyl)piperidin-4-amine dihydrochloride</t>
  </si>
  <si>
    <t>C12H17Cl2F3N2</t>
  </si>
  <si>
    <t>PK0-03381</t>
  </si>
  <si>
    <t>tert-Butyl 1-(2,6-difluorobenzyl)piperidin-4-ylcarbamate</t>
  </si>
  <si>
    <t>PK0-03391</t>
  </si>
  <si>
    <t>1-(2,6-Difluorobenzyl)piperidin-4-aminedihydrochloride</t>
  </si>
  <si>
    <t>PK0-03401</t>
  </si>
  <si>
    <t>tert-Butyl 1-(2-chloro-6-fluorobenzyl)piperidin-4-ylcarbamate</t>
  </si>
  <si>
    <t>PK0-03421</t>
  </si>
  <si>
    <t>tert-Butyl 1-[3-fluoro-4-(trifluoromethyl)benzyl]piperidin-4-ylcarbamate</t>
  </si>
  <si>
    <t>C18H24F4N2O2</t>
  </si>
  <si>
    <t>PK0-03441</t>
  </si>
  <si>
    <t>tert-Butyl 1-(2,3-difluorobenzyl)piperidin-4-ylcarbamate</t>
  </si>
  <si>
    <t>PK0-03461</t>
  </si>
  <si>
    <t>tert-Butyl 1-(3-chloro-2-fluorobenzyl)piperidin-4-ylcarbamate</t>
  </si>
  <si>
    <t>PK0-03481</t>
  </si>
  <si>
    <t>tert-Butyl 1-(3-fluoro-2-methylbenzyl)piperidin-4-ylcarbamate</t>
  </si>
  <si>
    <t>PK0-03491</t>
  </si>
  <si>
    <t>1-(3-Fluoro-2-methylbenzyl)piperidin-4-amine dihydrochloride</t>
  </si>
  <si>
    <t>PK0-03501</t>
  </si>
  <si>
    <t>tert-Butyl 1-(2,5-difluorobenzyl)piperidin-4-ylcarbamate</t>
  </si>
  <si>
    <t>PK0-03511</t>
  </si>
  <si>
    <t>1-(2,5-Difluorobenzyl)piperidin-4-aminedihydrochloride</t>
  </si>
  <si>
    <t>PK0-03521</t>
  </si>
  <si>
    <t>tert-Butyl 1-(5-chloro-2-fluorobenzyl)piperidin-4-ylcarbamate</t>
  </si>
  <si>
    <t>PK0-03541</t>
  </si>
  <si>
    <t>tert-Butyl 1-(2-fluoro-5-methoxybenzyl)piperidin-4-ylcarbamate</t>
  </si>
  <si>
    <t>C18H27FN2O3</t>
  </si>
  <si>
    <t>C13H21Cl2FN2O</t>
  </si>
  <si>
    <t>PK0-03561</t>
  </si>
  <si>
    <t>tert-Butyl 1-(2-fluoro-5-methylbenzyl)piperidin-4-ylcarbamate</t>
  </si>
  <si>
    <t>PK0-03571</t>
  </si>
  <si>
    <t>tert-Butyl 1-(5-fluoro-2-methylbenzyl)piperidin-4-ylcarbamate</t>
  </si>
  <si>
    <t>PK0-03581</t>
  </si>
  <si>
    <t>tert-Butyl 1-(3,5-difluorobenzyl)piperidin-4-ylcarbamate</t>
  </si>
  <si>
    <t>PK0-03621</t>
  </si>
  <si>
    <t>1-(Piperidin-4-yl)imidazolidin-2-one hydrochloride</t>
  </si>
  <si>
    <t>C8H16ClN3O</t>
  </si>
  <si>
    <t>PK0-03741</t>
  </si>
  <si>
    <t>(4-Aminopiperidin-1-yl)(pyridin-4-yl)methanone dihydrochloride</t>
  </si>
  <si>
    <t>C12H20Cl2N2O</t>
  </si>
  <si>
    <t>PK0-03901</t>
  </si>
  <si>
    <t>4-[(4-Aminopiperidin-1-yl)methyl]phenoldihydrochloride</t>
  </si>
  <si>
    <t>C13H20Cl2N2O</t>
  </si>
  <si>
    <t>PK0-03991</t>
  </si>
  <si>
    <t>4-Amino-N-methylpiperidine-1-carboxamidehydrochloride</t>
  </si>
  <si>
    <t>PK0-04031</t>
  </si>
  <si>
    <t>1-(3,4,5-Trifluorobenzyl)piperidin-4-amine dihydrochloride</t>
  </si>
  <si>
    <t>PK0-04041</t>
  </si>
  <si>
    <t>1-(2-Fluoro-5-methylbenzyl)piperidin-4-amine dihydrochloride</t>
  </si>
  <si>
    <t>PK0-04051</t>
  </si>
  <si>
    <t>1-(5-Fluoro-2-methylbenzyl)piperidin-4-amine dihydrochloride</t>
  </si>
  <si>
    <t>C6H15ClN2O2S</t>
  </si>
  <si>
    <t>PK0-04301</t>
  </si>
  <si>
    <t>N-[(1R*,4R*)-4-Aminocyclohexyl]-2-fluorobenzamide hydrochloride</t>
  </si>
  <si>
    <t>C13H18ClFN2O</t>
  </si>
  <si>
    <t>PK0-04321</t>
  </si>
  <si>
    <t>N-[(1R*,4R*)-4-Aminocyclohexyl]-3-bromobenzamide hydrochloride</t>
  </si>
  <si>
    <t>C13H18BrClN2O</t>
  </si>
  <si>
    <t>PK0-04331</t>
  </si>
  <si>
    <t>N-[(1R*,4R*)-4-Aminocyclohexyl]-4-bromobenzamide hydrochloride</t>
  </si>
  <si>
    <t>C11H26Cl2N2</t>
  </si>
  <si>
    <t>PK0-04431</t>
  </si>
  <si>
    <t>tert-Butyl (1R*,4R*)-4-isobutyramidocyclohexylcarbamate</t>
  </si>
  <si>
    <t>C17H32N2O3</t>
  </si>
  <si>
    <t>C18H25FN2O3</t>
  </si>
  <si>
    <t>C16H32N2O2</t>
  </si>
  <si>
    <t>PK0-04611</t>
  </si>
  <si>
    <t>tert-Butyl (1R*,4R*)-4-[(cyclohexylmethyl)amino]cyclohexylcarbamate</t>
  </si>
  <si>
    <t>C18H34N2O2</t>
  </si>
  <si>
    <t>PK0-04651</t>
  </si>
  <si>
    <t>tert-Butyl (1R*,4R*)-4-[(pyridin-3-ylmethyl)amino]cyclohexylcarbamate</t>
  </si>
  <si>
    <t>C18H27ClN2O2</t>
  </si>
  <si>
    <t>PK0-04861</t>
  </si>
  <si>
    <t>1-(2-Methoxyethyl)piperidin-4-amine dihydrochloride</t>
  </si>
  <si>
    <t>C8H20Cl2N2O</t>
  </si>
  <si>
    <t>PK0-04901</t>
  </si>
  <si>
    <t>Methyl 3-[(4-aminopiperidin-1-yl)methyl]benzoate dihydrochloride</t>
  </si>
  <si>
    <t>PK0-04921</t>
  </si>
  <si>
    <t>1-(2-Methoxybenzyl)piperidin-4-amine dihydrochloride</t>
  </si>
  <si>
    <t>PK0-04991</t>
  </si>
  <si>
    <t>(4-Aminopiperidin-1-yl)(piperidin-1-yl)methanone hydrochloride</t>
  </si>
  <si>
    <t>PK0-05001</t>
  </si>
  <si>
    <t>(4-Aminopiperidin-1-yl)(morpholino)methanone hydrochloride</t>
  </si>
  <si>
    <t>PK0-05051</t>
  </si>
  <si>
    <t>(S)-tert-Butyl 1-cyclobutylpyrrolidin-3-ylcarbamate</t>
  </si>
  <si>
    <t>C16H23ClN2O2</t>
  </si>
  <si>
    <t>PK0-05101</t>
  </si>
  <si>
    <t>(S)-1-Cyclobutylpyrrolidin-3-amine dihydrochloride</t>
  </si>
  <si>
    <t>C8H18Cl2N2</t>
  </si>
  <si>
    <t>PK0-05111</t>
  </si>
  <si>
    <t>(S)-1-(Cyclopropylmethyl)pyrrolidin-3-amine dihydrochloride</t>
  </si>
  <si>
    <t>PK0-05121</t>
  </si>
  <si>
    <t>(S)-1-(Pyridin-3-ylmethyl)pyrrolidin-3-amine trihydrochloride</t>
  </si>
  <si>
    <t>C10H18Cl3N3</t>
  </si>
  <si>
    <t>PK0-05131</t>
  </si>
  <si>
    <t>(S)-1-(Pyridin-4-ylmethyl)pyrrolidin-3-amine trihydrochloride</t>
  </si>
  <si>
    <t>PK0-05141</t>
  </si>
  <si>
    <t>(S)-1-(2-Chlorobenzyl)pyrrolidin-3-aminedihydrochloride</t>
  </si>
  <si>
    <t>C11H17Cl3N2</t>
  </si>
  <si>
    <t>PK0-05151</t>
  </si>
  <si>
    <t>(S)-1-(3-Chlorobenzyl)pyrrolidin-3-aminedihydrochloride</t>
  </si>
  <si>
    <t>PK0-05161</t>
  </si>
  <si>
    <t>(S)-1-(2-Bromobenzyl)pyrrolidin-3-aminedihydrochloride</t>
  </si>
  <si>
    <t>C11H17BrCl2N2</t>
  </si>
  <si>
    <t>PK0-05201</t>
  </si>
  <si>
    <t>(R)-1-(4-Fluorobenzyl)pyrrolidin-3-aminedihydrochloride</t>
  </si>
  <si>
    <t>PK0-05231</t>
  </si>
  <si>
    <t>(R)-1-(3-Aminopyrrolidin-1-yl)-2-ethylbutan-1-one hydrochloride</t>
  </si>
  <si>
    <t>PK0-05251</t>
  </si>
  <si>
    <t>N-[(1R*,4R*)-4-Aminocyclohexyl]-2-methoxyacetamide hydrochloride</t>
  </si>
  <si>
    <t>PK0-05261</t>
  </si>
  <si>
    <t>N-[(1R*,4R*)-4-Aminocyclohexyl]-2-(dimethylamino)acetamide dihydrochloride</t>
  </si>
  <si>
    <t>C10H23Cl2N3O</t>
  </si>
  <si>
    <t>PK0-05271</t>
  </si>
  <si>
    <t>N-[(1R*,4R*)-4-Aminocyclohexyl]-3-methylbutanamide hydrochloride</t>
  </si>
  <si>
    <t>PK0-05291</t>
  </si>
  <si>
    <t>N-[(1R*,4R*)-4-Aminocyclohexyl]cyclopentanecarboxamide hydrochloride</t>
  </si>
  <si>
    <t>PK0-05301</t>
  </si>
  <si>
    <t>(R)-N-[(1R*,4R*)-4-Aminocyclohexyl]-tetrahydrofuran-2-carboxamide hydrochloride</t>
  </si>
  <si>
    <t>PK0-05311</t>
  </si>
  <si>
    <t>(S)-N-[(1R*,4S*)-4-Aminocyclohexyl]-tetrahydrofuran-2-carboxamide hydrochloride</t>
  </si>
  <si>
    <t>C12H19Cl2N3O</t>
  </si>
  <si>
    <t>PK0-05331</t>
  </si>
  <si>
    <t>N-[(1R*,4R*)-4-Aminocyclohexyl]nicotinamide dihydrochloride</t>
  </si>
  <si>
    <t>PK0-05341</t>
  </si>
  <si>
    <t>N-[(1R*,4R*)-4-Aminocyclohexyl]isonicotinamide dihydrochloride</t>
  </si>
  <si>
    <t>PK0-05351</t>
  </si>
  <si>
    <t>N-[(1R*,4R*)-4-Aminocyclohexyl]-4-fluorobenzamide hydrochloride</t>
  </si>
  <si>
    <t>PK0-05361</t>
  </si>
  <si>
    <t>N-[(1R*,4R*)-4-Aminocyclohexyl]-2-chlorobenzamide hydrochloride</t>
  </si>
  <si>
    <t>C13H18Cl2N2O</t>
  </si>
  <si>
    <t>PK0-05381</t>
  </si>
  <si>
    <t>N-[(1R*,4R*)-4-Aminocyclohexyl]-4-chlorobenzamide hydrochloride</t>
  </si>
  <si>
    <t>PK0-05391</t>
  </si>
  <si>
    <t>[(1R*,4R*)-4-Aminocyclohexyl]-2-bromobenzamide hydrochloride</t>
  </si>
  <si>
    <t>PK0-05401</t>
  </si>
  <si>
    <t>(1R*,4R*)-N1,N1-Dimethylcyclohexane-1,4-diamine dihydrochloride</t>
  </si>
  <si>
    <t>PK0-05411</t>
  </si>
  <si>
    <t>(1R*,4R*)-N1-Isopropylcyclohexane-1,4-diamine dihydrochloride</t>
  </si>
  <si>
    <t>PK0-05421</t>
  </si>
  <si>
    <t>(1R*,4R*)-N1-(Pentan-3-yl)cyclohexane-1,4-diamine dihydrochloride</t>
  </si>
  <si>
    <t>PK0-05431</t>
  </si>
  <si>
    <t>(1R*,4R*)-N1-Isobutylcyclohexane-1,4-diamine dihydrochloride</t>
  </si>
  <si>
    <t>PK0-05441</t>
  </si>
  <si>
    <t>(1R*,4R*)-N1-(Cyclopropylmethyl)cyclohexane-1,4-diamine dihydrochloride</t>
  </si>
  <si>
    <t>PK0-05451</t>
  </si>
  <si>
    <t>(1R*,4R*)-N1-(Cyclohexylmethyl)cyclohexane-1,4-diamine dihydrochloride</t>
  </si>
  <si>
    <t>C13H28Cl2N2</t>
  </si>
  <si>
    <t>PK0-05461</t>
  </si>
  <si>
    <t>(1R*,4R*)-N1-Cyclobutylcyclohexane-1,4-diamine dihydrochloride</t>
  </si>
  <si>
    <t>PK0-05471</t>
  </si>
  <si>
    <t>(1R*,4R*)-N1-Cyclopentylcyclohexane-1,4-diamine dihydrochloride</t>
  </si>
  <si>
    <t>PK0-05481</t>
  </si>
  <si>
    <t>(1R*,4R*)-N1-Cyclohexylcyclohexane-1,4-diamine dihydrochloride</t>
  </si>
  <si>
    <t>PK0-05491</t>
  </si>
  <si>
    <t>(1R*,4R*)-N1-(Tetrahydro-2H-pyran-4-yl)cyclohexane-1,4-diamine dihydrochloride</t>
  </si>
  <si>
    <t>PK0-05511</t>
  </si>
  <si>
    <t>(1R*,4R*)-N1-(Pyridin-3-ylmethyl)cyclohexane-1,4-diamine trihydrochloride</t>
  </si>
  <si>
    <t>C12H22Cl3N3</t>
  </si>
  <si>
    <t>C13H21Cl3N2</t>
  </si>
  <si>
    <t>PK0-05541</t>
  </si>
  <si>
    <t>(1R*,4R*)-N1-(4-Chlorobenzyl)cyclohexane-1,4-diamine dihydrochloride</t>
  </si>
  <si>
    <t>C13H21BrCl2N2</t>
  </si>
  <si>
    <t>PK0-05561</t>
  </si>
  <si>
    <t>(1R*,4R*)-N1-(3-Bromobenzyl)cyclohexane-1,4-diamine dihydrochloride</t>
  </si>
  <si>
    <t>PK0-05711</t>
  </si>
  <si>
    <t>tert-Butyl (1R*,4R*)-4-(dimethylamino)cyclohexylcarbamate</t>
  </si>
  <si>
    <t>PK0-05721</t>
  </si>
  <si>
    <t>tert-Butyl (1R*,4R*)-4-(isobutylamino)cyclohexylcarbamate</t>
  </si>
  <si>
    <t>PK0-05731</t>
  </si>
  <si>
    <t>tert-Butyl (1R*,4R*)-4-[(cyclopropylmethyl)amino]cyclohexylcarbamate</t>
  </si>
  <si>
    <t>PK0-05741</t>
  </si>
  <si>
    <t>tert-Butyl (1R*,4R*)-4-(tetrahydro-2H-pyran-4-ylamino)cyclohexylcarbamate</t>
  </si>
  <si>
    <t>C18H27BrN2O2</t>
  </si>
  <si>
    <t>PK0-05821</t>
  </si>
  <si>
    <t>Methyl3-_x0014_[(1R*,4R*)-4-(tert-butoxycarbonylamino)cyclohexylamino]methyl]benzoate</t>
  </si>
  <si>
    <t>C20H30N2O4</t>
  </si>
  <si>
    <t>PK0-05841</t>
  </si>
  <si>
    <t>tert-Butyl 1-[(tetrahydro-2H-pyran-4-yl)methyl]piperidin-4-ylcarbamate</t>
  </si>
  <si>
    <t>PK0-05851</t>
  </si>
  <si>
    <t>Methyl 4-[(4-aminopiperidin-1-yl)methyl]benzoate dihydrochloride</t>
  </si>
  <si>
    <t>PK0-05991</t>
  </si>
  <si>
    <t>1-(3-Fluoro-4-methoxybenzyl)piperidin-4-amine dihydrochloride</t>
  </si>
  <si>
    <t>PK0-06081</t>
  </si>
  <si>
    <t>(S)-1-(Pentan-3-yl)pyrrolidin-3-amine</t>
  </si>
  <si>
    <t>C9H20N2</t>
  </si>
  <si>
    <t>PK0-06091</t>
  </si>
  <si>
    <t>(S)-1-(Tetrahydro-2H-pyran-4-yl)pyrrolidin-3-amine</t>
  </si>
  <si>
    <t>C9H18N2O</t>
  </si>
  <si>
    <t>PK0-06111</t>
  </si>
  <si>
    <t>(S)-1-Neopentylpyrrolidin-3-amine</t>
  </si>
  <si>
    <t>PK0-06121</t>
  </si>
  <si>
    <t>(S)-1-(Cyclopentylmethyl)pyrrolidin-3-amine</t>
  </si>
  <si>
    <t>C10H20N2</t>
  </si>
  <si>
    <t>PK0-06131</t>
  </si>
  <si>
    <t>(S)-1-(Cyclohexylmethyl)pyrrolidin-3-amine</t>
  </si>
  <si>
    <t>C11H22N2</t>
  </si>
  <si>
    <t>PK0-06151</t>
  </si>
  <si>
    <t>(S)-1-(4-Chlorobenzyl)pyrrolidin-3-aminedihydrochloride</t>
  </si>
  <si>
    <t>PK0-06161</t>
  </si>
  <si>
    <t>(S)-1-(3-Bromobenzyl)pyrrolidin-3-aminedihydrochloride</t>
  </si>
  <si>
    <t>PK0-06171</t>
  </si>
  <si>
    <t>(S)-1-(4-Bromobenzyl)pyrrolidin-3-aminedihydrochloride</t>
  </si>
  <si>
    <t>PK0-06181</t>
  </si>
  <si>
    <t>(S)-1-(2-Methylbenzyl)pyrrolidin-3-aminedihydrochloride</t>
  </si>
  <si>
    <t>C12H20Cl2N2</t>
  </si>
  <si>
    <t>PK0-06191</t>
  </si>
  <si>
    <t>(S)-1-(3-Methylbenzyl)pyrrolidin-3-aminedihydrochloride</t>
  </si>
  <si>
    <t>PK0-06201</t>
  </si>
  <si>
    <t>(S)-1-(4-Methylbenzyl)pyrrolidin-3-aminedihydrochloride</t>
  </si>
  <si>
    <t>PK0-06211</t>
  </si>
  <si>
    <t>(S)-1-(2-Methoxybenzyl)pyrrolidin-3-amine dihydrochloride</t>
  </si>
  <si>
    <t>PK0-06221</t>
  </si>
  <si>
    <t>(S)-1-(3-Methoxybenzyl)pyrrolidin-3-amine dihydrochloride</t>
  </si>
  <si>
    <t>PK0-06231</t>
  </si>
  <si>
    <t>(R)-tert-Butyl 1-cyclobutylpyrrolidin-3-ylcarbamate</t>
  </si>
  <si>
    <t>PK0-06361</t>
  </si>
  <si>
    <t>(R)-1-Isopropylpyrrolidin-3-amine dihydrochloride</t>
  </si>
  <si>
    <t>PK0-06381</t>
  </si>
  <si>
    <t>(R)-1-Cyclopentylpyrrolidin-3-amine</t>
  </si>
  <si>
    <t>C9H18N2</t>
  </si>
  <si>
    <t>PK0-06401</t>
  </si>
  <si>
    <t>(R)-1-(Tetrahydro-2H-pyran-4-yl)pyrrolidin-3-amine</t>
  </si>
  <si>
    <t>PK0-06431</t>
  </si>
  <si>
    <t>(R)-1-Neopentylpyrrolidin-3-amine dihydrochloride</t>
  </si>
  <si>
    <t>PK0-06451</t>
  </si>
  <si>
    <t>(R)-1-(Pyridin-2-ylmethyl)pyrrolidin-3-amine</t>
  </si>
  <si>
    <t>PK0-06461</t>
  </si>
  <si>
    <t>(R)-1-(2-Fluorobenzyl)pyrrolidin-3-aminedihydrochloride</t>
  </si>
  <si>
    <t>PK0-06481</t>
  </si>
  <si>
    <t>(R)-1-(3-Chlorobenzyl)pyrrolidin-3-aminedihydrochloride</t>
  </si>
  <si>
    <t>PK0-06491</t>
  </si>
  <si>
    <t>(R)-1-(4-Chlorobenzyl)pyrrolidin-3-aminedihydrochloride</t>
  </si>
  <si>
    <t>PK0-06501</t>
  </si>
  <si>
    <t>(R)-1-(2-Bromobenzyl)pyrrolidin-3-aminedihydrochloride</t>
  </si>
  <si>
    <t>PK0-06511</t>
  </si>
  <si>
    <t>(R)-1-(4-Bromobenzyl)pyrrolidin-3-aminedihydrochloride</t>
  </si>
  <si>
    <t>PK0-06521</t>
  </si>
  <si>
    <t>(R)-1-(2-Methylbenzyl)pyrrolidin-3-aminedihydrochloride</t>
  </si>
  <si>
    <t>PK0-06561</t>
  </si>
  <si>
    <t>(R)-1-(4-Methoxybenzyl)pyrrolidin-3-amine dihydrochloride</t>
  </si>
  <si>
    <t>C10H15Cl2N3O</t>
  </si>
  <si>
    <t>C11H13FN2O</t>
  </si>
  <si>
    <t>PK0-06691</t>
  </si>
  <si>
    <t>(S)-(3-Aminopyrrolidin-1-yl)(4-fluorophenyl)methanone</t>
  </si>
  <si>
    <t>C10H19ClN2O2</t>
  </si>
  <si>
    <t>PK0-06791</t>
  </si>
  <si>
    <t>(R)-(3-Aminopyrrolidin-1-yl)(3-fluorophenyl)methanone</t>
  </si>
  <si>
    <t>PK0-06921</t>
  </si>
  <si>
    <t>(1-Cyclohexylpiperidin-4-yl)methanaminedihydrochloride</t>
  </si>
  <si>
    <t>PK0-06931</t>
  </si>
  <si>
    <t>[1-(2-Fluorobenzyl)piperidin-4-yl]methanamine dihydrochloride</t>
  </si>
  <si>
    <t>PK0-06941</t>
  </si>
  <si>
    <t>[1-(3-Bromobenzyl)piperidin-4-yl]methanamine dihydrochloride</t>
  </si>
  <si>
    <t>PK0-06951</t>
  </si>
  <si>
    <t>[1-(4-Bromobenzyl)piperidin-4-yl]methanamine dihydrochloride</t>
  </si>
  <si>
    <t>PK0-06981</t>
  </si>
  <si>
    <t>[4-(Aminomethyl)piperidin-1-yl](pyridin-4-yl)methanone dihydrochloride</t>
  </si>
  <si>
    <t>PK0-07011</t>
  </si>
  <si>
    <t>[1-(Methylsulfonyl)piperidin-4-yl]methanamine hydrochloride</t>
  </si>
  <si>
    <t>PK0-07021</t>
  </si>
  <si>
    <t>tert-Butyl _x0014_[1-(cyclohexylmethyl)piperidin-4-yl]methyl_x0015_carbamate</t>
  </si>
  <si>
    <t>PK0-07031</t>
  </si>
  <si>
    <t>tert-Butyl [(1-cyclobutylpiperidin-4-yl)methyl]carbamate</t>
  </si>
  <si>
    <t>PK0-07041</t>
  </si>
  <si>
    <t>tert-Butyl [(1-cyclohexylpiperidin-4-yl)methyl]carbamate</t>
  </si>
  <si>
    <t>PK0-07051</t>
  </si>
  <si>
    <t>tert-Butyl _x0014_[1-(2-fluorobenzyl)piperidin-4-yl]methyl_x0015_carbamate</t>
  </si>
  <si>
    <t>PK0-07111</t>
  </si>
  <si>
    <t>tert-Butyl _x0014_[1-(3-fluorobenzoyl)piperidin-4-yl]methyl_x0015_carbamate</t>
  </si>
  <si>
    <t>PK0-07121</t>
  </si>
  <si>
    <t>tert-Butyl _x0014_[1-(4-fluorobenzoyl)piperidin-4-yl]methyl_x0015_carbamate</t>
  </si>
  <si>
    <t>PK0-07131</t>
  </si>
  <si>
    <t>tert-Butyl _x0014_[1-(methylsulfonyl)piperidin-4-yl]methyl_x0015_carbamate</t>
  </si>
  <si>
    <t>PK0-07151</t>
  </si>
  <si>
    <t>1-[(Tetrahydro-2H-pyran-4-yl)methyl]piperidin-4-amine dihydrochloride</t>
  </si>
  <si>
    <t>PK0-07161</t>
  </si>
  <si>
    <t>(R)-(4-Aminopiperidin-1-yl)(tetrahydrofuran-2-yl)methanone hydrochloride</t>
  </si>
  <si>
    <t>PK0-07181</t>
  </si>
  <si>
    <t>(S)-(4-Aminopiperidin-1-yl)(tetrahydrofuran-2-yl)methanone hydrochloride</t>
  </si>
  <si>
    <t>PK0-07191</t>
  </si>
  <si>
    <t>(4-Aminopiperidin-1-yl)(pyrrolidin-1-yl)methanone hydrochloride</t>
  </si>
  <si>
    <t>PK0-07221</t>
  </si>
  <si>
    <t>(S)-1-Cyclopentylpyrrolidin-3-amine dihydrochloride</t>
  </si>
  <si>
    <t>PK0-07231</t>
  </si>
  <si>
    <t>(S)-1-(Cyclobutylmethyl)pyrrolidin-3-amine dihydrochloride</t>
  </si>
  <si>
    <t>PK0-07251</t>
  </si>
  <si>
    <t>(R)-tert-Butyl 1-ethylpyrrolidin-3-ylcarbamate</t>
  </si>
  <si>
    <t>C11H22N2O2</t>
  </si>
  <si>
    <t>PK0-07261</t>
  </si>
  <si>
    <t>(R)-tert-Butyl 1-[(tetrahydro-2H-pyran-4-yl)methyl]pyrrolidin-3-ylcarbamate</t>
  </si>
  <si>
    <t>PK0-07281</t>
  </si>
  <si>
    <t>(R)-1-Ethylpyrrolidin-3-amine dihydrochloride</t>
  </si>
  <si>
    <t>C6H16Cl2N2</t>
  </si>
  <si>
    <t>PK0-07291</t>
  </si>
  <si>
    <t>(R)-1-(Cyclopentylmethyl)pyrrolidin-3-amine dihydrochloride</t>
  </si>
  <si>
    <t>PK0-07301</t>
  </si>
  <si>
    <t>(R)-1-[(Tetrahydro-2H-pyran-4-yl)methyl]pyrrolidin-3-amine dihydrochloride</t>
  </si>
  <si>
    <t>C10H22Cl2N2O</t>
  </si>
  <si>
    <t>PK0-07371</t>
  </si>
  <si>
    <t>(R)-(3-Aminopyrrolidin-1-yl)(cyclobutyl)methanone hydrochloride</t>
  </si>
  <si>
    <t>PK0-07391</t>
  </si>
  <si>
    <t>(1R*,4R*)-N1-Methylcyclohexane-1,4-diamine dihydrochloride</t>
  </si>
  <si>
    <t>PK0-07401</t>
  </si>
  <si>
    <t>(1R*,4R*)-N1-Ethylcyclohexane-1,4-diamine dihydrochloride</t>
  </si>
  <si>
    <t>PK0-07411</t>
  </si>
  <si>
    <t>(1R*,4R*)-N1-(Cyclobutylmethyl)cyclohexane-1,4-diamine dihydrochloride</t>
  </si>
  <si>
    <t>PK0-07421</t>
  </si>
  <si>
    <t>(1R*,4R*)-N1-(Cyclopentylmethyl)cyclohexane-1,4-diamine dihydrochloride</t>
  </si>
  <si>
    <t>PK0-07431</t>
  </si>
  <si>
    <t>(1R*,4R*)-N1-(2-Fluorobenzyl)cyclohexane-1,4-diamine dihydrochloride</t>
  </si>
  <si>
    <t>PK0-07461</t>
  </si>
  <si>
    <t>tert-Butyl (1R*,4R*)-4-(methylamino)cyclohexylcarbamate</t>
  </si>
  <si>
    <t>PK0-07481</t>
  </si>
  <si>
    <t>tert-Butyl (1R*,4R*)-4-[(cyclobutylmethyl)amino]cyclohexylcarbamate</t>
  </si>
  <si>
    <t>PK0-07501</t>
  </si>
  <si>
    <t>tert-Butyl (1R*,4R*)-4-(2-fluorobenzylamino)cyclohexylcarbamate</t>
  </si>
  <si>
    <t>PK0-07511</t>
  </si>
  <si>
    <t>(1-Ethylpiperidin-4-yl)methanamine dihydrochloride</t>
  </si>
  <si>
    <t>PK0-07521</t>
  </si>
  <si>
    <t>(1-Isopropylpiperidin-4-yl)methanamine dihydrochloride</t>
  </si>
  <si>
    <t>PK0-07531</t>
  </si>
  <si>
    <t>[1-(Pentan-3-yl)piperidin-4-yl]methanamine dihydrochloride</t>
  </si>
  <si>
    <t>PK0-07541</t>
  </si>
  <si>
    <t>(1-Isobutylpiperidin-4-yl)methanamine dihydrochloride</t>
  </si>
  <si>
    <t>PK0-07551</t>
  </si>
  <si>
    <t>(1-Neopentylpiperidin-4-yl)methanamine dihydrochloride</t>
  </si>
  <si>
    <t>PK0-07561</t>
  </si>
  <si>
    <t>[1-(Cyclobutylmethyl)piperidin-4-yl]methanamine dihydrochloride</t>
  </si>
  <si>
    <t>PK0-07571</t>
  </si>
  <si>
    <t>[1-(Cyclopentylmethyl)piperidin-4-yl]methanamine dihydrochloride</t>
  </si>
  <si>
    <t>PK0-07581</t>
  </si>
  <si>
    <t>[1-(Cyclohexylmethyl)piperidin-4-yl]methanamine dihydrochloride</t>
  </si>
  <si>
    <t>PK0-07591</t>
  </si>
  <si>
    <t>_x0014_1-[(Tetrahydro-2H-pyran-4-yl)methyl]piperidin-4-yl_x0015_methanamine dihydrochlorid</t>
  </si>
  <si>
    <t>C12H26Cl2N2O</t>
  </si>
  <si>
    <t>PK0-07601</t>
  </si>
  <si>
    <t>(1-Cyclobutylpiperidin-4-yl)methanaminedihydrochloride</t>
  </si>
  <si>
    <t>PK0-07611</t>
  </si>
  <si>
    <t>[1-(Tetrahydro-2H-pyran-4-yl)piperidin-4-yl]methanamine dihydrochloride</t>
  </si>
  <si>
    <t>PK0-07621</t>
  </si>
  <si>
    <t>[1-(Pyridin-2-ylmethyl)piperidin-4-yl]methanamine trihydrochloride</t>
  </si>
  <si>
    <t>PK0-07631</t>
  </si>
  <si>
    <t>[1-(Pyridin-3-ylmethyl)piperidin-4-yl]methanamine trihydrochloride</t>
  </si>
  <si>
    <t>PK0-07641</t>
  </si>
  <si>
    <t>[1-(Pyridin-4-ylmethyl)piperidin-4-yl]methanamine trihydrochloride</t>
  </si>
  <si>
    <t>PK0-07651</t>
  </si>
  <si>
    <t>[1-(2-Chlorobenzyl)piperidin-4-yl]methanamine dihydrochloride</t>
  </si>
  <si>
    <t>PK0-07661</t>
  </si>
  <si>
    <t>[1-(4-Chlorobenzyl)piperidin-4-yl]methanamine dihydrochloride</t>
  </si>
  <si>
    <t>PK0-07671</t>
  </si>
  <si>
    <t>[1-(2-Bromobenzyl)piperidin-4-yl]methanamine dihydrochloride</t>
  </si>
  <si>
    <t>PK0-07731</t>
  </si>
  <si>
    <t>[4-(Aminomethyl)piperidin-1-yl](pyridin-3-yl)methanone dihydrochloride</t>
  </si>
  <si>
    <t>PK0-07741</t>
  </si>
  <si>
    <t>[4-(Aminomethyl)piperidin-1-yl](2-fluorophenyl)methanone hydrochloride</t>
  </si>
  <si>
    <t>PK0-07751</t>
  </si>
  <si>
    <t>[1-(Ethylsulfonyl)piperidin-4-yl]methanamine hydrochloride</t>
  </si>
  <si>
    <t>PK0-07761</t>
  </si>
  <si>
    <t>[1-(Isopropylsulfonyl)piperidin-4-yl]methanamine hydrochloride</t>
  </si>
  <si>
    <t>C9H21ClN2O2S</t>
  </si>
  <si>
    <t>PK0-07771</t>
  </si>
  <si>
    <t>tert-Butyl [(1-ethylpiperidin-4-yl)methyl]carbamate</t>
  </si>
  <si>
    <t>PK0-07781</t>
  </si>
  <si>
    <t>tert-Butyl [(1-isopropylpiperidin-4-yl)methyl]carbamate</t>
  </si>
  <si>
    <t>PK0-07791</t>
  </si>
  <si>
    <t>tert-Butyl _x0014_[1-(pentan-3-yl)piperidin-4-yl]methyl_x0015_carbamate</t>
  </si>
  <si>
    <t>PK0-07801</t>
  </si>
  <si>
    <t>tert-Butyl [(1-isobutylpiperidin-4-yl)methyl]carbamate</t>
  </si>
  <si>
    <t>PK0-07821</t>
  </si>
  <si>
    <t>tert-Butyl _x0014_[1-(cyclobutylmethyl)piperidin-4-yl]methyl_x0015_carbamate</t>
  </si>
  <si>
    <t>PK0-07831</t>
  </si>
  <si>
    <t>tert-Butyl _x0014_[1-(cyclopentylmethyl)piperidin-4-yl]methyl_x0015_carbamate</t>
  </si>
  <si>
    <t>PK0-07841</t>
  </si>
  <si>
    <t>tert-Butyl _x0014_1-[(tetrahydro-2H-pyran-4-ylmethyl)piperidin-4-yl]methyl_x0015_carbamate</t>
  </si>
  <si>
    <t>PK0-07851</t>
  </si>
  <si>
    <t>tert-Butyl _x0014_[1-(tetrahydro-2H-pyran-4-yl)piperidin-4-yl]methyl_x0015_carbamate</t>
  </si>
  <si>
    <t>PK0-07891</t>
  </si>
  <si>
    <t>tert-Butyl _x0014_[1-(2-bromobenzyl)piperidin-4-yl]methyl_x0015_carbamate</t>
  </si>
  <si>
    <t>PK0-07961</t>
  </si>
  <si>
    <t>tert-Butyl _x0014_[1-(2-fluorobenzoyl)piperidin-4-yl]methyl_x0015_carbamate</t>
  </si>
  <si>
    <t>PK0-07971</t>
  </si>
  <si>
    <t>tert-Butyl _x0014_[1-(ethylsulfonyl)piperidin-4-yl]methyl_x0015_carbamate</t>
  </si>
  <si>
    <t>PK0-07981</t>
  </si>
  <si>
    <t>tert-Butyl _x0014_[1-(isopropylsulfonyl)piperidin-4-yl]methyl_x0015_carbamate</t>
  </si>
  <si>
    <t>C14H28N2O4S</t>
  </si>
  <si>
    <t>PK0-08001</t>
  </si>
  <si>
    <t>(S)-1-Cyclohexylpyrrolidin-3-amine dihydrochloride</t>
  </si>
  <si>
    <t>PK0-08031</t>
  </si>
  <si>
    <t>(R)-1-(3-Bromobenzyl)pyrrolidin-3-aminedihydrochloride</t>
  </si>
  <si>
    <t>PK0-08041</t>
  </si>
  <si>
    <t>(R)-1-(3-Methoxybenzyl)pyrrolidin-3-amine dihydrochloride</t>
  </si>
  <si>
    <t>PK0-08081</t>
  </si>
  <si>
    <t>(R)-N-(Piperidin-3-yl)propionamide hydrochloride</t>
  </si>
  <si>
    <t>PK0-08101</t>
  </si>
  <si>
    <t>(R)-N-(Piperidin-3-yl)isobutyramide hydrochloride</t>
  </si>
  <si>
    <t>PK0-08121</t>
  </si>
  <si>
    <t>(R)-2-Methoxy-N-(piperidin-3-yl)acetamide hydrochloride</t>
  </si>
  <si>
    <t>PK0-08181</t>
  </si>
  <si>
    <t>(R)-N-(Piperidin-3-yl)-tetrahydro-2H-pyran-4-carboxamide hydrochloride</t>
  </si>
  <si>
    <t>PK0-08201</t>
  </si>
  <si>
    <t>(R)-N-(Piperidin-3-yl)nicotinamide dihydrochloride</t>
  </si>
  <si>
    <t>PK0-08211</t>
  </si>
  <si>
    <t>(R)-tert-Butyl 3-(2-fluorobenzamido)piperidine-1-carboxylate</t>
  </si>
  <si>
    <t>PK0-08231</t>
  </si>
  <si>
    <t>(R)-tert-Butyl 3-(3-fluorobenzamido)piperidine-1-carboxylate</t>
  </si>
  <si>
    <t>PK0-08251</t>
  </si>
  <si>
    <t>(R)-tert-Butyl 3-(4-fluorobenzamido)piperidine-1-carboxylate</t>
  </si>
  <si>
    <t>PK0-08281</t>
  </si>
  <si>
    <t>(R)-N-(Piperidin-3-yl)methanesulfonamidehydrochloride</t>
  </si>
  <si>
    <t>PK0-08291</t>
  </si>
  <si>
    <t>(R)-tert-Butyl 3-(ethylsulfonamido)piperidine-1-carboxylate</t>
  </si>
  <si>
    <t>PK0-08301</t>
  </si>
  <si>
    <t>(R)-N-(Piperidin-3-yl)ethanesulfonamidehydrochloride</t>
  </si>
  <si>
    <t>PK0-08311</t>
  </si>
  <si>
    <t>(R)-tert-Butyl 3-(isopropylamino)piperidine-1-carboxylate</t>
  </si>
  <si>
    <t>PK0-08351</t>
  </si>
  <si>
    <t>(R)-tert-Butyl 3-(3-fluorobenzylamino)piperidine-1-carboxylate</t>
  </si>
  <si>
    <t>PK0-08411</t>
  </si>
  <si>
    <t>(S)-tert-Butyl 3-(ethylsulfonamido)piperidine-1-carboxylate</t>
  </si>
  <si>
    <t>PK0-08421</t>
  </si>
  <si>
    <t>(S)-N-(Piperidin-3-yl)ethanesulfonamidehydrochloride</t>
  </si>
  <si>
    <t>PK0-08491</t>
  </si>
  <si>
    <t>2-(4-Bromophenyl)propan-2-amine hydrochloride</t>
  </si>
  <si>
    <t>C9H13BrClN</t>
  </si>
  <si>
    <t>PK0-08501</t>
  </si>
  <si>
    <t>2-(3-Fluorophenyl)-2-methylpropanoic acid</t>
  </si>
  <si>
    <t>C10H11FO2</t>
  </si>
  <si>
    <t>PK0-08511</t>
  </si>
  <si>
    <t>2-(3-Bromophenyl)-2-methylpropanoic acid</t>
  </si>
  <si>
    <t>C10H11BrO2</t>
  </si>
  <si>
    <t>PK0-08591</t>
  </si>
  <si>
    <t>(S)-1-(pyridin-2-ylmethyl)pyrrolidin-3-amine trihydrochloride</t>
  </si>
  <si>
    <t>PK0-08621</t>
  </si>
  <si>
    <t>(R)-1-(Cyclobutylmethyl)pyrrolidin-3-amine dihydrochloride</t>
  </si>
  <si>
    <t>PK0-08671</t>
  </si>
  <si>
    <t>(S)-1-[(Pyridin-4-yl)carbonyl]pyrrolidin-3-amine dihydrochloride</t>
  </si>
  <si>
    <t>PK0-08941</t>
  </si>
  <si>
    <t>(R)-3-Methyl-1-(piperidin-3-yl)urea hydrochloride</t>
  </si>
  <si>
    <t>PK0-09011</t>
  </si>
  <si>
    <t>(R)-N-(Piperidin-3-yl)morpholine-4-carboxamide hydrochloride</t>
  </si>
  <si>
    <t>PK0-09111</t>
  </si>
  <si>
    <t>(S)-2-(Dimethylamino)-N-(piperidin-3-yl)acetamide dihydrochloride</t>
  </si>
  <si>
    <t>C9H21Cl2N3O</t>
  </si>
  <si>
    <t>PK0-09171</t>
  </si>
  <si>
    <t>(S)-N-(Piperidin-3-yl)oxane-4-carboxamide hydrochloride</t>
  </si>
  <si>
    <t>PK0-09311</t>
  </si>
  <si>
    <t>(S)-N-(Piperidin-3-yl)methanesulfonamidehydrochloride</t>
  </si>
  <si>
    <t>PK0-09331</t>
  </si>
  <si>
    <t>(S)-N-(Piperidin-3-yl)propane-2-sulfonamide hydrochloride</t>
  </si>
  <si>
    <t>PK0-09361</t>
  </si>
  <si>
    <t>(S)-tert-Butyl 3-[(propan-2-yl)amino]piperidine-1-carboxylate</t>
  </si>
  <si>
    <t>PK0-09671</t>
  </si>
  <si>
    <t>2-(2-Fluorophenyl)propan-2-amine hydrochloride</t>
  </si>
  <si>
    <t>C9H13ClFN</t>
  </si>
  <si>
    <t>PK0-09681</t>
  </si>
  <si>
    <t>2-(3-Fluorophenyl)propan-2-amine</t>
  </si>
  <si>
    <t>C9H12FN</t>
  </si>
  <si>
    <t>PK0-09691</t>
  </si>
  <si>
    <t>tert-Butyl N-[1-(2-fluorophenyl)cyclopropyl]carbamate</t>
  </si>
  <si>
    <t>C14H18FNO2</t>
  </si>
  <si>
    <t>PK0-09701</t>
  </si>
  <si>
    <t>1-(2-Fluorophenyl)cyclopropan-1-amine hydrochloride</t>
  </si>
  <si>
    <t>C9H11ClFN</t>
  </si>
  <si>
    <t>PK0-09721</t>
  </si>
  <si>
    <t>1-(3-fluorophenyl)cyclopropanamine hydrochloride</t>
  </si>
  <si>
    <t>PK0-09731</t>
  </si>
  <si>
    <t>tert-Butyl N-[1-(4-fluorophenyl)cyclopropyl]carbamate</t>
  </si>
  <si>
    <t>PK0-09741</t>
  </si>
  <si>
    <t>1-(4-Fluorophenyl)cyclopropan-1-amine hydrochloride</t>
  </si>
  <si>
    <t>PK0-09751</t>
  </si>
  <si>
    <t>tert-Butyl N-[1-(2-fluorophenyl)cyclobutyl]carbamate</t>
  </si>
  <si>
    <t>C15H20FNO2</t>
  </si>
  <si>
    <t>PK0-09761</t>
  </si>
  <si>
    <t>1-(2-Fluorophenyl)cyclobutan-1-amine hydrochloride</t>
  </si>
  <si>
    <t>C10H13ClFN</t>
  </si>
  <si>
    <t>PK0-09781</t>
  </si>
  <si>
    <t>1-(3-fluorophenyl)cyclobutanamine hydrochloride</t>
  </si>
  <si>
    <t>PK0-09801</t>
  </si>
  <si>
    <t>1-(4-Fluorophenyl)cyclobutan-1-amine hydrochloride</t>
  </si>
  <si>
    <t>PK0-09901</t>
  </si>
  <si>
    <t>1-(2-Chlorophenyl)cyclobutan-1-amine hydrochloride</t>
  </si>
  <si>
    <t>C10H13Cl2N</t>
  </si>
  <si>
    <t>PK0-09941</t>
  </si>
  <si>
    <t>2-(2-Bromophenyl)propan-2-amine hydrochloride</t>
  </si>
  <si>
    <t>PK0-09961</t>
  </si>
  <si>
    <t>2-(3-Bromophenyl)propan-2-amine hydrochloride</t>
  </si>
  <si>
    <t>PK0-09981</t>
  </si>
  <si>
    <t>1-(2-Bromophenyl)cyclopropan-1-amine hydrochloride</t>
  </si>
  <si>
    <t>C9H11BrClN</t>
  </si>
  <si>
    <t>PK0-10001</t>
  </si>
  <si>
    <t>1-(3-Bromophenyl)cyclopropan-1-amine hydrochloride</t>
  </si>
  <si>
    <t>PK0-10021</t>
  </si>
  <si>
    <t>1-(4-Bromophenyl)cyclopropan-1-amine hydrochloride</t>
  </si>
  <si>
    <t>PK0-10041</t>
  </si>
  <si>
    <t>1-(2-Bromophenyl)cyclobutan-1-amine hydrochloride</t>
  </si>
  <si>
    <t>C10H13BrClN</t>
  </si>
  <si>
    <t>PK0-10061</t>
  </si>
  <si>
    <t>1-(3-Bromophenyl)cyclobutan-1-amine hydrochloride</t>
  </si>
  <si>
    <t>PK0-10081</t>
  </si>
  <si>
    <t>1-(4-Bromophenyl)cyclobutan-1-amine hydrochloride</t>
  </si>
  <si>
    <t>C10H16ClNO</t>
  </si>
  <si>
    <t>PK0-10121</t>
  </si>
  <si>
    <t>2-(3-Methoxyphenyl)propan-2-amine hydrochloride</t>
  </si>
  <si>
    <t>PK0-10161</t>
  </si>
  <si>
    <t>1-(2-Methoxyphenyl)cyclopropan-1-aminehydrochloride</t>
  </si>
  <si>
    <t>C10H14ClNO</t>
  </si>
  <si>
    <t>PK0-10181</t>
  </si>
  <si>
    <t>1-(3-Methoxyphenyl)cyclopropan-1-amine hydrochloride</t>
  </si>
  <si>
    <t>PK0-10201</t>
  </si>
  <si>
    <t>1-(4-Methoxyphenyl)cyclopropan-1-amine hydrochloride</t>
  </si>
  <si>
    <t>PK0-10221</t>
  </si>
  <si>
    <t>1-(2-Methoxyphenyl)cyclobutan-1-amine hydrochloride</t>
  </si>
  <si>
    <t>C11H16ClNO</t>
  </si>
  <si>
    <t>PK0-10241</t>
  </si>
  <si>
    <t>1-(3-Methoxyphenyl)cyclobutan-1-amine hydrochloride</t>
  </si>
  <si>
    <t>PK0-10261</t>
  </si>
  <si>
    <t>1-(4-Methoxyphenyl)cyclobutan-1-amine hydrochloride</t>
  </si>
  <si>
    <t>PK0-10451</t>
  </si>
  <si>
    <t>2-(2-Fluorophenyl)-2-methylpropanoic acid</t>
  </si>
  <si>
    <t>PK0-10461</t>
  </si>
  <si>
    <t>1-(2-Fluorophenyl)cyclopropane-1-carboxylic acid</t>
  </si>
  <si>
    <t>C10H9FO2</t>
  </si>
  <si>
    <t>PK0-10481</t>
  </si>
  <si>
    <t>1-(4-Fluorophenyl)cyclopropane-1-carboxylic acid</t>
  </si>
  <si>
    <t>C11H11FO2</t>
  </si>
  <si>
    <t>PK0-10501</t>
  </si>
  <si>
    <t>1-(3-Fluorophenyl)cyclobutane-1-carboxylic acid</t>
  </si>
  <si>
    <t>PK0-10511</t>
  </si>
  <si>
    <t>1-(4-Fluorophenyl)cyclobutane-1-carboxylic acid</t>
  </si>
  <si>
    <t>PK0-10521</t>
  </si>
  <si>
    <t>2-(2-Chlorophenyl)-2-methylpropanoic acid</t>
  </si>
  <si>
    <t>C10H11ClO2</t>
  </si>
  <si>
    <t>PK0-10541</t>
  </si>
  <si>
    <t>1-(2-Chlorophenyl)cyclobutane-1-carboxylic acid</t>
  </si>
  <si>
    <t>C11H11ClO2</t>
  </si>
  <si>
    <t>PK0-10561</t>
  </si>
  <si>
    <t>2-(2-Bromophenyl)-2-methylpropanoic acid</t>
  </si>
  <si>
    <t>C11H11BrO2</t>
  </si>
  <si>
    <t>PK0-10611</t>
  </si>
  <si>
    <t>1-(3-Bromophenyl)cyclobutane-1-carboxylic acid</t>
  </si>
  <si>
    <t>PK0-10621</t>
  </si>
  <si>
    <t>1-(4-Bromophenyl)cyclobutane-1-carboxylic acid</t>
  </si>
  <si>
    <t>C11H14O3</t>
  </si>
  <si>
    <t>PK0-10651</t>
  </si>
  <si>
    <t>2-(4-Methoxyphenyl)-2-methylpropanoic acid</t>
  </si>
  <si>
    <t>C11H12O3</t>
  </si>
  <si>
    <t>PK0-10671</t>
  </si>
  <si>
    <t>1-(3-Methoxyphenyl)cyclopropane-1-carboxylic acid</t>
  </si>
  <si>
    <t>C12H14O3</t>
  </si>
  <si>
    <t>PK0-10701</t>
  </si>
  <si>
    <t>1-(3-Methoxyphenyl)cyclobutane-1-carboxylic acid</t>
  </si>
  <si>
    <t>PK0-11061</t>
  </si>
  <si>
    <t>N-(2-Fluoro-5-methoxybenzyl)piperidin-4-amine dihydrochloride</t>
  </si>
  <si>
    <t>C9H11ClFNO</t>
  </si>
  <si>
    <t>PK0-11101</t>
  </si>
  <si>
    <t>3-(3-Fluorophenyl)oxetan-3-amine hydrochloride</t>
  </si>
  <si>
    <t>PK0-11161</t>
  </si>
  <si>
    <t>3-(2-Methoxyphenyl)oxetan-3-amine hydrochloride</t>
  </si>
  <si>
    <t>C10H14ClNO2</t>
  </si>
  <si>
    <t>PK0-11171</t>
  </si>
  <si>
    <t>3-(3-Methoxyphenyl)oxetan-3-amine hydrochloride</t>
  </si>
  <si>
    <t>PK0-11241</t>
  </si>
  <si>
    <t>tert-Butyl 4-(oxetan-3-ylamino)piperidine-1-carboxylate</t>
  </si>
  <si>
    <t>PK0-11251</t>
  </si>
  <si>
    <t>(S)-tert-Butyl 1-(oxetan-3-yl)piperidin--3-ylcarbamate</t>
  </si>
  <si>
    <t>C10H10FN3</t>
  </si>
  <si>
    <t>C11H13N3</t>
  </si>
  <si>
    <t>C11H13N3O</t>
  </si>
  <si>
    <t>PK0-11291</t>
  </si>
  <si>
    <t>1-(3-Methoxyphenyl)-3-methyl-1H-pyrazol-5-amine</t>
  </si>
  <si>
    <t>PK0-11301</t>
  </si>
  <si>
    <t>tert-Butyl 1-[3-(trifluoromethyl)benzyl]piperidin-4-ylcarbamate</t>
  </si>
  <si>
    <t>C18H25F3N2O2</t>
  </si>
  <si>
    <t>PK0-11311</t>
  </si>
  <si>
    <t>tert-Butyl 1-(oxetan-3-yl)piperidin-4-ylcarbamate</t>
  </si>
  <si>
    <t>PK0-11321</t>
  </si>
  <si>
    <t>1-(Oxetan-3-yl)piperidin-4-amine</t>
  </si>
  <si>
    <t>C8H16N2O</t>
  </si>
  <si>
    <t>C9H9NO4</t>
  </si>
  <si>
    <t>PK0-11341</t>
  </si>
  <si>
    <t>3-(2-Fluoro-4-nitrophenoxy)oxetane</t>
  </si>
  <si>
    <t>C9H8FNO4</t>
  </si>
  <si>
    <t>C9H11NO2</t>
  </si>
  <si>
    <t>C8H10N2O2</t>
  </si>
  <si>
    <t>PK0-11471</t>
  </si>
  <si>
    <t>1-(2-Fluorobenzyl)-1H-pyrazol-5-amine</t>
  </si>
  <si>
    <t>C11H10F3N3</t>
  </si>
  <si>
    <t>PK0-11541</t>
  </si>
  <si>
    <t>1-(4-Fluorophenyl)-1H-pyrazol-5-amine</t>
  </si>
  <si>
    <t>C9H8FN3</t>
  </si>
  <si>
    <t>C9H8ClN3</t>
  </si>
  <si>
    <t>C9H8BrN3</t>
  </si>
  <si>
    <t>PK0-11591</t>
  </si>
  <si>
    <t>1-(2-Chlorophenyl)-3-methyl-1H-pyrazol-5-amine</t>
  </si>
  <si>
    <t>C10H10ClN3</t>
  </si>
  <si>
    <t>PK0-11601</t>
  </si>
  <si>
    <t>1-(3-Chlorophenyl)-3-methyl-1H-pyrazol-5-amine</t>
  </si>
  <si>
    <t>PK0-11671</t>
  </si>
  <si>
    <t>1-(2-Fluorophenyl)-1H-pyrazole-4-carboxylic acid</t>
  </si>
  <si>
    <t>C10H7FN2O2</t>
  </si>
  <si>
    <t>PK0-11691</t>
  </si>
  <si>
    <t>1-(4-Fluorophenyl)-1H-pyrazole-4-carboxylic acid</t>
  </si>
  <si>
    <t>PK0-11701</t>
  </si>
  <si>
    <t>1-(3-Methoxyphenyl)-1H-pyrazole-4-carboxylic acid</t>
  </si>
  <si>
    <t>C11H10N2O3</t>
  </si>
  <si>
    <t>PK0-11711</t>
  </si>
  <si>
    <t>1-(2-Fluorobenzyl)-1H-pyrazole-4-carboxylic acid</t>
  </si>
  <si>
    <t>C11H9FN2O2</t>
  </si>
  <si>
    <t>PK0-11721</t>
  </si>
  <si>
    <t>1-(3-Fluorobenzyl)-1H-pyrazole-4-carboxylic acid</t>
  </si>
  <si>
    <t>C6H12Cl3N3</t>
  </si>
  <si>
    <t>C8H11Cl2F3N2</t>
  </si>
  <si>
    <t>C10H13NO3</t>
  </si>
  <si>
    <t>PK0-11871</t>
  </si>
  <si>
    <t>2-(Oxetan-3-yloxy)pyrimidin-5-amine</t>
  </si>
  <si>
    <t>C7H9N3O2</t>
  </si>
  <si>
    <t>PK0-11881</t>
  </si>
  <si>
    <t>2-(Oxetan-3-yloxy)benzenamine</t>
  </si>
  <si>
    <t>PK0-11911</t>
  </si>
  <si>
    <t>(S)-tert-Butyl 3-(oxetan-3-ylamino)pyrrolidine-1-carboxylate</t>
  </si>
  <si>
    <t>PK0-11921</t>
  </si>
  <si>
    <t>(R)-tert-Butyl 1-(oxetan-3-yl)pyrrolidin-3-ylcarbamate</t>
  </si>
  <si>
    <t>PK0-11941</t>
  </si>
  <si>
    <t>4-(Oxetan-3-yloxy)benzoic acid</t>
  </si>
  <si>
    <t>C10H10O4</t>
  </si>
  <si>
    <t>PK0-11961</t>
  </si>
  <si>
    <t>4-(Oxetan-3-yloxy)-3-(trifluoromethyl)benzoic acid</t>
  </si>
  <si>
    <t>C11H9F3O4</t>
  </si>
  <si>
    <t>PK0-11991</t>
  </si>
  <si>
    <t>(S)-tert-Butyl 3-(oxetan-3-ylamino)piperidine-1-carboxylate</t>
  </si>
  <si>
    <t>PK0-12031</t>
  </si>
  <si>
    <t>tert-Butyl (1R*,4R*)-4-(oxetan-3-ylamino)cyclohexylcarbamate</t>
  </si>
  <si>
    <t>PK0-12051</t>
  </si>
  <si>
    <t>3-Methyl-1-(pyridin-2-ylmethyl)-1H-pyrazzol-5-amine</t>
  </si>
  <si>
    <t>C10H12N4</t>
  </si>
  <si>
    <t>PK0-12061</t>
  </si>
  <si>
    <t>3-Methyl-1-(pyridin-3-ylmethyl)-1H-pyrazzol-5-amine</t>
  </si>
  <si>
    <t>C11H12FN3</t>
  </si>
  <si>
    <t>C11H12BrN3</t>
  </si>
  <si>
    <t>C9H10N4</t>
  </si>
  <si>
    <t>PK0-12131</t>
  </si>
  <si>
    <t>1-(4-Fluorophenyl)-3-methyl-1H-pyrazol-5-amine</t>
  </si>
  <si>
    <t>C6H8N2O2</t>
  </si>
  <si>
    <t>PK0-12161</t>
  </si>
  <si>
    <t>1-(2-Methoxyethyl)-1H-pyrazole-4-carboxylic acid</t>
  </si>
  <si>
    <t>C7H10N2O3</t>
  </si>
  <si>
    <t>C11H9BrN2O2</t>
  </si>
  <si>
    <t>C12H9F3N2O2</t>
  </si>
  <si>
    <t>PK0-12211</t>
  </si>
  <si>
    <t>(Tetrahydro-2H-pyran-4-yl)hydrazine dihydrochloride</t>
  </si>
  <si>
    <t>C5H14Cl2N2O</t>
  </si>
  <si>
    <t>C7H11Cl2FN2</t>
  </si>
  <si>
    <t>C11H12F3NO</t>
  </si>
  <si>
    <t>C10H8FNO2</t>
  </si>
  <si>
    <t>C11H8F3NO2</t>
  </si>
  <si>
    <t>C11H11NO3</t>
  </si>
  <si>
    <t>PK0-12521</t>
  </si>
  <si>
    <t>(R)-N-(Oxetan-3-yl)pyrrolidin-3-amine</t>
  </si>
  <si>
    <t>C7H14N2O</t>
  </si>
  <si>
    <t>PK0-12531</t>
  </si>
  <si>
    <t>(S)-N-(Oxetan-3-yl)pyrrolidin-3-amine</t>
  </si>
  <si>
    <t>PK0-12611</t>
  </si>
  <si>
    <t>(S)-N-(Oxetan-3-yl)piperidin-3-amine</t>
  </si>
  <si>
    <t>PK0-12621</t>
  </si>
  <si>
    <t>(R)-1-(Oxetan-3-yl)piperidin-3-amine</t>
  </si>
  <si>
    <t>PK0-12651</t>
  </si>
  <si>
    <t>(1R*,4R*)-N1-(Oxetan-3-yl)cyclohexane-1,4-diamine</t>
  </si>
  <si>
    <t>PK0-12691</t>
  </si>
  <si>
    <t>1-Cyclobutyl-1H-pyrazol-5-amine</t>
  </si>
  <si>
    <t>C7H11N3</t>
  </si>
  <si>
    <t>PK0-12701</t>
  </si>
  <si>
    <t>1-(Oxetan-3-yl)-1H-pyrazol-5-amine</t>
  </si>
  <si>
    <t>C6H9N3O</t>
  </si>
  <si>
    <t>C6H11N3O</t>
  </si>
  <si>
    <t>PK0-12751</t>
  </si>
  <si>
    <t>1-(Pyridin-2-ylmethyl)-1H-pyrazol-5-amine</t>
  </si>
  <si>
    <t>PK0-12771</t>
  </si>
  <si>
    <t>1-(3-Methoxybenzyl)-1H-pyrazol-5-amine</t>
  </si>
  <si>
    <t>PK0-12801</t>
  </si>
  <si>
    <t>1-(Pyridin-2-yl)-1H-pyrazol-5-amine</t>
  </si>
  <si>
    <t>C8H8N4</t>
  </si>
  <si>
    <t>PK0-12821</t>
  </si>
  <si>
    <t>1-(3-Fluorophenyl)-1H-pyrazol-5-amine</t>
  </si>
  <si>
    <t>PK0-12831</t>
  </si>
  <si>
    <t>1-(2-Chlorophenyl)-1H-pyrazol-5-amine</t>
  </si>
  <si>
    <t>PK0-12841</t>
  </si>
  <si>
    <t>1-(3-Chlorophenyl)-1H-pyrazol-5-amine</t>
  </si>
  <si>
    <t>PK0-12861</t>
  </si>
  <si>
    <t>1-(3-Bromophenyl)-1H-pyrazol-5-amine</t>
  </si>
  <si>
    <t>PK0-12891</t>
  </si>
  <si>
    <t>1-(2-Methoxyphenyl)-1H-pyrazol-5-amine</t>
  </si>
  <si>
    <t>C10H11N3O</t>
  </si>
  <si>
    <t>PK0-12921</t>
  </si>
  <si>
    <t>1-[2-(Trifluoromethyl)phenyl]-1H-pyrazol-5-amine</t>
  </si>
  <si>
    <t>C10H8F3N3</t>
  </si>
  <si>
    <t>PK0-12931</t>
  </si>
  <si>
    <t>1-[3-(Trifluoromethyl)phenyl]-1H-pyrazol-5-amine</t>
  </si>
  <si>
    <t>PK0-12941</t>
  </si>
  <si>
    <t>1-[4-(Trifluoromethyl)phenyl]-1H-pyrazol-5-amine</t>
  </si>
  <si>
    <t>PK0-12951</t>
  </si>
  <si>
    <t>1-Cyclobutyl-3-methyl-1H-pyrazol-5-amine</t>
  </si>
  <si>
    <t>C8H13N3</t>
  </si>
  <si>
    <t>PK0-12971</t>
  </si>
  <si>
    <t>2-(5-Amino-3-methyl-1H-pyrazol-1-yl)ethan-1-ol</t>
  </si>
  <si>
    <t>PK0-12981</t>
  </si>
  <si>
    <t>1-(2-Methoxyethyl)-3-methyl-1H-pyrazol-5-amine</t>
  </si>
  <si>
    <t>C7H13N3O</t>
  </si>
  <si>
    <t>PK0-12991</t>
  </si>
  <si>
    <t>1-(Cyclopropylmethyl)-3-methyl-1H-pyrazol-5-amine</t>
  </si>
  <si>
    <t>PK0-13011</t>
  </si>
  <si>
    <t>3-Methyl-1-(pyridin-4-ylmethyl)-1H-pyrazol-5-amine</t>
  </si>
  <si>
    <t>PK0-13021</t>
  </si>
  <si>
    <t>1-(4-Fluorobenzyl)-3-methyl-1H-pyrazol-5-amine</t>
  </si>
  <si>
    <t>C12H15N3O</t>
  </si>
  <si>
    <t>C12H12F3N3</t>
  </si>
  <si>
    <t>PK0-13051</t>
  </si>
  <si>
    <t>3-Methyl-1-[3-(trifluoromethyl)benzyl]-1H-pyrazol-5-amine</t>
  </si>
  <si>
    <t>PK0-13061</t>
  </si>
  <si>
    <t>3-Methyl-1-[4-(trifluoromethyl)benzyl]-1H-pyrazol-5-amine</t>
  </si>
  <si>
    <t>PK0-13121</t>
  </si>
  <si>
    <t>1-(2-Methoxyethyl)-3-phenyl-1H-pyrazol-5-amine</t>
  </si>
  <si>
    <t>PK0-13151</t>
  </si>
  <si>
    <t>1-(2-Fluorobenzyl)-4-methyl-1H-pyrazol-5-amine</t>
  </si>
  <si>
    <t>PK0-13171</t>
  </si>
  <si>
    <t>1-(3-Bromobenzyl)-4-methyl-1H-pyrazol-5-amine</t>
  </si>
  <si>
    <t>PK0-13181</t>
  </si>
  <si>
    <t>1-(4-Bromobenzyl)-4-methyl-1H-pyrazol-5-amine</t>
  </si>
  <si>
    <t>PK0-13191</t>
  </si>
  <si>
    <t>1-(2-Methoxybenzyl)-4-methyl-1H-pyrazol-5-amine</t>
  </si>
  <si>
    <t>PK0-13221</t>
  </si>
  <si>
    <t>4-Methyl-1-[2-(trifluoromethyl)benzyl]-1H-pyrazol-5-amine</t>
  </si>
  <si>
    <t>PK0-13231</t>
  </si>
  <si>
    <t>4-Methyl-1-[3-(trifluoromethyl)benzyl]-1H-pyrazol-5-amine</t>
  </si>
  <si>
    <t>PK0-13241</t>
  </si>
  <si>
    <t>4-Methyl-1-[4-(trifluoromethyl)benzyl]-1H-pyrazol-5-amine</t>
  </si>
  <si>
    <t>C7H10N2O2</t>
  </si>
  <si>
    <t>C9H12N2O2</t>
  </si>
  <si>
    <t>PK0-13291</t>
  </si>
  <si>
    <t>1-(2-Hydroxyethyl)-1H-pyrazole-4-carboxylic acid</t>
  </si>
  <si>
    <t>C6H8N2O3</t>
  </si>
  <si>
    <t>PK0-13301</t>
  </si>
  <si>
    <t>1-(Cyclopropylmethyl)-1H-pyrazole-4-carboxylic acid</t>
  </si>
  <si>
    <t>PK0-13311</t>
  </si>
  <si>
    <t>1-(Cyclobutylmethyl)-1H-pyrazole-4-carboxylic acid</t>
  </si>
  <si>
    <t>PK0-13351</t>
  </si>
  <si>
    <t>1-(Pyridin-2-yl)-1H-pyrazole-4-carboxylic acid</t>
  </si>
  <si>
    <t>C9H7N3O2</t>
  </si>
  <si>
    <t>PK0-13371</t>
  </si>
  <si>
    <t>1-(Pyridin-2-ylmethyl)-1H-pyrazole-4-carboxylic acid</t>
  </si>
  <si>
    <t>C10H9N3O2</t>
  </si>
  <si>
    <t>PK0-13381</t>
  </si>
  <si>
    <t>1-(Pyridin-3-ylmethyl)-1H-pyrazole-4-carboxylic acid</t>
  </si>
  <si>
    <t>PK0-13401</t>
  </si>
  <si>
    <t>1-(3-Methoxybenzyl)-1H-pyrazole-4-carboxylic acid</t>
  </si>
  <si>
    <t>C12H12N2O3</t>
  </si>
  <si>
    <t>PK0-13411</t>
  </si>
  <si>
    <t>1-(4-Methoxybenzyl)-1H-pyrazole-4-carboxylic acid</t>
  </si>
  <si>
    <t>PK0-13431</t>
  </si>
  <si>
    <t>1-[4-(Trifluoromethyl)benzyl]-1H-pyrazole-4-carboxylic acid</t>
  </si>
  <si>
    <t>PK0-13441</t>
  </si>
  <si>
    <t>Cyclobutylhydrazine dihydrochloride</t>
  </si>
  <si>
    <t>C4H12Cl2N2</t>
  </si>
  <si>
    <t>PK0-13451</t>
  </si>
  <si>
    <t>(Cyclopropylmethyl)hydrazine dihydrochloride</t>
  </si>
  <si>
    <t>PK0-13481</t>
  </si>
  <si>
    <t>4-(Hydrazinylmethyl)pyridine trihydrochloride</t>
  </si>
  <si>
    <t>PK0-13571</t>
  </si>
  <si>
    <t>1-(2-Methoxybenzyl)-3-methyl-1H-pyrazol-5-amine</t>
  </si>
  <si>
    <t>PK0-13601</t>
  </si>
  <si>
    <t>5-Methyl-1-(pyridin-2-yl)-1H-pyrazole-3-carboxylic acid</t>
  </si>
  <si>
    <t>PK0-13611</t>
  </si>
  <si>
    <t>5-Methyl-1-(pyridin-3-yl)-1H-pyrazole-3-carboxylic acid</t>
  </si>
  <si>
    <t>PK0-13641</t>
  </si>
  <si>
    <t>N-(Piperidin-4-yl)pyrimidin-2-amine dihydrochloride</t>
  </si>
  <si>
    <t>C9H16Cl2N4</t>
  </si>
  <si>
    <t>PK0-13691</t>
  </si>
  <si>
    <t>Benzyl 3-methyloxetan-3-ylcarbamate</t>
  </si>
  <si>
    <t>C8H14Cl2N4</t>
  </si>
  <si>
    <t>PK0-13741</t>
  </si>
  <si>
    <t>3-Methyl-1-(pyridin-3-yl)-1H-pyrazol-5-amine</t>
  </si>
  <si>
    <t>PK0-13781</t>
  </si>
  <si>
    <t>4-Methyl-1-[3-(trifluoromethyl)phenyl]-1H-pyrazol-5-amine</t>
  </si>
  <si>
    <t>PK0-13791</t>
  </si>
  <si>
    <t>1-(2,2,2-Trifluoroethyl)-1H-pyrazole-4-carboxylic acid</t>
  </si>
  <si>
    <t>C6H5F3N2O2</t>
  </si>
  <si>
    <t>PK0-13811</t>
  </si>
  <si>
    <t>[(Tetrahydro-2H-pyran-4-yl)methyl]hydrazine dihydrochloride</t>
  </si>
  <si>
    <t>C6H16Cl2N2O</t>
  </si>
  <si>
    <t>PK0-13871</t>
  </si>
  <si>
    <t>1-(Pyridin-2-yl)piperidin-4-amine dihydrochloride</t>
  </si>
  <si>
    <t>C10H17Cl2N3</t>
  </si>
  <si>
    <t>PK0-13881</t>
  </si>
  <si>
    <t>1-(Pyrimidin-4-yl)piperidin-4-amine dihydrochloride</t>
  </si>
  <si>
    <t>PK0-13891</t>
  </si>
  <si>
    <t>1-(6-Methylpyrimidin-4-yl)piperidin-4-amine dihydrochloride</t>
  </si>
  <si>
    <t>C10H18Cl2N4</t>
  </si>
  <si>
    <t>PK0-13901</t>
  </si>
  <si>
    <t>1-[6-(Trifluoromethyl)pyrimidin-4-yl]piperidin-4-amine dihydrochloride</t>
  </si>
  <si>
    <t>C10H15Cl2F3N4</t>
  </si>
  <si>
    <t>PK0-13971</t>
  </si>
  <si>
    <t>N-(Piperidin-4-yl)pyrimidin-4-amine dihydrochloride</t>
  </si>
  <si>
    <t>PK0-13981</t>
  </si>
  <si>
    <t>6-Methyl-N-(piperidin-4-yl)pyrimidin-4-amine dihydrochloride</t>
  </si>
  <si>
    <t>PK0-13991</t>
  </si>
  <si>
    <t>N-(Piperidin-4-yl)-6-(trifluoromethyl)pyrimidin-4-amine dihydrochloride</t>
  </si>
  <si>
    <t>PK0-14001</t>
  </si>
  <si>
    <t>N-(Piperidin-4-yl)pyrazin-2-amine dihydrochloride</t>
  </si>
  <si>
    <t>PK0-14041</t>
  </si>
  <si>
    <t>tert-Butyl (3R)-3-_x0014_[6-(trifluoromethyl)pyrimidin-4-yl]amino_x0015_pyrrolidine-1-carb</t>
  </si>
  <si>
    <t>C14H19F3N4O2</t>
  </si>
  <si>
    <t>PK0-14051</t>
  </si>
  <si>
    <t>N-[(3R)-Pyrrolidin-3-yl]pyrimidin-4-amine dihydrochloride</t>
  </si>
  <si>
    <t>PK0-14071</t>
  </si>
  <si>
    <t>N-[(3R)-Pyrrolidin-3-yl]-6-(trifluoromethyl)pyrimidin-4-amine dihydrochloride</t>
  </si>
  <si>
    <t>C9H13Cl2F3N4</t>
  </si>
  <si>
    <t>PK0-14101</t>
  </si>
  <si>
    <t>N-[(3S)-Pyrrolidin-3-yl]pyrimidin-2-amine dihydrochloride</t>
  </si>
  <si>
    <t>C11H15N3O2</t>
  </si>
  <si>
    <t>PK0-14181</t>
  </si>
  <si>
    <t>1-(Pyridin-4-yl)-1H-pyrazol-5-amine</t>
  </si>
  <si>
    <t>C8H6N4O2</t>
  </si>
  <si>
    <t>PK0-14221</t>
  </si>
  <si>
    <t>1-(Oxan-4-ylmethyl)-3-phenyl-1H-pyrazol-5-amine</t>
  </si>
  <si>
    <t>C15H19N3O</t>
  </si>
  <si>
    <t>C5H9N3</t>
  </si>
  <si>
    <t>PK0-14241</t>
  </si>
  <si>
    <t>4-Methyl-1-(oxetan-3-yl)-1H-pyrazol-5-amine</t>
  </si>
  <si>
    <t>C7H11N3O</t>
  </si>
  <si>
    <t>PK0-14271</t>
  </si>
  <si>
    <t>4-Methyl-1-(pyridin-4-ylmethyl)-1H-pyrazol-5-amine</t>
  </si>
  <si>
    <t>PK0-14341</t>
  </si>
  <si>
    <t>4-Methyl-1-(4-methylphenyl)-1H-pyrazol-5-amine</t>
  </si>
  <si>
    <t>PK0-14371</t>
  </si>
  <si>
    <t>1-(Oxan-4-ylmethyl)-1H-pyrazole-4-carboxylic acid</t>
  </si>
  <si>
    <t>PK0-14391</t>
  </si>
  <si>
    <t>1-[(2-Methoxyphenyl)methyl]-1H-pyrazole-4-carboxylic acid</t>
  </si>
  <si>
    <t>PK0-14401</t>
  </si>
  <si>
    <t>3-Methyloxetan-3-amine hydrochloride</t>
  </si>
  <si>
    <t>C4H10ClNO</t>
  </si>
  <si>
    <t>C6H7F3N4</t>
  </si>
  <si>
    <t>C11H11FN4</t>
  </si>
  <si>
    <t>PK0-14441</t>
  </si>
  <si>
    <t>3-(4-Fluorophenyl)-5H,6H,7H,8H-[1,2,4]triazolo[4,3-a]pyrimidine</t>
  </si>
  <si>
    <t>C7H14ClNO</t>
  </si>
  <si>
    <t>C6H14ClNO</t>
  </si>
  <si>
    <t>PK0-14481</t>
  </si>
  <si>
    <t>3-Ethyl-N-methyloxetan-3-amine hydrochloride</t>
  </si>
  <si>
    <t>C7H16ClNO</t>
  </si>
  <si>
    <t>PK0-14551</t>
  </si>
  <si>
    <t>6-Methyl-N-[(3S)-pyrrolidin-3-yl]pyrimidin-4-amine dihydrochloride</t>
  </si>
  <si>
    <t>PK0-14571</t>
  </si>
  <si>
    <t>(3R)-1-(Pyrimidin-2-yl)pyrrolidin-3-amine hydrochloride</t>
  </si>
  <si>
    <t>C8H13ClN4</t>
  </si>
  <si>
    <t>PK0-14601</t>
  </si>
  <si>
    <t>(3S)-1-(Pyrimidin-2-yl)pyrrolidin-3-amine hydrochloride</t>
  </si>
  <si>
    <t>PK0-14631</t>
  </si>
  <si>
    <t>1-Cyclobutyl-4-methyl-1H-pyrazol-5-amine</t>
  </si>
  <si>
    <t>PK0-14651</t>
  </si>
  <si>
    <t>2-(5-Amino-4-methyl-1H-pyrazol-1-yl)ethan-1-ol</t>
  </si>
  <si>
    <t>PK0-14701</t>
  </si>
  <si>
    <t>5-Methyl-1-(2,2,2-trifluoroethyl)-1H-pyrazole-3-carboxylic acid</t>
  </si>
  <si>
    <t>C7H7F3N2O2</t>
  </si>
  <si>
    <t>C8H9N3O2</t>
  </si>
  <si>
    <t>PK0-14761</t>
  </si>
  <si>
    <t>1-(Pyrazin-2-yl)-1H-imidazole-4-carboxylic acid</t>
  </si>
  <si>
    <t>PK0-14861</t>
  </si>
  <si>
    <t>3-Methyl-5H,6H,7H,8H-[1,2,4]triazolo[4,3-a]pyrimidine</t>
  </si>
  <si>
    <t>C6H10N4</t>
  </si>
  <si>
    <t>PK0-14961</t>
  </si>
  <si>
    <t>tert-Butyl N-[(3R)-1-[6-(trifluoromethyl)pyrimidin-4-yl]pyrrolidin-3-yl]carbamate</t>
  </si>
  <si>
    <t>PK0-14981</t>
  </si>
  <si>
    <t>(3R)-1-(Pyrimidin-4-yl)pyrrolidin-3-amine dihydrochloride</t>
  </si>
  <si>
    <t>PK0-14991</t>
  </si>
  <si>
    <t>(3R)-1-(6-Methylpyrimidin-4-yl)pyrrolidin-3-amine dihydrochloride</t>
  </si>
  <si>
    <t>PK0-15001</t>
  </si>
  <si>
    <t>(3R)-1-[6-(Trifluoromethyl)pyrimidin-4-yl]pyrrolidin-3-amine dihydrochloride</t>
  </si>
  <si>
    <t>PK0-15031</t>
  </si>
  <si>
    <t>tert-Butyl N-[(3S)-1-[6-(trifluoromethyl)pyrimidin-4-yl]pyrrolidin-3-yl]carbamate</t>
  </si>
  <si>
    <t>PK0-15071</t>
  </si>
  <si>
    <t>(3S)-1-[6-(Trifluoromethyl)pyrimidin-4-yl]pyrrolidin-3-amine dihydrochloride</t>
  </si>
  <si>
    <t>PK0-15131</t>
  </si>
  <si>
    <t>[1-(Pyrimidin-2-yl)piperidin-4-yl]methanamine dihydrochloride</t>
  </si>
  <si>
    <t>PK0-15161</t>
  </si>
  <si>
    <t>1-(2,2,2-trifluoroethyl)-1H-pyrazol-5-amine</t>
  </si>
  <si>
    <t>C5H6F3N3</t>
  </si>
  <si>
    <t>PK0-15181</t>
  </si>
  <si>
    <t>3-Methyl-1-(2,2,2-trifluoroethyl)-1H-pyrazol-5-amine</t>
  </si>
  <si>
    <t>C6H8F3N3</t>
  </si>
  <si>
    <t>PK0-15191</t>
  </si>
  <si>
    <t>3-Methyl-1-(2,2,2-trifluoroethyl)-1H-pyrazole-5-carboxylic acid</t>
  </si>
  <si>
    <t>PK0-15231</t>
  </si>
  <si>
    <t>3-Phenyl-1-(2,2,2-trifluoroethyl)-1H-pyrazol-5-amine</t>
  </si>
  <si>
    <t>C8H12N2O2</t>
  </si>
  <si>
    <t>PK0-15251</t>
  </si>
  <si>
    <t>1-(1-Acetylpiperidin-4-yl)-1H-pyrazole-4-carboxylic acid</t>
  </si>
  <si>
    <t>PK0-15291</t>
  </si>
  <si>
    <t>1-(Pyrimidin-4-yl)azetidine-3-carboxylicacid</t>
  </si>
  <si>
    <t>C6H10ClN3O</t>
  </si>
  <si>
    <t>PK0-15331</t>
  </si>
  <si>
    <t>1-(Pyrimidin-2-yl)cyclopropan-1-amine hydrochloride</t>
  </si>
  <si>
    <t>C7H10ClN3</t>
  </si>
  <si>
    <t>PK0-15361</t>
  </si>
  <si>
    <t>3,9-Diazaspiro[5.5]undecan-2-one</t>
  </si>
  <si>
    <t>C9H16N2O</t>
  </si>
  <si>
    <t>PK0-15391</t>
  </si>
  <si>
    <t>2H-Spiro[1-benzofuran-3,4'-piperidine]</t>
  </si>
  <si>
    <t>C12H15NO</t>
  </si>
  <si>
    <t>C11H13N5</t>
  </si>
  <si>
    <t>PK0-15431</t>
  </si>
  <si>
    <t>4-_x0014_5H,6H,7H,8H,9H-[1,2,4]Triazolo[4,3-a][1,3]diazepin-3-yl_x0015_pyridine</t>
  </si>
  <si>
    <t>PK0-15441</t>
  </si>
  <si>
    <t>tert-Butyl 2'-oxo-2',4'-dihydro-1'H-spiro[piperidine-4,3'-quinoline]-1-carboxylate</t>
  </si>
  <si>
    <t>PK0-15451</t>
  </si>
  <si>
    <t>2',4'-Dihydro-1'H-spiro[piperidine-4,3'-quinoline]-2'-one hydrochloride</t>
  </si>
  <si>
    <t>PK0-15461</t>
  </si>
  <si>
    <t>tert-Butyl 2',4'-dihydro-1'H-spiro[piperidine-4,3'-quinoline]-1-carboxylate</t>
  </si>
  <si>
    <t>C18H26N2O2</t>
  </si>
  <si>
    <t>C18H25N3O3</t>
  </si>
  <si>
    <t>PK0-15521</t>
  </si>
  <si>
    <t>3-(Propan-2-yl)-5H,6H,7H,8H-[1,2,4]triazolo[4,3-a]pyrimidine</t>
  </si>
  <si>
    <t>C8H14N4</t>
  </si>
  <si>
    <t>PK0-15591</t>
  </si>
  <si>
    <t>2-(Piperidin-4-yloxy)pyridine</t>
  </si>
  <si>
    <t>PK0-15621</t>
  </si>
  <si>
    <t>N-[(3R)-Pyrrolidin-3-yl]pyridin-2-aminedihydrochloride</t>
  </si>
  <si>
    <t>C9H15Cl2N3</t>
  </si>
  <si>
    <t>PK0-15631</t>
  </si>
  <si>
    <t>N-[(3R)-Pyrrolidin-3-yl]quinazolin-4-amine</t>
  </si>
  <si>
    <t>C12H14N4</t>
  </si>
  <si>
    <t>PK0-15681</t>
  </si>
  <si>
    <t>(3R)-1-(Quinazolin-4-yl)pyrrolidin-3-amine</t>
  </si>
  <si>
    <t>PK0-15751</t>
  </si>
  <si>
    <t>[1-(Pyridin-2-yl)piperidin-4-yl]methanamine</t>
  </si>
  <si>
    <t>C11H17N3</t>
  </si>
  <si>
    <t>PK0-15761</t>
  </si>
  <si>
    <t>[1-(Pyrimidin-4-yl)piperidin-4-yl]methanamine</t>
  </si>
  <si>
    <t>C10H16N4</t>
  </si>
  <si>
    <t>C9H14ClN3O</t>
  </si>
  <si>
    <t>C10H16ClN3O</t>
  </si>
  <si>
    <t>PK0-15941</t>
  </si>
  <si>
    <t>N-[(3S)-Pyrrolidin-3-yl]pyrimidin-4-amine dihydrochloride</t>
  </si>
  <si>
    <t>PK0-15951</t>
  </si>
  <si>
    <t>N-[(3S)-Pyrrolidin-3-yl]quinazolin-4-amine</t>
  </si>
  <si>
    <t>PK0-15971</t>
  </si>
  <si>
    <t>1-(Pyrimidin-2-yl)piperidine-3-carboxylic acid</t>
  </si>
  <si>
    <t>PK0-16031</t>
  </si>
  <si>
    <t>(1R*,4R*)-1-N-(Quinazolin-4-yl)cyclohexane-1,4-diamine dihydrochloride</t>
  </si>
  <si>
    <t>C14H20Cl2N4</t>
  </si>
  <si>
    <t>PK0-16071</t>
  </si>
  <si>
    <t>3-Methyl-1-(propan-2-yl)-1H-pyrazole-5-carboxylic acid</t>
  </si>
  <si>
    <t>PK0-16141</t>
  </si>
  <si>
    <t>[4-(3-Bromophenyl)oxan-4-yl]methanaminehydrochloride</t>
  </si>
  <si>
    <t>C12H17BrClNO</t>
  </si>
  <si>
    <t>C13H19NO2</t>
  </si>
  <si>
    <t>C13H17ClF3NO</t>
  </si>
  <si>
    <t>C12H13BrO3</t>
  </si>
  <si>
    <t>PK0-16281</t>
  </si>
  <si>
    <t>4-(4-Bromophenyl)oxane-4-carboxylic acid</t>
  </si>
  <si>
    <t>C13H16O4</t>
  </si>
  <si>
    <t>PK0-16311</t>
  </si>
  <si>
    <t>4-[3-(Trifluoromethyl)phenyl]oxane-4-carboxylic acid</t>
  </si>
  <si>
    <t>C13H13F3O3</t>
  </si>
  <si>
    <t>PK0-16331</t>
  </si>
  <si>
    <t>1,8-Diazaspiro[4.5]decan-2-one hydrochloride</t>
  </si>
  <si>
    <t>C12H16ClN3O</t>
  </si>
  <si>
    <t>PK0-16421</t>
  </si>
  <si>
    <t>3-[(3R)-Pyrrolidin-3-yl]-1,2,3,4-tetrahydroquinazolin-2-one hydrochloride</t>
  </si>
  <si>
    <t>PK0-16451</t>
  </si>
  <si>
    <t>3[(3S)Piperidin-3-yl]3,4-dihydro-1H-2lambda(6),1,3benzothiadiazine-2,2-dione HCl</t>
  </si>
  <si>
    <t>C12H18ClN3O2S</t>
  </si>
  <si>
    <t>PK0-16471</t>
  </si>
  <si>
    <t>3[(3R)Piperidin3-yl]3,4-dihydro1H-2lambda(6),1,3-benzothiadiazine-2,2-dione HCl</t>
  </si>
  <si>
    <t>PK0-16491</t>
  </si>
  <si>
    <t>3[(3S)Pyrrolidin-3-yl]3,4-dihydro-1H-2lambda(6)1,3-benzothiadiazine-2,2-dion HCl</t>
  </si>
  <si>
    <t>C11H16ClN3O2S</t>
  </si>
  <si>
    <t>PK0-16511</t>
  </si>
  <si>
    <t>3[(3R)Pyrrolidin3-yl]3,4-dihydro-1H-2lambda(6)1,3-benzothiadiazine2,2-dione HCl</t>
  </si>
  <si>
    <t>C9H14N2O2</t>
  </si>
  <si>
    <t>PK0-16541</t>
  </si>
  <si>
    <t>1-Ethyl-4,4-difluorocyclohexane-1-carboxylic acid</t>
  </si>
  <si>
    <t>C9H14F2O2</t>
  </si>
  <si>
    <t>PK0-16581</t>
  </si>
  <si>
    <t>1-Benzyl-4,4-difluorocyclohexane-1-carboxylic acid</t>
  </si>
  <si>
    <t>C14H16F2O2</t>
  </si>
  <si>
    <t>C14H15F3O2</t>
  </si>
  <si>
    <t>PK0-16601</t>
  </si>
  <si>
    <t>4,4-Difluoro-1-[(3-fluorophenyl)methyl]cyclohexane-1-carboxylic acid</t>
  </si>
  <si>
    <t>PK0-16651</t>
  </si>
  <si>
    <t>1-Benzyl-4,4-difluorocyclohexan-1-aminehydrochloride</t>
  </si>
  <si>
    <t>C13H18ClF2N</t>
  </si>
  <si>
    <t>C13H17ClF3N</t>
  </si>
  <si>
    <t>PK0-16671</t>
  </si>
  <si>
    <t>4,4-Difluoro-1-[(3-fluorophenyl)methyl]cyclohexan-1-amine hydrochloride</t>
  </si>
  <si>
    <t>PK0-16681</t>
  </si>
  <si>
    <t>1-(5-Methylpyridin-2-yl)cyclopropane-1-carboxylic acid</t>
  </si>
  <si>
    <t>C10H11NO2</t>
  </si>
  <si>
    <t>C9H11NO4</t>
  </si>
  <si>
    <t>C7H7NO3</t>
  </si>
  <si>
    <t>PK0-16721</t>
  </si>
  <si>
    <t>6-(Propan-2-yloxy)pyridine-2-carboxylicacid</t>
  </si>
  <si>
    <t>PK0-16731</t>
  </si>
  <si>
    <t>4-(Oxan-4-yloxy)pyridine-2-carboxylic acid</t>
  </si>
  <si>
    <t>PK0-16741</t>
  </si>
  <si>
    <t>4-(Cyclobutylmethoxy)pyridine-2-carboxylic acid</t>
  </si>
  <si>
    <t>C10H11NO3</t>
  </si>
  <si>
    <t>PK0-16781</t>
  </si>
  <si>
    <t>4-(Piperazin-1-yl)-6-(trifluoromethyl)pyrimidine dihydrochloride</t>
  </si>
  <si>
    <t>C12H18ClNO</t>
  </si>
  <si>
    <t>PK0-16851</t>
  </si>
  <si>
    <t>[4-(2-Bromophenyl)oxan-4-yl]methanaminehydrochloride</t>
  </si>
  <si>
    <t>PK0-16861</t>
  </si>
  <si>
    <t>[4-(4-Bromophenyl)oxan-4-yl]methanamine</t>
  </si>
  <si>
    <t>C12H16BrNO</t>
  </si>
  <si>
    <t>PK0-16881</t>
  </si>
  <si>
    <t>_x0014_4-[2-(Trifluoromethyl)phenyl]oxan-4-yl_x0015_methanamine hydrochloride</t>
  </si>
  <si>
    <t>PK0-16901</t>
  </si>
  <si>
    <t>4-(3-Fluorophenyl)oxan-4-amine hydrochloride</t>
  </si>
  <si>
    <t>C11H15ClFNO</t>
  </si>
  <si>
    <t>C11H15BrClNO</t>
  </si>
  <si>
    <t>PK0-16921</t>
  </si>
  <si>
    <t>4-(4-Bromophenyl)oxan-4-amine hydrochloride</t>
  </si>
  <si>
    <t>C12H18ClNO2</t>
  </si>
  <si>
    <t>PK0-16941</t>
  </si>
  <si>
    <t>4-(4-Methoxyphenyl)oxan-4-amine hydrochloride</t>
  </si>
  <si>
    <t>C7H9Cl2F3N2</t>
  </si>
  <si>
    <t>PK0-17061</t>
  </si>
  <si>
    <t>4-(3-Fluorophenyl)oxane-4-carboxylic acid</t>
  </si>
  <si>
    <t>C12H13FO3</t>
  </si>
  <si>
    <t>C14H22ClNO2</t>
  </si>
  <si>
    <t>PK0-17101</t>
  </si>
  <si>
    <t>_x0014_4-[(4-Methoxyphenyl)methyl]oxan-4-yl_x0015_methanamine hydrochloride</t>
  </si>
  <si>
    <t>PK0-17111</t>
  </si>
  <si>
    <t>N'-Hydroxy-3-methylbutanimidamide</t>
  </si>
  <si>
    <t>C5H12N2O</t>
  </si>
  <si>
    <t>PK0-17121</t>
  </si>
  <si>
    <t>N'-Hydroxycyclobutanecarboximidamide</t>
  </si>
  <si>
    <t>C5H10N2O</t>
  </si>
  <si>
    <t>C6H12N2O2</t>
  </si>
  <si>
    <t>PK0-17151</t>
  </si>
  <si>
    <t>Ethyl (N'-hydroxycarbamimidoyl)formate</t>
  </si>
  <si>
    <t>C4H8N2O3</t>
  </si>
  <si>
    <t>PK0-17161</t>
  </si>
  <si>
    <t>Ethyl 3-methyl-1,2,4-oxadiazole-5-carboxylate</t>
  </si>
  <si>
    <t>PK0-17171</t>
  </si>
  <si>
    <t>4-[3-(2-Methylpropyl)-1,2,4-oxadiazol-5-yl]piperidine</t>
  </si>
  <si>
    <t>C11H19N3O</t>
  </si>
  <si>
    <t>PK0-17181</t>
  </si>
  <si>
    <t>2-[3-(2-Methylpropyl)-1,2,4-oxadiazol-5-yl]piperidine hydrochloride</t>
  </si>
  <si>
    <t>C11H20ClN3O</t>
  </si>
  <si>
    <t>PK0-17201</t>
  </si>
  <si>
    <t>2-Oxa-8-azaspiro[4.5]decane hydrochloride</t>
  </si>
  <si>
    <t>C8H16ClNO</t>
  </si>
  <si>
    <t>PK0-17221</t>
  </si>
  <si>
    <t>2-Ethyl-2,8-diazaspiro[4.5]decan-3-one hydrochloride</t>
  </si>
  <si>
    <t>PK0-17231</t>
  </si>
  <si>
    <t>3-(Piperidin-4-yl)-3,4-dihydro-1H-2lambda(6),1,3-benzothiadiazine-2,2-dione hydrchloride</t>
  </si>
  <si>
    <t>C13H16ClF2NO2</t>
  </si>
  <si>
    <t>PK0-17281</t>
  </si>
  <si>
    <t>4,4-Difluoro-1-(pyridin-4-ylmethyl)cyclohexane-1-carboxylic acid hydrochloride</t>
  </si>
  <si>
    <t>PK0-17301</t>
  </si>
  <si>
    <t>1-(Cyclopropylmethyl)-4,4-difluorocyclohexan-1-amine hydrochloride</t>
  </si>
  <si>
    <t>C10H18ClF2N</t>
  </si>
  <si>
    <t>PK0-17321</t>
  </si>
  <si>
    <t>4,4-Difluoro-1-[(4-fluorophenyl)methyl]cyclohexan-1-amine hydrochloride</t>
  </si>
  <si>
    <t>PK0-17331</t>
  </si>
  <si>
    <t>4,4-Difluoro-1-(pyridin-2-ylmethyl)cyclohexan-1-amine dihydrochloride</t>
  </si>
  <si>
    <t>PK0-17351</t>
  </si>
  <si>
    <t>1-Methyl-1,8-diazaspiro[4.5]decan-2-onehydrochloride</t>
  </si>
  <si>
    <t>C8H14ClN3O</t>
  </si>
  <si>
    <t>PK0-17411</t>
  </si>
  <si>
    <t>Ethyl 5H,6H,7H,8H-[1,2,4]triazolo[4,3-a]pyrimidine-3-carboxylate</t>
  </si>
  <si>
    <t>C8H12N4O2</t>
  </si>
  <si>
    <t>PK0-17421</t>
  </si>
  <si>
    <t>Ethyl 5H,6H,7H,8H,9H-[1,2,4]triazolo[4,3-a][1,3]diazepine-3-carboxylate</t>
  </si>
  <si>
    <t>C9H14N4O2</t>
  </si>
  <si>
    <t>PK0-17431</t>
  </si>
  <si>
    <t>5H,6H,7H,8H-[1,2,4]Triazolo[4,3-a]pyrimidine-3-carboxylic acid</t>
  </si>
  <si>
    <t>C6H8N4O2</t>
  </si>
  <si>
    <t>PK0-17461</t>
  </si>
  <si>
    <t>3,5-Difluoro-4-(propan-2-yloxy)benzoic acid</t>
  </si>
  <si>
    <t>C10H10F2O3</t>
  </si>
  <si>
    <t>PK0-17481</t>
  </si>
  <si>
    <t>2-(Propan-2-yloxy)pyridine-4-carboxylicacid</t>
  </si>
  <si>
    <t>C8H9NO3</t>
  </si>
  <si>
    <t>PK0-17521</t>
  </si>
  <si>
    <t>2-(2-Methoxyethoxy)pyridine-4-carboxylicacid</t>
  </si>
  <si>
    <t>PK0-17541</t>
  </si>
  <si>
    <t>5-(2,2,2-Trifluoroethoxy)pyridine-3-carboxylic acid</t>
  </si>
  <si>
    <t>C8H6F3NO3</t>
  </si>
  <si>
    <t>PK0-17561</t>
  </si>
  <si>
    <t>4-(Cyclopropylmethoxy)-3,5-difluorobenzoic acid</t>
  </si>
  <si>
    <t>C11H10F2O3</t>
  </si>
  <si>
    <t>PK0-17611</t>
  </si>
  <si>
    <t>(1R*,4R*)-1-N-(Pyridin-2-yl)cyclohexane--1,4-diamine</t>
  </si>
  <si>
    <t>PK0-17621</t>
  </si>
  <si>
    <t>(1R*,4R*)-1-N-(Pyrimidin-4-yl)cyclohexane-1,4-diamine dihydrochloride</t>
  </si>
  <si>
    <t>PK0-17651</t>
  </si>
  <si>
    <t>1-(quinazolin-4-yl)azetidin-3-amine</t>
  </si>
  <si>
    <t>C11H12N4</t>
  </si>
  <si>
    <t>C9H10N2O2</t>
  </si>
  <si>
    <t>PK0-17741</t>
  </si>
  <si>
    <t>4-(2-Methoxyphenyl)oxan-4-amine hydrochloride</t>
  </si>
  <si>
    <t>PK0-17751</t>
  </si>
  <si>
    <t>4-[3-(Trifluoromethyl)phenyl]oxan-4-amine hydrochloride</t>
  </si>
  <si>
    <t>C12H15ClF3NO</t>
  </si>
  <si>
    <t>PK0-17761</t>
  </si>
  <si>
    <t>4-[4-(Trifluoromethyl)phenyl]oxan-4-amine hydrochloride</t>
  </si>
  <si>
    <t>PK0-17771</t>
  </si>
  <si>
    <t>[2-(Trifluoromethyl)pyridin-3-yl]methanamine dihydrochloride</t>
  </si>
  <si>
    <t>PK0-17801</t>
  </si>
  <si>
    <t>4-[(3-Fluorophenyl)methyl]oxane-4-carboxylic acid</t>
  </si>
  <si>
    <t>C13H15FO3</t>
  </si>
  <si>
    <t>PK0-17811</t>
  </si>
  <si>
    <t>4-[(4-Fluorophenyl)methyl]oxane-4-carboxylic acid</t>
  </si>
  <si>
    <t>C13H15BrO3</t>
  </si>
  <si>
    <t>C14H18O4</t>
  </si>
  <si>
    <t>C13H19ClFNO</t>
  </si>
  <si>
    <t>C13H18BrNO</t>
  </si>
  <si>
    <t>PK0-17871</t>
  </si>
  <si>
    <t>_x0014_4-[(4-Bromophenyl)methyl]oxan-4-yl_x0015_methanamine</t>
  </si>
  <si>
    <t>C9H14N2O3</t>
  </si>
  <si>
    <t>PK0-17941</t>
  </si>
  <si>
    <t>Ethyl 3-cyclohexyl-1,2,4-oxadiazole-5-carboxylate</t>
  </si>
  <si>
    <t>C11H16N2O3</t>
  </si>
  <si>
    <t>C11H18ClN3O</t>
  </si>
  <si>
    <t>PK0-17981</t>
  </si>
  <si>
    <t>3-(3-Cyclobutyl-1,2,4-oxadiazol-5-yl)piperidine hydrochloride</t>
  </si>
  <si>
    <t>PK0-18001</t>
  </si>
  <si>
    <t>2,8-Diazaspiro[4.5]decan-1-one hydrochloride</t>
  </si>
  <si>
    <t>PK0-18011</t>
  </si>
  <si>
    <t>3-Oxa-9-azaspiro[5.5]undecane hydrochloride</t>
  </si>
  <si>
    <t>C9H18ClNO</t>
  </si>
  <si>
    <t>PK0-18061</t>
  </si>
  <si>
    <t>3-(Azetidin-3-yl)-1,2,3,4-tetrahydroquinazolin-2-one</t>
  </si>
  <si>
    <t>PK0-18131</t>
  </si>
  <si>
    <t>2-[5-(Propan-2-yl)-1,2,4-oxadiazol-3-yl]piperidine hydrochloride</t>
  </si>
  <si>
    <t>C10H18ClN3O</t>
  </si>
  <si>
    <t>PK0-18141</t>
  </si>
  <si>
    <t>2-(5-Cyclobutyl-1,2,4-oxadiazol-3-yl)piperidine hydrochloride</t>
  </si>
  <si>
    <t>PK0-18201</t>
  </si>
  <si>
    <t>6-Cyclobutoxypyridine-2-carboxylic acid</t>
  </si>
  <si>
    <t>PK0-18221</t>
  </si>
  <si>
    <t>4-(2,2,2-Trifluoroethoxy)pyridine-2-carboxylic acid</t>
  </si>
  <si>
    <t>PK0-18231</t>
  </si>
  <si>
    <t>4-(Cyclopropylmethoxy)pyridine-2-carboxylic acid</t>
  </si>
  <si>
    <t>PK0-18251</t>
  </si>
  <si>
    <t>6-(Cyclopropylmethoxy)pyridine-2-carboxylic acid</t>
  </si>
  <si>
    <t>PK0-18261</t>
  </si>
  <si>
    <t>2-(2,2,2-Trifluoroethoxy)pyridine-4-carboxylic acid</t>
  </si>
  <si>
    <t>PK0-18271</t>
  </si>
  <si>
    <t>2-(Cyclopropylmethoxy)pyridine-4-carboxylic acid</t>
  </si>
  <si>
    <t>PK0-18291</t>
  </si>
  <si>
    <t>2-(Oxan-4-ylmethoxy)pyridine-4-carboxylic acid</t>
  </si>
  <si>
    <t>C12H15NO4</t>
  </si>
  <si>
    <t>PK0-18301</t>
  </si>
  <si>
    <t>2-(Pyridin-3-yloxy)pyridine-4-carboxylicacid</t>
  </si>
  <si>
    <t>C11H8N2O3</t>
  </si>
  <si>
    <t>PK0-18341</t>
  </si>
  <si>
    <t>5-(Oxan-4-ylmethoxy)pyridine-3-carboxylic acid</t>
  </si>
  <si>
    <t>PK0-18351</t>
  </si>
  <si>
    <t>5-Cyclobutoxypyridine-3-carboxylic acid</t>
  </si>
  <si>
    <t>PK0-18371</t>
  </si>
  <si>
    <t>4-[(3-Fluorophenyl)methyl]oxan-4-amine</t>
  </si>
  <si>
    <t>PK0-18401</t>
  </si>
  <si>
    <t>4-[2-(Trifluoromethyl)phenyl]oxane-4-carboxylic acid</t>
  </si>
  <si>
    <t>PK0-18411</t>
  </si>
  <si>
    <t>4-[(3-Bromophenyl)methyl]oxan-4-amine hydrochloride</t>
  </si>
  <si>
    <t>PK0-18451</t>
  </si>
  <si>
    <t>4-_x0014_[4-(Trifluoromethyl)phenyl]methyl_x0015_oxan-4-amine hydrochloride</t>
  </si>
  <si>
    <t>C14H15F3O3</t>
  </si>
  <si>
    <t>PK0-18541</t>
  </si>
  <si>
    <t>4-_x0014_[4-(Trifluoromethyl)phenyl]methyl_x0015_oxane-4-carboxylic acid</t>
  </si>
  <si>
    <t>PK0-18551</t>
  </si>
  <si>
    <t>4-Ethyloxane-4-carboxylic acid</t>
  </si>
  <si>
    <t>C8H14O3</t>
  </si>
  <si>
    <t>PK0-18561</t>
  </si>
  <si>
    <t>4-(2-Methylpropyl)oxane-4-carboxylic acid</t>
  </si>
  <si>
    <t>C10H18O3</t>
  </si>
  <si>
    <t>PK0-18571</t>
  </si>
  <si>
    <t>4-(Cyclopropylmethyl)oxane-4-carboxylicacid</t>
  </si>
  <si>
    <t>C10H16O3</t>
  </si>
  <si>
    <t>PK0-18581</t>
  </si>
  <si>
    <t>4-Ethyloxan-4-amine hydrochloride</t>
  </si>
  <si>
    <t>PK0-18591</t>
  </si>
  <si>
    <t>4-(2-Methylpropyl)oxan-4-amine hydrochloride</t>
  </si>
  <si>
    <t>C9H20ClNO</t>
  </si>
  <si>
    <t>PK0-18601</t>
  </si>
  <si>
    <t>(4-Ethyloxan-4-yl)methanamine hydrochloride</t>
  </si>
  <si>
    <t>C8H18ClNO</t>
  </si>
  <si>
    <t>PK0-18611</t>
  </si>
  <si>
    <t>[4-(2-Methylpropyl)oxan-4-yl]methanaminehydrochloride</t>
  </si>
  <si>
    <t>C10H22ClNO</t>
  </si>
  <si>
    <t>PK0-18621</t>
  </si>
  <si>
    <t>[4-(Cyclopropylmethyl)oxan-4-yl]methanamine</t>
  </si>
  <si>
    <t>C10H19NO</t>
  </si>
  <si>
    <t>PK0-18641</t>
  </si>
  <si>
    <t>_x0014_4-[(2-Fluorophenyl)methyl]oxan-4-yl_x0015_methanamine hydrochloride</t>
  </si>
  <si>
    <t>C8H10N2O3</t>
  </si>
  <si>
    <t>PK0-18671</t>
  </si>
  <si>
    <t>Ethyl 3-phenyl-1,2,4-oxadiazole-5-carboxylate</t>
  </si>
  <si>
    <t>C10H9N3O3</t>
  </si>
  <si>
    <t>PK0-18771</t>
  </si>
  <si>
    <t>tert-Butyl 1,9-diazaspiro[5.5]undecane-1-carboxylate</t>
  </si>
  <si>
    <t>C10H16ClF3N2O</t>
  </si>
  <si>
    <t>PK0-18871</t>
  </si>
  <si>
    <t>1-(Cyclopropylmethyl)-1,8-diazaspiro[4.5]decan-2-one</t>
  </si>
  <si>
    <t>C12H20N2O</t>
  </si>
  <si>
    <t>PK0-18891</t>
  </si>
  <si>
    <t>4-(5-Ethyl-1,2,4-oxadiazol-3-yl)piperidine hydrochloride</t>
  </si>
  <si>
    <t>C9H16ClN3O</t>
  </si>
  <si>
    <t>PK0-18901</t>
  </si>
  <si>
    <t>4-[5-(2-Methylpropyl)-1,2,4-oxadiazol-3-yl]piperidine hydrochloride</t>
  </si>
  <si>
    <t>PK0-18911</t>
  </si>
  <si>
    <t>4-[5-(Propan-2-yl)-1,2,4-oxadiazol-3-yl]piperidine hydrochloride</t>
  </si>
  <si>
    <t>PK0-18921</t>
  </si>
  <si>
    <t>4-(5-tert-Butyl-1,2,4-oxadiazol-3-yl)piperidine hydrochloride</t>
  </si>
  <si>
    <t>C8H11ClF3N3O</t>
  </si>
  <si>
    <t>PK0-18961</t>
  </si>
  <si>
    <t>2-[5-(2-Methylpropyl)-1,2,4-oxadiazol-3-yl]piperidine hydrochloride</t>
  </si>
  <si>
    <t>PK0-18971</t>
  </si>
  <si>
    <t>2-(5-tert-Butyl-1,2,4-oxadiazol-3-yl)piperidine hydrochloride</t>
  </si>
  <si>
    <t>PK0-18981</t>
  </si>
  <si>
    <t>2-(5-Cyclopropyl-1,2,4-oxadiazol-3-yl)piperidine hydrochloride</t>
  </si>
  <si>
    <t>PK0-18991</t>
  </si>
  <si>
    <t>2-(2,2,2-Trifluoroethyl)-2,8-diazaspiro[4.5]decan-3-one hydrochloride</t>
  </si>
  <si>
    <t>PK0-19051</t>
  </si>
  <si>
    <t>5-(Oxetan-3-yloxy)pyridine-3-carboxylicacid</t>
  </si>
  <si>
    <t>PK0-19091</t>
  </si>
  <si>
    <t>4-[(2-Bromophenyl)methyl]oxan-4-amine hydrochloride</t>
  </si>
  <si>
    <t>PK0-19111</t>
  </si>
  <si>
    <t>4-Benzyloxane-4-carboxylic acid</t>
  </si>
  <si>
    <t>C13H16O3</t>
  </si>
  <si>
    <t>PK0-19121</t>
  </si>
  <si>
    <t>4-[(2-Bromophenyl)methyl]oxane-4-carboxylic acid</t>
  </si>
  <si>
    <t>PK0-19131</t>
  </si>
  <si>
    <t>4-(Methoxymethyl)oxane-4-carboxylic acid</t>
  </si>
  <si>
    <t>C8H14O4</t>
  </si>
  <si>
    <t>PK0-19141</t>
  </si>
  <si>
    <t>4-(Cyclobutylmethyl)oxane-4-carboxylic acid</t>
  </si>
  <si>
    <t>C11H18O3</t>
  </si>
  <si>
    <t>PK0-19151</t>
  </si>
  <si>
    <t>4-(Methoxymethyl)oxan-4-amine hydrochloride</t>
  </si>
  <si>
    <t>C7H16ClNO2</t>
  </si>
  <si>
    <t>PK0-19161</t>
  </si>
  <si>
    <t>4-(Cyclopropylmethyl)oxan-4-amine</t>
  </si>
  <si>
    <t>C9H17NO</t>
  </si>
  <si>
    <t>PK0-19181</t>
  </si>
  <si>
    <t>[4-(Methoxymethyl)oxan-4-yl]methanaminehydrochloride</t>
  </si>
  <si>
    <t>C8H18ClNO2</t>
  </si>
  <si>
    <t>C13H20ClNO</t>
  </si>
  <si>
    <t>PK0-19201</t>
  </si>
  <si>
    <t>_x0014_4-[(2-Bromophenyl)methyl]oxan-4-yl_x0015_methanamine hydrochloride</t>
  </si>
  <si>
    <t>C13H19BrClNO</t>
  </si>
  <si>
    <t>PK0-19211</t>
  </si>
  <si>
    <t>3,3,3-Trifluoro-N'-hydroxypropanimidamide</t>
  </si>
  <si>
    <t>C3H5F3N2O</t>
  </si>
  <si>
    <t>C8H12N2O3</t>
  </si>
  <si>
    <t>PK0-19261</t>
  </si>
  <si>
    <t>Ethyl 3-(pyridin-4-yl)-1,2,4-oxadiazole-5-carboxylate</t>
  </si>
  <si>
    <t>C10H16N2O3</t>
  </si>
  <si>
    <t>PK0-19331</t>
  </si>
  <si>
    <t>4-(3-tert-Butyl-1,2,4-oxadiazol-5-yl)piperidine hydrochloride</t>
  </si>
  <si>
    <t>PK0-19361</t>
  </si>
  <si>
    <t>tert-Butyl 1,8-diazaspiro[4.5]decane-8-carboxylate</t>
  </si>
  <si>
    <t>C9H13ClF3N3O</t>
  </si>
  <si>
    <t>PK0-19421</t>
  </si>
  <si>
    <t>3-[5-(Trifluoromethyl)-1,2,4-oxadiazol-3-yl]piperidine hydrochloride</t>
  </si>
  <si>
    <t>PK0-19441</t>
  </si>
  <si>
    <t>tert-Butyl 1-oxo-2,8-diazaspiro[4.5]decane-8-carboxylate</t>
  </si>
  <si>
    <t>PK0-19451</t>
  </si>
  <si>
    <t>tert-Butyl 2-oxo-1,7-diazaspiro[3.5]nonane-7-carboxylate</t>
  </si>
  <si>
    <t>C12H20N2O3</t>
  </si>
  <si>
    <t>PK0-19461</t>
  </si>
  <si>
    <t>2-(Propan-2-yloxy)pyridine-3-carboxylicacid</t>
  </si>
  <si>
    <t>C7H8N2O3</t>
  </si>
  <si>
    <t>PK0-19481</t>
  </si>
  <si>
    <t>4-(Oxan-4-ylmethoxy)pyridine-2-carboxylic acid</t>
  </si>
  <si>
    <t>PK0-19511</t>
  </si>
  <si>
    <t>6-(Oxan-4-ylmethoxy)pyridine-3-carboxylic acid</t>
  </si>
  <si>
    <t>PK0-19541</t>
  </si>
  <si>
    <t>2-(2,2,2-Trifluoroethoxy)pyridine-3-carboxylic acid</t>
  </si>
  <si>
    <t>PK0-19571</t>
  </si>
  <si>
    <t>5-(2,2,2-Trifluoroethoxy)pyridine-2-carboxylic acid</t>
  </si>
  <si>
    <t>PK0-19591</t>
  </si>
  <si>
    <t>5-Cyclobutoxypyridine-2-carboxylic acid</t>
  </si>
  <si>
    <t>PK0-19601</t>
  </si>
  <si>
    <t>4-[(2-Methoxyphenyl)methyl]oxan-4-amine</t>
  </si>
  <si>
    <t>PK0-19611</t>
  </si>
  <si>
    <t>[3,5-Difluoro-4-(oxan-4-ylmethoxy)phenyl]methanamine hydrochloride</t>
  </si>
  <si>
    <t>C13H18ClF2NO2</t>
  </si>
  <si>
    <t>C12H12FNO</t>
  </si>
  <si>
    <t>PK0-19661</t>
  </si>
  <si>
    <t>4-[(2-Methoxyphenyl)methyl]oxane-4-carboxylic acid</t>
  </si>
  <si>
    <t>PK0-19671</t>
  </si>
  <si>
    <t>4-(Pyridin-3-ylmethyl)oxane-4-carboxylicacid</t>
  </si>
  <si>
    <t>PK0-19681</t>
  </si>
  <si>
    <t>4-(Pyridin-4-ylmethyl)oxane-4-carboxylicacid</t>
  </si>
  <si>
    <t>PK0-19701</t>
  </si>
  <si>
    <t>4-Methyloxan-4-amine hydrochloride</t>
  </si>
  <si>
    <t>C14H17NO2</t>
  </si>
  <si>
    <t>PK0-19741</t>
  </si>
  <si>
    <t>(4-Methyloxan-4-yl)methanamine hydrochloride</t>
  </si>
  <si>
    <t>PK0-19751</t>
  </si>
  <si>
    <t>_x0014_4-[(2-Methoxyphenyl)methyl]oxan-4-yl_x0015_methanamine</t>
  </si>
  <si>
    <t>C14H21NO2</t>
  </si>
  <si>
    <t>PK0-19761</t>
  </si>
  <si>
    <t>[4-(Pyridin-3-ylmethyl)oxan-4-yl]methanamine dihydrochloride</t>
  </si>
  <si>
    <t>PK0-19881</t>
  </si>
  <si>
    <t>Ethyl 5-(propan-2-yl)-1,2,4-oxadiazole-3-carboxylate</t>
  </si>
  <si>
    <t>PK0-19961</t>
  </si>
  <si>
    <t>3-[3-(2,2,2-Trifluoroethyl)-1,2,4-oxadiazol-5-yl]piperidine hydrochloride</t>
  </si>
  <si>
    <t>PK0-19971</t>
  </si>
  <si>
    <t>2-[3-(2,2,2-Trifluoroethyl)-1,2,4-oxadiazol-5-yl]piperidine hydrochloride</t>
  </si>
  <si>
    <t>PK0-19981</t>
  </si>
  <si>
    <t>2-(3-tert-Butyl-1,2,4-oxadiazol-5-yl)piperidine hydrochloride</t>
  </si>
  <si>
    <t>C12H7BrFN3</t>
  </si>
  <si>
    <t>PK0-20021</t>
  </si>
  <si>
    <t>3-Methyl-[1,2,4]triazolo[4,3-a]pyridin-6-amine</t>
  </si>
  <si>
    <t>C7H8N4</t>
  </si>
  <si>
    <t>PK0-20051</t>
  </si>
  <si>
    <t>3-[5-(Propan-2-yl)-1,2,4-oxadiazol-3-yl]piperidine hydrochloride</t>
  </si>
  <si>
    <t>PK0-20061</t>
  </si>
  <si>
    <t>3-(5-tert-Butyl-1,2,4-oxadiazol-3-yl)piperidine hydrochloride</t>
  </si>
  <si>
    <t>PK0-20121</t>
  </si>
  <si>
    <t>2,7-Diazaspiro[4.4]nonan-3-one hydrochloride</t>
  </si>
  <si>
    <t>C7H13ClN2O</t>
  </si>
  <si>
    <t>PK0-20151</t>
  </si>
  <si>
    <t>2-Cyclobutoxypyridine-3-carboxylic acid</t>
  </si>
  <si>
    <t>PK0-20161</t>
  </si>
  <si>
    <t>6-(Oxan-4-yloxy)pyridine-2-carboxylic acid</t>
  </si>
  <si>
    <t>PK0-20171</t>
  </si>
  <si>
    <t>4-(Oxetan-3-yloxy)pyridine-2-carboxylicacid</t>
  </si>
  <si>
    <t>PK0-20201</t>
  </si>
  <si>
    <t>2-(Oxan-4-ylmethoxy)pyridine-3-carboxylic acid</t>
  </si>
  <si>
    <t>PK0-20221</t>
  </si>
  <si>
    <t>5-(Oxan-4-ylmethoxy)pyridine-2-carboxylic acid</t>
  </si>
  <si>
    <t>PK0-20231</t>
  </si>
  <si>
    <t>5-(Oxetan-3-yloxy)pyridine-2-carboxylicacid</t>
  </si>
  <si>
    <t>PK0-20251</t>
  </si>
  <si>
    <t>3-Ethoxypyridine-2-carboxylic acid</t>
  </si>
  <si>
    <t>PK0-20281</t>
  </si>
  <si>
    <t>1-(2-Methoxyethyl)-2-oxo-1,2-dihydropyrimidine-5-carboxylic acid</t>
  </si>
  <si>
    <t>C8H10N2O4</t>
  </si>
  <si>
    <t>PK0-20301</t>
  </si>
  <si>
    <t>Cyclobutanecarbohydrazide</t>
  </si>
  <si>
    <t>PK0-20311</t>
  </si>
  <si>
    <t>Oxane-4-carbohydrazide</t>
  </si>
  <si>
    <t>PK0-20321</t>
  </si>
  <si>
    <t>4-(Pyridin-2-ylmethyl)oxan-4-amine dihydrochloride</t>
  </si>
  <si>
    <t>C11H18Cl2N2O</t>
  </si>
  <si>
    <t>PK0-20331</t>
  </si>
  <si>
    <t>4-(Pyridin-3-ylmethyl)oxan-4-amine dihydrochloride</t>
  </si>
  <si>
    <t>PK0-20361</t>
  </si>
  <si>
    <t>4-(Pyridin-2-ylmethyl)oxane-4-carboxylicacid</t>
  </si>
  <si>
    <t>PK0-20401</t>
  </si>
  <si>
    <t>1-Oxa-8-azaspiro[4.5]decane hydrochloride</t>
  </si>
  <si>
    <t>PK0-20431</t>
  </si>
  <si>
    <t>6-Bromo-3-(3-fluorophenyl)-[1,2,4]triazolo[4,3-a]pyridine</t>
  </si>
  <si>
    <t>PK0-20471</t>
  </si>
  <si>
    <t>tert-Butyl 7'-fluoro-2'-oxo-2',4'-dihydro-1'H-spiro[piperidine-4,3'-quinoline]-1</t>
  </si>
  <si>
    <t>C18H23FN2O3</t>
  </si>
  <si>
    <t>PK0-20621</t>
  </si>
  <si>
    <t>4-Ethoxy-3-(trifluoromethyl)benzoic acid</t>
  </si>
  <si>
    <t>C10H9F3O3</t>
  </si>
  <si>
    <t>PK0-20681</t>
  </si>
  <si>
    <t>6-(Pyridin-3-yloxy)pyridine-2-carboxylic acid</t>
  </si>
  <si>
    <t>PK0-20691</t>
  </si>
  <si>
    <t>2-(Pyridin-3-yloxy)pyridine-3-carboxylic acid</t>
  </si>
  <si>
    <t>PK0-20721</t>
  </si>
  <si>
    <t>3-(Oxan-4-ylmethoxy)pyridine-2-carboxylic acid</t>
  </si>
  <si>
    <t>PK0-20731</t>
  </si>
  <si>
    <t>1-(Cyclopropylmethyl)-2-oxo-1,2-dihydropyrimidine-5-carboxylic acid</t>
  </si>
  <si>
    <t>C9H10N2O3</t>
  </si>
  <si>
    <t>PK0-20741</t>
  </si>
  <si>
    <t>4-(Pyridin-4-ylmethyl)oxan-4-amine dihydrochloride</t>
  </si>
  <si>
    <t>PK0-20811</t>
  </si>
  <si>
    <t>Ethyl 3-(2,2-dimethylpropyl)-1,2,4-oxadiazole-5-carboxylate</t>
  </si>
  <si>
    <t>C12H10N4</t>
  </si>
  <si>
    <t>C13H16ClFN2O</t>
  </si>
  <si>
    <t>PK0-21001</t>
  </si>
  <si>
    <t>2-(Oxan-4-ylmethoxy)benzoic acid</t>
  </si>
  <si>
    <t>PK0-21011</t>
  </si>
  <si>
    <t>2-(Cyclopropylmethoxy)pyrimidine-5-carboxylic acid</t>
  </si>
  <si>
    <t>C7H5F3N2O3</t>
  </si>
  <si>
    <t>PK0-21041</t>
  </si>
  <si>
    <t>3-Cyclobutyl-[1,2,4]triazolo[4,3-a]pyridine-6-carboxylic acid</t>
  </si>
  <si>
    <t>C11H11N3O2</t>
  </si>
  <si>
    <t>PK0-21051</t>
  </si>
  <si>
    <t>3-Phenyl-[1,2,4]triazolo[4,3-a]pyridine-6-carboxylic acid</t>
  </si>
  <si>
    <t>C13H9N3O2</t>
  </si>
  <si>
    <t>C13H8FN3O2</t>
  </si>
  <si>
    <t>PK0-21081</t>
  </si>
  <si>
    <t>3-Cyclobutoxypyridine-2-carboxylic acid</t>
  </si>
  <si>
    <t>PK0-21091</t>
  </si>
  <si>
    <t>3-(Oxan-4-yloxy)pyridine-2-carboxylic acid</t>
  </si>
  <si>
    <t>PK0-21111</t>
  </si>
  <si>
    <t>1-Cyclobutyl-2-oxo-1,2-dihydropyrimidine-5-carboxylic acid</t>
  </si>
  <si>
    <t>PK0-21151</t>
  </si>
  <si>
    <t>[4-Ethoxy-3-(trifluoromethyl)phenyl]methanamine hydrochloride</t>
  </si>
  <si>
    <t>C10H13ClF3NO</t>
  </si>
  <si>
    <t>C12H17NO2</t>
  </si>
  <si>
    <t>PK0-21221</t>
  </si>
  <si>
    <t>[4-(Pyridin-4-ylmethyl)oxan-4-yl]methanamine dihydrochloride</t>
  </si>
  <si>
    <t>C12H22ClN3O</t>
  </si>
  <si>
    <t>C15H20N2O2</t>
  </si>
  <si>
    <t>C12H9FN4</t>
  </si>
  <si>
    <t>PK0-21271</t>
  </si>
  <si>
    <t>3-(4-Fluorophenyl)-[1,2,4]triazolo[4,3-a]pyridin-6-amine</t>
  </si>
  <si>
    <t>PK0-21381</t>
  </si>
  <si>
    <t>1,9-Dioxa-4-azaspiro[5.5]undecan-3-one</t>
  </si>
  <si>
    <t>C8H13NO3</t>
  </si>
  <si>
    <t>PK0-21451</t>
  </si>
  <si>
    <t>3-Methoxy-4-(oxan-4-yloxy)benzoic acid</t>
  </si>
  <si>
    <t>C13H16O5</t>
  </si>
  <si>
    <t>PK0-21461</t>
  </si>
  <si>
    <t>3-Methyl-[1,2,4]triazolo[4,3-a]pyridine-6-carboxylic acid</t>
  </si>
  <si>
    <t>C8H7N3O2</t>
  </si>
  <si>
    <t>PK0-21481</t>
  </si>
  <si>
    <t>6-Ethoxypyrimidine-4-carboxylic acid</t>
  </si>
  <si>
    <t>C10H12N2O4</t>
  </si>
  <si>
    <t>C12H13N3O3</t>
  </si>
  <si>
    <t>PK0-21521</t>
  </si>
  <si>
    <t>3-(3-Fluorophenyl)-[1,2,4]triazolo[4,3-a]pyridine-6-carboxylic acid</t>
  </si>
  <si>
    <t>PK0-21531</t>
  </si>
  <si>
    <t>3-(2,2,2-Trifluoroethoxy)pyridine-2-carboxylic acid</t>
  </si>
  <si>
    <t>PK0-21571</t>
  </si>
  <si>
    <t>[4-(Pyridin-3-yl)oxan-4-yl]methanamine dihydrochloride</t>
  </si>
  <si>
    <t>C11H17Cl2FN2O</t>
  </si>
  <si>
    <t>PK0-21621</t>
  </si>
  <si>
    <t>[1-(6-Methoxypyridin-2-yl)cyclopropyl]methanamine dihydrochloride</t>
  </si>
  <si>
    <t>C10H16Cl2N2O</t>
  </si>
  <si>
    <t>PK0-21631</t>
  </si>
  <si>
    <t>2-(5-Fluoropyridin-2-yl)-2-methylpropan-1-amine dihydrochloride</t>
  </si>
  <si>
    <t>C9H15Cl2FN2</t>
  </si>
  <si>
    <t>PK0-21671</t>
  </si>
  <si>
    <t>1-(5-Fluoropyridin-2-yl)cyclopropane-1-carboxylic acid</t>
  </si>
  <si>
    <t>C9H8FNO2</t>
  </si>
  <si>
    <t>PK0-21681</t>
  </si>
  <si>
    <t>1-(3-Fluoropyridin-2-yl)cyclopropane-1-carboxylic acid</t>
  </si>
  <si>
    <t>PK0-21691</t>
  </si>
  <si>
    <t>1-(3-Methylpyridin-2-yl)cyclopropane-1-carboxylic acid</t>
  </si>
  <si>
    <t>PK0-21711</t>
  </si>
  <si>
    <t>2-[3-(2,2-Dimethylpropyl)-1,2,4-oxadiazol-5-yl]piperidine hydrochloride</t>
  </si>
  <si>
    <t>PK0-21751</t>
  </si>
  <si>
    <t>tert-Butyl 1,7-diazaspiro[3.5]nonane-1-carboxylate</t>
  </si>
  <si>
    <t>C12H22N2O2</t>
  </si>
  <si>
    <t>PK0-21761</t>
  </si>
  <si>
    <t>tert-Butyl 2-oxo-1,7-diazaspiro[4.4]nonane-7-carboxylate</t>
  </si>
  <si>
    <t>PK0-21771</t>
  </si>
  <si>
    <t>1-(6-Methoxypyridin-2-yl)cyclopropane-1-carboxylic acid</t>
  </si>
  <si>
    <t>PK0-21811</t>
  </si>
  <si>
    <t>6-Fluoro-2-(piperidin-4-yl)-2,3-dihydro-1H-isoindol-1-one</t>
  </si>
  <si>
    <t>C13H15FN2O</t>
  </si>
  <si>
    <t>PK0-21821</t>
  </si>
  <si>
    <t>5-Fluoro-2-(piperidin-4-yl)-2,3-dihydro-1H-isoindol-1-one hydrochloride</t>
  </si>
  <si>
    <t>C10H14N2O2</t>
  </si>
  <si>
    <t>C11H14N2O4</t>
  </si>
  <si>
    <t>PK0-21901</t>
  </si>
  <si>
    <t>3-Ethyl-[1,2,4]triazolo[4,3-a]pyridine-6-carboxylic acid</t>
  </si>
  <si>
    <t>C9H9N3O2</t>
  </si>
  <si>
    <t>PK0-21931</t>
  </si>
  <si>
    <t>6-Oxo-1-(propan-2-yl)-1,6-dihydropyridine-3-carboxylic acid</t>
  </si>
  <si>
    <t>C11H17NO3</t>
  </si>
  <si>
    <t>PK0-22111</t>
  </si>
  <si>
    <t>2-Methyl-2-(2-methylphenyl)propanoic acid</t>
  </si>
  <si>
    <t>C11H14O2</t>
  </si>
  <si>
    <t>PK0-22121</t>
  </si>
  <si>
    <t>4-[(2-Chlorophenyl)methyl]oxane-4-carboxylic acid</t>
  </si>
  <si>
    <t>C13H15ClO3</t>
  </si>
  <si>
    <t>C11H12O2</t>
  </si>
  <si>
    <t>C8H8N2O2</t>
  </si>
  <si>
    <t>PK0-22181</t>
  </si>
  <si>
    <t>5'-Fluoro-2',4'-dihydro-1'H-spiro[oxane-4,3'-quinoline]</t>
  </si>
  <si>
    <t>C13H16FNO</t>
  </si>
  <si>
    <t>PK0-22201</t>
  </si>
  <si>
    <t>2-(6-Methoxypyridin-2-yl)-2-methylpropanoic acid</t>
  </si>
  <si>
    <t>C6H8N2O</t>
  </si>
  <si>
    <t>C7H7F3N2O</t>
  </si>
  <si>
    <t>PK0-22321</t>
  </si>
  <si>
    <t>6-(2,2,2-Trifluoroethoxy)pyrimidine-4-carboxylic acid</t>
  </si>
  <si>
    <t>PK0-22331</t>
  </si>
  <si>
    <t>6-(Cyclopropylmethoxy)pyrimidine-4-carboxylic acid</t>
  </si>
  <si>
    <t>PK0-22351</t>
  </si>
  <si>
    <t>3-(4-Fluorophenyl)-[1,2,4]triazolo[4,3-a]pyridine-6-carboxylic acid</t>
  </si>
  <si>
    <t>PK0-22371</t>
  </si>
  <si>
    <t>4-(Cyclobutylmethoxy)pyridine-3-carboxylic acid</t>
  </si>
  <si>
    <t>PK0-22381</t>
  </si>
  <si>
    <t>4-(Oxan-4-ylmethoxy)pyridine-3-carboxylic acid</t>
  </si>
  <si>
    <t>PK0-22401</t>
  </si>
  <si>
    <t>6-Oxo-1-(2,2,2-trifluoroethyl)-1,6-dihydropyridine-3-carboxylic acid</t>
  </si>
  <si>
    <t>PK0-22411</t>
  </si>
  <si>
    <t>1-Cyclobutyl-6-oxo-1,6-dihydropyridine-3-carboxylic acid</t>
  </si>
  <si>
    <t>PK0-22451</t>
  </si>
  <si>
    <t>1-Benzylcyclopropan-1-amine hydrochloride</t>
  </si>
  <si>
    <t>C10H14ClN</t>
  </si>
  <si>
    <t>PK0-22461</t>
  </si>
  <si>
    <t>1-[(2-Fluorophenyl)methyl]cyclopropan-1-amine hydrochloride</t>
  </si>
  <si>
    <t>PK0-22571</t>
  </si>
  <si>
    <t>[3-Methoxy-4-(oxan-4-ylmethoxy)phenyl]methanamine hydrochloride</t>
  </si>
  <si>
    <t>C14H22ClNO3</t>
  </si>
  <si>
    <t>PK0-22581</t>
  </si>
  <si>
    <t>4-(3-Chlorophenyl)oxan-4-amine hydrochloride</t>
  </si>
  <si>
    <t>C11H15Cl2NO</t>
  </si>
  <si>
    <t>PK0-22591</t>
  </si>
  <si>
    <t>_x0014_3-Methyl-[1,2,4]triazolo[4,3-a]pyridin-6-yl_x0015_methanamine hydrochloride</t>
  </si>
  <si>
    <t>C8H11ClN4</t>
  </si>
  <si>
    <t>C12H13ClO3</t>
  </si>
  <si>
    <t>C12H16O3</t>
  </si>
  <si>
    <t>PK0-22651</t>
  </si>
  <si>
    <t>1-[(3-Fluorophenyl)methyl]cyclopropane-1-carboxylic acid</t>
  </si>
  <si>
    <t>PK0-22661</t>
  </si>
  <si>
    <t>1-[(3-Methoxyphenyl)methyl]cyclopropane-1-carboxylic acid</t>
  </si>
  <si>
    <t>C11H15ClFN</t>
  </si>
  <si>
    <t>PK0-22741</t>
  </si>
  <si>
    <t>4-(3-Methoxypyridin-2-yl)oxane-4-carboxylic acid</t>
  </si>
  <si>
    <t>PK0-22761</t>
  </si>
  <si>
    <t>4-Oxa-1,9-diazaspiro[5.5]undecan-2-one hydrochloride</t>
  </si>
  <si>
    <t>PK0-22771</t>
  </si>
  <si>
    <t>tert-Butyl 4-oxa-1,9-diazaspiro[5.5]undecane-9-carboxylate</t>
  </si>
  <si>
    <t>PK0-22791</t>
  </si>
  <si>
    <t>7'-Fluoro-2',4'-dihydro-1'H-spiro[oxane-4,3'-quinoline]</t>
  </si>
  <si>
    <t>PK0-22801</t>
  </si>
  <si>
    <t>8'-Fluoro-2',4'-dihydro-1'H-spiro[oxane-4,3'-quinoline]</t>
  </si>
  <si>
    <t>PK0-22811</t>
  </si>
  <si>
    <t>1-(4-Methylpyridin-2-yl)cyclopropane-1-carboxylic acid</t>
  </si>
  <si>
    <t>PK0-22851</t>
  </si>
  <si>
    <t>2-(5-Methoxypyridin-2-yl)-2-methylpropanoic acid</t>
  </si>
  <si>
    <t>PK0-22861</t>
  </si>
  <si>
    <t>3-Amino-1-(2,2,2-trifluoroethyl)-1,2-dihydropyridin-2-one</t>
  </si>
  <si>
    <t>PK0-22941</t>
  </si>
  <si>
    <t>2-Oxo-1-(2,2,2-trifluoroethyl)-1,2-dihydropyridine-3-carboxylic acid</t>
  </si>
  <si>
    <t>PK0-22951</t>
  </si>
  <si>
    <t>2-Oxo-1-(propan-2-yl)-1,2-dihydropyridine-3-carboxylic acid</t>
  </si>
  <si>
    <t>PK0-22971</t>
  </si>
  <si>
    <t>1-(3-Methoxyphenyl)-2-methylpropan-2-amine hydrochloride</t>
  </si>
  <si>
    <t>C11H18ClNO</t>
  </si>
  <si>
    <t>PK0-22981</t>
  </si>
  <si>
    <t>1-[(3-Methoxyphenyl)methyl]cyclopropan-1-amine hydrochloride</t>
  </si>
  <si>
    <t>C10H16ClN</t>
  </si>
  <si>
    <t>PK0-23061</t>
  </si>
  <si>
    <t>_x0014_3-(Propan-2-yl)-[1,2,4]triazolo[4,3-a]pyridin-6-yl_x0015_methanamine hydrochloride</t>
  </si>
  <si>
    <t>C10H15ClN4</t>
  </si>
  <si>
    <t>PK0-23071</t>
  </si>
  <si>
    <t>4-(2-Chlorophenyl)oxane-4-carboxylic acid</t>
  </si>
  <si>
    <t>PK0-23081</t>
  </si>
  <si>
    <t>3-(2-Fluorophenyl)-2,2-dimethylpropanoic acid</t>
  </si>
  <si>
    <t>C11H13FO2</t>
  </si>
  <si>
    <t>PK0-23091</t>
  </si>
  <si>
    <t>3-(4-Methoxyphenyl)-2,2-dimethylpropanoic acid</t>
  </si>
  <si>
    <t>PK0-23111</t>
  </si>
  <si>
    <t>4-[(4-Chlorophenyl)methyl]oxane-4-carboxylic acid</t>
  </si>
  <si>
    <t>C11H17ClFN</t>
  </si>
  <si>
    <t>C8H14O2</t>
  </si>
  <si>
    <t>PK0-23161</t>
  </si>
  <si>
    <t>1-(5-Methoxypyridin-2-yl)cyclopropane-1-carboxylic acid</t>
  </si>
  <si>
    <t>PK0-23211</t>
  </si>
  <si>
    <t>8'-Fuoro-2',4'-dihydro-1'H-spiro[piperidine-4,3'-quinoline]-2'-one hydrochloride</t>
  </si>
  <si>
    <t>PK0-23271</t>
  </si>
  <si>
    <t>1-(Cyclopropylmethyl)-6-oxo-1,6-dihydropyridine-2-carboxylic acid</t>
  </si>
  <si>
    <t>PK0-23281</t>
  </si>
  <si>
    <t>1-(2-Fluorophenyl)-2-methylpropan-2-amine hydrochloride</t>
  </si>
  <si>
    <t>C10H15ClFN</t>
  </si>
  <si>
    <t>PK0-23291</t>
  </si>
  <si>
    <t>1-(3-Fluorophenyl)-2-methylpropan-2-amine hydrochloride</t>
  </si>
  <si>
    <t>PK0-23301</t>
  </si>
  <si>
    <t>1-[(4-Fluorophenyl)methyl]cyclopropan-1-amine hydrochloride</t>
  </si>
  <si>
    <t>PK0-23321</t>
  </si>
  <si>
    <t>1-[(4-Methoxyphenyl)methyl]cyclopropan-1-amine hydrochloride</t>
  </si>
  <si>
    <t>PK0-23371</t>
  </si>
  <si>
    <t>2-Methyl-2-(3-methylphenyl)propanoic acid</t>
  </si>
  <si>
    <t>PK0-23391</t>
  </si>
  <si>
    <t>1-(3-Methylphenyl)cyclobutane-1-carboxylic acid</t>
  </si>
  <si>
    <t>C12H14O2</t>
  </si>
  <si>
    <t>PK0-23401</t>
  </si>
  <si>
    <t>3-(3-Fluorophenyl)-2,2-dimethylpropanoic acid</t>
  </si>
  <si>
    <t>C12H11F3O2</t>
  </si>
  <si>
    <t>PK0-23451</t>
  </si>
  <si>
    <t>1-Methylcyclobutane-1-carboxylic acid</t>
  </si>
  <si>
    <t>C6H10O2</t>
  </si>
  <si>
    <t>PK0-23461</t>
  </si>
  <si>
    <t>3-Cyclobutyl-2,2-dimethylpropan-1-aminehydrochloride</t>
  </si>
  <si>
    <t>C9H20ClN</t>
  </si>
  <si>
    <t>C12H17ClF3N</t>
  </si>
  <si>
    <t>C10H18Cl2N2</t>
  </si>
  <si>
    <t>PK0-23521</t>
  </si>
  <si>
    <t>_x0014_1-[(4-Fluorophenyl)methyl]cyclopropyl_x0015_methanamine hydrochloride</t>
  </si>
  <si>
    <t>PK0-23531</t>
  </si>
  <si>
    <t>_x0014_1-[(2-Methoxyphenyl)methyl]cyclopropyl_x0015_methanamine hydrochloride</t>
  </si>
  <si>
    <t>C12H15ClFNO</t>
  </si>
  <si>
    <t>C12H17ClFN</t>
  </si>
  <si>
    <t>PK0-23631</t>
  </si>
  <si>
    <t>_x0014_1-[(3-Methoxyphenyl)methyl]cyclobutyl_x0015_methanamine hydrochloride</t>
  </si>
  <si>
    <t>PK0-23661</t>
  </si>
  <si>
    <t>5-(Oxan-4-yl)-1,3,4-oxadiazol-2-amine</t>
  </si>
  <si>
    <t>C7H11N3O2</t>
  </si>
  <si>
    <t>PK0-23691</t>
  </si>
  <si>
    <t>2-(3-Methoxypyridin-2-yl)-2-methylpropanoic acid</t>
  </si>
  <si>
    <t>PK0-23751</t>
  </si>
  <si>
    <t>1-(Cyclopropylmethyl)-2-oxo-1,2-dihydropyridine-4-carboxylic acid</t>
  </si>
  <si>
    <t>PK0-23771</t>
  </si>
  <si>
    <t>2-Oxo-1-(propan-2-yl)-1,2-dihydropyridine-4-carboxylic acid</t>
  </si>
  <si>
    <t>PK0-23801</t>
  </si>
  <si>
    <t>1-Ethyl-6-oxo-1,6-dihydropyridine-2-carboxylic acid</t>
  </si>
  <si>
    <t>PK0-23821</t>
  </si>
  <si>
    <t>1-Cyclobutyl-2-oxo-1,2-dihydropyridine-3-carboxylic acid</t>
  </si>
  <si>
    <t>PK0-23831</t>
  </si>
  <si>
    <t>1-[(3-Fluorophenyl)methyl]cyclobutan-1-amine hydrochloride</t>
  </si>
  <si>
    <t>PK0-23851</t>
  </si>
  <si>
    <t>2-Methyl-1-[2-(trifluoromethyl)phenyl]propan-2-amine hydrochloride</t>
  </si>
  <si>
    <t>C11H15ClF3N</t>
  </si>
  <si>
    <t>PK0-23901</t>
  </si>
  <si>
    <t>2-[4-(Trifluoromethyl)phenyl]propan-2-amine hydrochloride</t>
  </si>
  <si>
    <t>C10H13ClF3N</t>
  </si>
  <si>
    <t>PK0-23911</t>
  </si>
  <si>
    <t>1-[4-(Trifluoromethyl)phenyl]cyclobutan-1-amine hydrochloride</t>
  </si>
  <si>
    <t>C11H13ClF3N</t>
  </si>
  <si>
    <t>PK0-23921</t>
  </si>
  <si>
    <t>2,2-Dimethyl-3-[2-(trifluoromethyl)phenyl]propanoic acid</t>
  </si>
  <si>
    <t>C12H13F3O2</t>
  </si>
  <si>
    <t>PK0-23931</t>
  </si>
  <si>
    <t>2,2-Dimethyl-3-[3-(trifluoromethyl)phenyl]propanoic acid</t>
  </si>
  <si>
    <t>PK0-23941</t>
  </si>
  <si>
    <t>2,2-Dimethyl-3-(pyridin-2-yl)propanoic acid</t>
  </si>
  <si>
    <t>C10H13NO2</t>
  </si>
  <si>
    <t>C13H13F3O2</t>
  </si>
  <si>
    <t>C11H11F3O2</t>
  </si>
  <si>
    <t>PK0-23981</t>
  </si>
  <si>
    <t>2-Methyl-2-[4-(trifluoromethyl)phenyl]propanoic acid</t>
  </si>
  <si>
    <t>PK0-23991</t>
  </si>
  <si>
    <t>1-[4-(Trifluoromethyl)phenyl]cyclopropane-1-carboxylic acid</t>
  </si>
  <si>
    <t>C11H9F3O2</t>
  </si>
  <si>
    <t>PK0-24001</t>
  </si>
  <si>
    <t>1-Methylcyclobutan-1-amine hydrochloride</t>
  </si>
  <si>
    <t>C5H12ClN</t>
  </si>
  <si>
    <t>C8H18ClN</t>
  </si>
  <si>
    <t>PK0-24021</t>
  </si>
  <si>
    <t>3-(4-Fluorophenyl)-2,2-dimethylpropan-1-amine hydrochloride</t>
  </si>
  <si>
    <t>PK0-24031</t>
  </si>
  <si>
    <t>2,2-Dimethyl-3-[4-(trifluoromethyl)phenyl]propan-1-amine hydrochloride</t>
  </si>
  <si>
    <t>PK0-24061</t>
  </si>
  <si>
    <t>1-Cyclopropyl-2-methylpropan-2-amine hydrochloride</t>
  </si>
  <si>
    <t>C7H16ClN</t>
  </si>
  <si>
    <t>PK0-24081</t>
  </si>
  <si>
    <t>_x0014_1-[(2-Methoxyphenyl)methyl]cyclobutyl_x0015_methanamine hydrochloride</t>
  </si>
  <si>
    <t>PK0-24111</t>
  </si>
  <si>
    <t>5-Cyclopropyl-1,3,4-oxadiazol-2-amine</t>
  </si>
  <si>
    <t>C5H7N3O</t>
  </si>
  <si>
    <t>PK0-24181</t>
  </si>
  <si>
    <t>(3,3-Difluorocyclopentyl)methanamine hydrochloride</t>
  </si>
  <si>
    <t>C6H12ClF2N</t>
  </si>
  <si>
    <t>PK0-24261</t>
  </si>
  <si>
    <t>4-(2-Oxoazepan-1-yl)benzoic acid</t>
  </si>
  <si>
    <t>C13H15NO3</t>
  </si>
  <si>
    <t>PK0-24271</t>
  </si>
  <si>
    <t>2-[(Tetrahydro-2H-pyran-4-ylmethyl)amino]isonicotinic acid</t>
  </si>
  <si>
    <t>PK0-24281</t>
  </si>
  <si>
    <t>2-(Tetrahydro-2H-pyran-4-ylamino)isonicotinic acid</t>
  </si>
  <si>
    <t>C12H11FN2O2</t>
  </si>
  <si>
    <t>C13H14N2O3</t>
  </si>
  <si>
    <t>C13H13FN2O2</t>
  </si>
  <si>
    <t>C14H16N2O2</t>
  </si>
  <si>
    <t>PK0-24341</t>
  </si>
  <si>
    <t>3,5-Dimethyl-1-[(4-methylphenyl)methyl]-1H-pyrazole-4-carboxylic acid</t>
  </si>
  <si>
    <t>C9H16Cl2N2</t>
  </si>
  <si>
    <t>C12H15ClF3N</t>
  </si>
  <si>
    <t>PK0-24411</t>
  </si>
  <si>
    <t>1-(3-Methoxybenzyl)cyclobutanamine hydrochloride</t>
  </si>
  <si>
    <t>C12H16ClNO</t>
  </si>
  <si>
    <t>C11H10N2O2</t>
  </si>
  <si>
    <t>PK0-24461</t>
  </si>
  <si>
    <t>1-(2-Fluorobenzyl)-1H-imidazole-4-carboxylic acid</t>
  </si>
  <si>
    <t>PK0-24471</t>
  </si>
  <si>
    <t>1-(4-Fluorobenzyl)-1H-imidazole-4-carboxylic acid</t>
  </si>
  <si>
    <t>PK0-24481</t>
  </si>
  <si>
    <t>1-(2-Chlorobenzyl)-1H-imidazole-4-carboxylic acid</t>
  </si>
  <si>
    <t>C11H9ClN2O2</t>
  </si>
  <si>
    <t>PK0-24541</t>
  </si>
  <si>
    <t>1-(4-Fluorophenyl)-1H-imidazole-5-carboxylic acid</t>
  </si>
  <si>
    <t>C10H7ClN2O2</t>
  </si>
  <si>
    <t>PK0-24691</t>
  </si>
  <si>
    <t>1-(4-Methoxybenzyl)cyclobutanecarboxylic acid</t>
  </si>
  <si>
    <t>C12H20ClN</t>
  </si>
  <si>
    <t>C11H15Cl2N</t>
  </si>
  <si>
    <t>PK0-24731</t>
  </si>
  <si>
    <t>[1-(3-Chlorobenzyl)cyclopropyl]methanamine hydrochloride</t>
  </si>
  <si>
    <t>PK0-24801</t>
  </si>
  <si>
    <t>3-(5-Ethyl-1,3,4-oxadiazol-2-yl)piperidine</t>
  </si>
  <si>
    <t>PK0-24821</t>
  </si>
  <si>
    <t>6-Isobutoxypyrimidine-4-carboxylic acid</t>
  </si>
  <si>
    <t>PK0-24841</t>
  </si>
  <si>
    <t>6-Cyclobutoxypyrimidine-4-carboxylic acid</t>
  </si>
  <si>
    <t>PK0-24891</t>
  </si>
  <si>
    <t>(S)-1-(Pyrimidin-4-yl)piperidin-3-aminedihydrochloride</t>
  </si>
  <si>
    <t>PK0-24911</t>
  </si>
  <si>
    <t>1-(2-methoxyethyl)-3,5-dimethyl-1H-pyrazole-4-carboxylic acid</t>
  </si>
  <si>
    <t>PK0-24931</t>
  </si>
  <si>
    <t>1-(4-Methoxyphenyl)-2-methylpropan-2-amine hydrochloride</t>
  </si>
  <si>
    <t>PK0-24941</t>
  </si>
  <si>
    <t>1-Phenyl-1H-imidazole-5-carboxylic acid</t>
  </si>
  <si>
    <t>C10H8N2O2</t>
  </si>
  <si>
    <t>PK0-24971</t>
  </si>
  <si>
    <t>1-(2-Fluorobenzyl)-1H-imidazole-2-carboxylic acid</t>
  </si>
  <si>
    <t>PK0-24981</t>
  </si>
  <si>
    <t>1-(3-Fluorobenzyl)-1H-imidazole-2-carboxylic acid</t>
  </si>
  <si>
    <t>PK0-24991</t>
  </si>
  <si>
    <t>1-[3-(Trifluoromethyl)benzyl]cyclopropanecarboxylic acid</t>
  </si>
  <si>
    <t>PK0-25021</t>
  </si>
  <si>
    <t>2,2-Dimethyl-3-o-tolylpropan-1-amine hydrochloride</t>
  </si>
  <si>
    <t>PK0-25031</t>
  </si>
  <si>
    <t>_x0014_1-[(4-Methylphenyl)methyl]cyclopropyl_x0015_methanamine hydrochloride</t>
  </si>
  <si>
    <t>C12H18ClN</t>
  </si>
  <si>
    <t>PK0-25041</t>
  </si>
  <si>
    <t>[1-(Pyridin-3-ylmethyl)cyclopropyl]methanamine dihydrochloride</t>
  </si>
  <si>
    <t>C10H16Cl2N2</t>
  </si>
  <si>
    <t>PK0-25051</t>
  </si>
  <si>
    <t>2,2-Dimethyl-3-p-tolylpropanoic acid</t>
  </si>
  <si>
    <t>C12H16O2</t>
  </si>
  <si>
    <t>C11H16N2</t>
  </si>
  <si>
    <t>C11H17ClN4O</t>
  </si>
  <si>
    <t>PK0-25201</t>
  </si>
  <si>
    <t>(R)-1-(Pyridin-2-yl)-3-(pyrrolidin-3-yl)urea</t>
  </si>
  <si>
    <t>C10H14N4O</t>
  </si>
  <si>
    <t>PK0-25271</t>
  </si>
  <si>
    <t>1-Isobutyl-3,5-dimethyl-1H-pyrazole-4-carboxylic acid</t>
  </si>
  <si>
    <t>C10H16N2O2</t>
  </si>
  <si>
    <t>PK0-25291</t>
  </si>
  <si>
    <t>1-(2-Methoxyphenyl)-3,5-dimethyl-1H-pyrazole-4-carboxylic acid</t>
  </si>
  <si>
    <t>C12H13N3O2</t>
  </si>
  <si>
    <t>PK0-25311</t>
  </si>
  <si>
    <t>1-(2-Fluorobenzyl)-3,5-dimethyl-1H-pyrazole-4-carboxylic acid</t>
  </si>
  <si>
    <t>PK0-25391</t>
  </si>
  <si>
    <t>1-(3-Fluorobenzyl)-1H-imidazole-4-carboxylic acid</t>
  </si>
  <si>
    <t>PK0-25411</t>
  </si>
  <si>
    <t>1-(4-Chlorobenzyl)-1H-imidazole-4-carboxylic acid</t>
  </si>
  <si>
    <t>C11H14N2O2</t>
  </si>
  <si>
    <t>PK0-25661</t>
  </si>
  <si>
    <t>3,3-Dimethylcyclopentanecarboxylic acid</t>
  </si>
  <si>
    <t>PK0-25671</t>
  </si>
  <si>
    <t>3-(Hydroxymethyl)pyrrolidin-3-ol hydrochloride</t>
  </si>
  <si>
    <t>C5H12ClNO2</t>
  </si>
  <si>
    <t>PK0-25701</t>
  </si>
  <si>
    <t>6-[(2-Methoxyethyl)amino]pyrimidine-4-carboxylic acid</t>
  </si>
  <si>
    <t>C9H11N3O2</t>
  </si>
  <si>
    <t>PK0-25741</t>
  </si>
  <si>
    <t>6-(Cyclobutylamino)pyrimidine-4-carboxylic acid</t>
  </si>
  <si>
    <t>PK0-25761</t>
  </si>
  <si>
    <t>4-(Oxan-4-ylamino)pyridine-2-carboxylic acid</t>
  </si>
  <si>
    <t>C13H18Cl2N4</t>
  </si>
  <si>
    <t>PK0-25781</t>
  </si>
  <si>
    <t>(3S)-1-(Quinazolin-4-yl)piperidin-3-amine dihydrochloride</t>
  </si>
  <si>
    <t>PK0-25801</t>
  </si>
  <si>
    <t>3,5-Dimethyl-1-[(3-methylphenyl)methyl]-1H-pyrazole-4-carboxylic acid</t>
  </si>
  <si>
    <t>PK0-25821</t>
  </si>
  <si>
    <t>1-[(3-Methoxyphenyl)methyl]-1H-imidazole-4-carboxylic acid</t>
  </si>
  <si>
    <t>C8H14ClN3O2</t>
  </si>
  <si>
    <t>PK0-25971</t>
  </si>
  <si>
    <t>[6-(2,2,2-Trifluoroethoxy)pyrimidin-4-yl]methanamine hydrochloride</t>
  </si>
  <si>
    <t>C7H9ClF3N3O</t>
  </si>
  <si>
    <t>PK0-26041</t>
  </si>
  <si>
    <t>[4-(Pyridin-2-ylmethyl)oxan-4-yl]methanamine</t>
  </si>
  <si>
    <t>PK0-26051</t>
  </si>
  <si>
    <t>4-Amino-1-methylpyridin-2(1H)-one</t>
  </si>
  <si>
    <t>PK0-26071</t>
  </si>
  <si>
    <t>(R)-1-(Pyridin-3-ylmethyl)-3-(pyrrolidin-3-yl)urea hydrochloride</t>
  </si>
  <si>
    <t>PK0-26081</t>
  </si>
  <si>
    <t>(R)-1-(Pyridin-4-ylmethyl)-3-(pyrrolidin-3-yl)urea hydrochloride</t>
  </si>
  <si>
    <t>PK0-26091</t>
  </si>
  <si>
    <t>N-[(3S)-Pyrrolidin-3-yl]pyridin-2-aminetrihydrochloride</t>
  </si>
  <si>
    <t>C9H16Cl3N3</t>
  </si>
  <si>
    <t>PK0-26101</t>
  </si>
  <si>
    <t>6-(Tetrahydro-2H-pyran-4-yloxy)pyrimidine-4-carboxylic acid</t>
  </si>
  <si>
    <t>PK0-26111</t>
  </si>
  <si>
    <t>6-(Tetrahydro-2H-pyran-4-ylamino)pyrimidine-4-carboxylic acid</t>
  </si>
  <si>
    <t>C10H13N3O3</t>
  </si>
  <si>
    <t>PK0-26121</t>
  </si>
  <si>
    <t>6-[2-Oxo-tetrahydropyrimidin-1(2H)-yl]nicotinic acid</t>
  </si>
  <si>
    <t>C10H11N3O3</t>
  </si>
  <si>
    <t>PK0-26141</t>
  </si>
  <si>
    <t>6-(Tetrahydro-2H-pyran-4-ylamino)picolinic acid</t>
  </si>
  <si>
    <t>PK0-26151</t>
  </si>
  <si>
    <t>3,5-Dimethyl-1-(tetrahydro-2H-pyran-4-yl)-1H-pyrazole-4-carboxylic acid</t>
  </si>
  <si>
    <t>PK0-26171</t>
  </si>
  <si>
    <t>1-(Cyclopropylmethyl)-1H-imidazole-4-carboxylic acid</t>
  </si>
  <si>
    <t>PK0-26191</t>
  </si>
  <si>
    <t>1-(Tetrahydro-2H-pyran-4-yl)-1H-imidazole-4-carboxylic acid</t>
  </si>
  <si>
    <t>PK0-26201</t>
  </si>
  <si>
    <t>1-(2-Bromobenzyl)-1H-imidazole-4-carboxylic acid</t>
  </si>
  <si>
    <t>PK0-26221</t>
  </si>
  <si>
    <t>1-[4-(Trifluoromethyl)benzyl]-1H-imidazole-4-carboxylic acid</t>
  </si>
  <si>
    <t>PK0-26241</t>
  </si>
  <si>
    <t>1-(Pyridin-4-ylmethyl)-1H-imidazole-4-carboxylic acid</t>
  </si>
  <si>
    <t>PK0-26251</t>
  </si>
  <si>
    <t>1-(3-Fluorophenyl)-1H-imidazole-4-carboxylic acid</t>
  </si>
  <si>
    <t>PK0-26261</t>
  </si>
  <si>
    <t>1-(2-Chlorophenyl)-1H-imidazole-4-carboxylic acid</t>
  </si>
  <si>
    <t>PK0-26271</t>
  </si>
  <si>
    <t>1-(3-Chlorophenyl)-1H-imidazole-4-carboxylic acid</t>
  </si>
  <si>
    <t>PK0-26301</t>
  </si>
  <si>
    <t>1-[2-(Trifluoromethyl)phenyl]-1H-imidazole-4-carboxylic acid</t>
  </si>
  <si>
    <t>C11H7F3N2O2</t>
  </si>
  <si>
    <t>PK0-26341</t>
  </si>
  <si>
    <t>1-(3-Methoxyphenyl)-1H-imidazole-4-carboxylic acid</t>
  </si>
  <si>
    <t>PK0-26421</t>
  </si>
  <si>
    <t>1-(4-Chlorobenzyl)-1H-imidazole-5-carboxylic acid</t>
  </si>
  <si>
    <t>C11H14ClN3</t>
  </si>
  <si>
    <t>PK0-26551</t>
  </si>
  <si>
    <t>[1-(2-Fluorobenzyl)-1H-imidazol-4-yl]methanamine hydrochloride</t>
  </si>
  <si>
    <t>C11H13ClFN3</t>
  </si>
  <si>
    <t>PK0-26561</t>
  </si>
  <si>
    <t>[1-(3-Fluorobenzyl)-1H-imidazol-4-yl]methanamine hydrochloride</t>
  </si>
  <si>
    <t>PK0-26651</t>
  </si>
  <si>
    <t>3-[5-(Aminomethyl)pyridin-2-yl]-tetrahydropyrimidin-2(1H)-one dihydrochloride</t>
  </si>
  <si>
    <t>C10H16Cl2N4O</t>
  </si>
  <si>
    <t>PK0-26671</t>
  </si>
  <si>
    <t>1-[4-(Aminomethyl)pyridin-2-yl]piperidin-2-one dihydrochloride</t>
  </si>
  <si>
    <t>PK0-26731</t>
  </si>
  <si>
    <t>4-Amino-1-(2-methoxyethyl)pyridin-2(1H)-one</t>
  </si>
  <si>
    <t>PK0-26761</t>
  </si>
  <si>
    <t>3,5-Dimethyl-1-(pyridin-4-ylmethyl)-1H-pyrazole-4-carboxylic acid</t>
  </si>
  <si>
    <t>PK0-26771</t>
  </si>
  <si>
    <t>1-(2-Fluorobenzyl)cyclobutanamine hydrochloride</t>
  </si>
  <si>
    <t>PK0-26781</t>
  </si>
  <si>
    <t>1-Isopropyl-1H-imidazole-4-carboxylic acid hydrochloride</t>
  </si>
  <si>
    <t>C7H11ClN2O2</t>
  </si>
  <si>
    <t>PK0-26811</t>
  </si>
  <si>
    <t>1-(4-Chlorophenyl)-1H-imidazole-4-carboxylic acid</t>
  </si>
  <si>
    <t>PK0-26851</t>
  </si>
  <si>
    <t>1-(Pyridin-3-ylmethyl)-1H-imidazole-5-carboxylic acid</t>
  </si>
  <si>
    <t>PK0-26871</t>
  </si>
  <si>
    <t>1-Isopropyl-1H-imidazole-2-carboxylic acid</t>
  </si>
  <si>
    <t>C11H13Cl2N3</t>
  </si>
  <si>
    <t>PK0-26911</t>
  </si>
  <si>
    <t>[1-(3-Chlorobenzyl)-1H-imidazol-4-yl]methanamine hydrochloride</t>
  </si>
  <si>
    <t>C11H13BrClN3</t>
  </si>
  <si>
    <t>PK0-26961</t>
  </si>
  <si>
    <t>_x0014_1-[2-(Trifluoromethyl)benzyl]-1H-imidazol-4-yl_x0015_methanamine hydrochloride</t>
  </si>
  <si>
    <t>C12H13ClF3N3</t>
  </si>
  <si>
    <t>PK0-26981</t>
  </si>
  <si>
    <t>_x0014_1-[4-(Trifluoromethyl)benzyl]-1H-imidazol-4-yl_x0015_methanamine</t>
  </si>
  <si>
    <t>PK0-26991</t>
  </si>
  <si>
    <t>1-(2-Methoxyethyl)-1H-imidazole-4-carboxylic acid</t>
  </si>
  <si>
    <t>PK0-27051</t>
  </si>
  <si>
    <t>4-[2-(Aminomethyl)pyridin-4-yl]-1lambda(6),4- thiomorpholine-1,1-dione,2HCl</t>
  </si>
  <si>
    <t>PK0-27061</t>
  </si>
  <si>
    <t>3-(2-Fluorophenyl)-3-methylbutanoic acid</t>
  </si>
  <si>
    <t>PK0-27091</t>
  </si>
  <si>
    <t>3-(2-Chlorophenyl)-3-methylbutanoic acid</t>
  </si>
  <si>
    <t>C11H13ClO2</t>
  </si>
  <si>
    <t>PK0-27101</t>
  </si>
  <si>
    <t>3-(3-Chlorophenyl)-3-methylbutanoic acid</t>
  </si>
  <si>
    <t>PK0-27111</t>
  </si>
  <si>
    <t>3-(4-Chlorophenyl)-3-methylbutanoic acid</t>
  </si>
  <si>
    <t>PK0-27141</t>
  </si>
  <si>
    <t>3-Methyl-3-o-tolylbutanoic acid</t>
  </si>
  <si>
    <t>PK0-27181</t>
  </si>
  <si>
    <t>3-Methyl-3-[4-(trifluoromethyl)phenyl]butanoic acid</t>
  </si>
  <si>
    <t>PK0-27191</t>
  </si>
  <si>
    <t>3-(2-Methoxyphenyl)-3-methylbutanoic acid</t>
  </si>
  <si>
    <t>PK0-27221</t>
  </si>
  <si>
    <t>2-(4-Phenyl-tetrahydro-2H-pyran-4-yl)acetic acid</t>
  </si>
  <si>
    <t>PK0-27231</t>
  </si>
  <si>
    <t>2-[4-(2-Chlorophenyl)-tetrahydro-2H-pyran-4-yl]acetic acid</t>
  </si>
  <si>
    <t>PK0-27241</t>
  </si>
  <si>
    <t>2-[4-(3-Chlorophenyl)-tetrahydro-2H-pyran-4-yl]acetic acid</t>
  </si>
  <si>
    <t>PK0-27261</t>
  </si>
  <si>
    <t>2-[4-(3-Bromophenyl)-tetrahydro-2H-pyran-4-yl]acetic acid</t>
  </si>
  <si>
    <t>PK0-27281</t>
  </si>
  <si>
    <t>2-_x0014_4-[4-(Trifluoromethyl)phenyl]-tetrahydro-2H-pyran-4-yl_x0015_acetic acid</t>
  </si>
  <si>
    <t>PK0-27301</t>
  </si>
  <si>
    <t>2-[4-(4-Methoxyphenyl)-tetrahydro-2H-pyran-4-yl]acetic acid</t>
  </si>
  <si>
    <t>PK0-27421</t>
  </si>
  <si>
    <t>[1-(4-Fluorobenzyl)-1H-imidazol-5-yl]methanamine hydrochloride</t>
  </si>
  <si>
    <t>PK0-27431</t>
  </si>
  <si>
    <t>2-[4-(4-Bromophenyl)-1-(tert-butoxycarbonyl)piperidin-4-yl]acetic acid</t>
  </si>
  <si>
    <t>C18H24BrNO4</t>
  </si>
  <si>
    <t>C19H24F3NO4</t>
  </si>
  <si>
    <t>C7H12O2</t>
  </si>
  <si>
    <t>PK0-27471</t>
  </si>
  <si>
    <t>2-(1-Ethylcyclobutyl)acetic acid</t>
  </si>
  <si>
    <t>PK0-27501</t>
  </si>
  <si>
    <t>2-(1-m-Tolylcyclobutyl)acetic acid</t>
  </si>
  <si>
    <t>C13H16O2</t>
  </si>
  <si>
    <t>PK0-27521</t>
  </si>
  <si>
    <t>2-_x0014_1-[4-(Trifluoromethyl)phenyl]cyclobutyl_x0015_acetic acid</t>
  </si>
  <si>
    <t>PK0-27541</t>
  </si>
  <si>
    <t>2-(4-Ethyl-tetrahydro-2H-pyran-4-yl)acetic acid</t>
  </si>
  <si>
    <t>C9H16O3</t>
  </si>
  <si>
    <t>PK0-27551</t>
  </si>
  <si>
    <t>2-[4-(2-Fluorophenyl)-tetrahydro-2H-pyran-4-yl]acetic acid</t>
  </si>
  <si>
    <t>C14H18O3</t>
  </si>
  <si>
    <t>PK0-27581</t>
  </si>
  <si>
    <t>2-(4-p-Tolyl-tetrahydro-2H-pyran-4-yl)acetic acid</t>
  </si>
  <si>
    <t>C9H8BrNO</t>
  </si>
  <si>
    <t>PK0-27721</t>
  </si>
  <si>
    <t>3,5-Difluoro-4-(tetrahydro-2H-pyran-4-yloxy)benzenamine</t>
  </si>
  <si>
    <t>C11H13F2NO2</t>
  </si>
  <si>
    <t>PK0-27731</t>
  </si>
  <si>
    <t>4-Amino-2-methylisoindolin-1-one</t>
  </si>
  <si>
    <t>C9H10N2O</t>
  </si>
  <si>
    <t>PK0-27771</t>
  </si>
  <si>
    <t>(S)-6-Fluoro-2-(pyrrolidin-3-yl)isoindolin-1-one hydrochloride</t>
  </si>
  <si>
    <t>C12H14ClFN2O</t>
  </si>
  <si>
    <t>C19H25FN2O3</t>
  </si>
  <si>
    <t>PK0-27801</t>
  </si>
  <si>
    <t>2-[(1R*,4R*)-4-Aminocyclohexyl]-6-fluoroisoindolin-1-one hydrochloride</t>
  </si>
  <si>
    <t>C14H18ClFN2O</t>
  </si>
  <si>
    <t>PK0-27811</t>
  </si>
  <si>
    <t>6-Fluoro-2-(piperidin-4-ylmethyl)isoindolin-1-one hydrochloride</t>
  </si>
  <si>
    <t>C19H27NO5</t>
  </si>
  <si>
    <t>C12H13BrO2</t>
  </si>
  <si>
    <t>C10H14ClFN2O</t>
  </si>
  <si>
    <t>PK0-27921</t>
  </si>
  <si>
    <t>5-Methyl-2-(piperidin-4-yloxy)pyridine hydrochloride</t>
  </si>
  <si>
    <t>C11H17ClN2O</t>
  </si>
  <si>
    <t>PK0-27951</t>
  </si>
  <si>
    <t>4-Methyl-2-(piperidin-4-yloxy)pyridine hydrochloride</t>
  </si>
  <si>
    <t>PK0-27991</t>
  </si>
  <si>
    <t>3-(Cyclopropylmethoxy)-5-(trifluoromethyl)benzenamine</t>
  </si>
  <si>
    <t>PK0-28011</t>
  </si>
  <si>
    <t>4-(Cyclobutylmethoxy)-3,5-difluorobenzenamine</t>
  </si>
  <si>
    <t>C11H13F2NO</t>
  </si>
  <si>
    <t>PK0-28021</t>
  </si>
  <si>
    <t>3,5-Difluoro-4-isopropoxybenzenamine</t>
  </si>
  <si>
    <t>C9H11F2NO</t>
  </si>
  <si>
    <t>PK0-28061</t>
  </si>
  <si>
    <t>(S)-2-(Pyrrolidin-3-yl)isoindolin-1-onehydrochloride</t>
  </si>
  <si>
    <t>C12H15ClN2O</t>
  </si>
  <si>
    <t>PK0-28111</t>
  </si>
  <si>
    <t>(S)-2-(Piperidin-3-yl)isoindolin-1-one hydrochloride</t>
  </si>
  <si>
    <t>PK0-28131</t>
  </si>
  <si>
    <t>(R)-2-(Piperidin-3-yl)isoindolin-1-one</t>
  </si>
  <si>
    <t>C13H16N2O</t>
  </si>
  <si>
    <t>PK0-28141</t>
  </si>
  <si>
    <t>(R)-4-Fluoro-2-(piperidin-3-yl)isoindolin-1-one hydrochloride</t>
  </si>
  <si>
    <t>PK0-28161</t>
  </si>
  <si>
    <t>5-Methyl-2-(piperidin-3-yloxy)pyridine hydrochloride</t>
  </si>
  <si>
    <t>PK0-28171</t>
  </si>
  <si>
    <t>3-Fluoro-2-(piperidin-3-yloxy)pyridine hydrochloride</t>
  </si>
  <si>
    <t>PK0-28201</t>
  </si>
  <si>
    <t>2-[(1R*,4R*)-4-Aminocyclohexyl]-4-fluoroisoindolin-1-one hydrochloride</t>
  </si>
  <si>
    <t>PK0-28211</t>
  </si>
  <si>
    <t>2-[(1R*,4R*)-4-Aminocyclohexyl]isoindolin-1-one hydrochloride</t>
  </si>
  <si>
    <t>C14H19ClN2O</t>
  </si>
  <si>
    <t>PK0-28231</t>
  </si>
  <si>
    <t>4-Fluoro-2-(piperidin-4-ylmethyl)isoindolin-1-one hydrochloride</t>
  </si>
  <si>
    <t>PK0-28271</t>
  </si>
  <si>
    <t>[1-(3-Chlorobenzyl)-1H-imidazol-5-yl]methanamine hydrochloride</t>
  </si>
  <si>
    <t>C18H24FNO4</t>
  </si>
  <si>
    <t>PK0-28331</t>
  </si>
  <si>
    <t>2-[1-(tert-Butoxycarbonyl)-4-(4-chlorophenyl)piperidin-4-yl]acetic acid</t>
  </si>
  <si>
    <t>C18H24ClNO4</t>
  </si>
  <si>
    <t>PK0-28371</t>
  </si>
  <si>
    <t>6-Oxaspiro[2.5]octan-1-amine hydrochloride</t>
  </si>
  <si>
    <t>C11H18Cl2N2O2</t>
  </si>
  <si>
    <t>PK0-28451</t>
  </si>
  <si>
    <t>(R)-5-Fluoro-2-(pyrrolidin-3-yl)isoindolin-1-one hydrochloride</t>
  </si>
  <si>
    <t>PK0-28481</t>
  </si>
  <si>
    <t>2-(Pyrrolidin-3-yloxy)pyrazine hydrochloride</t>
  </si>
  <si>
    <t>C8H12ClN3O</t>
  </si>
  <si>
    <t>PK0-28531</t>
  </si>
  <si>
    <t>2-Methoxy-4-(pyrrolidin-3-yloxy)pyridinehydrochloride</t>
  </si>
  <si>
    <t>C10H15ClN2O2</t>
  </si>
  <si>
    <t>PK0-28561</t>
  </si>
  <si>
    <t>(S)-6-Fluoro-2-(piperidin-3-yl)isoindolin-1-one hydrochloride</t>
  </si>
  <si>
    <t>PK0-28571</t>
  </si>
  <si>
    <t>(S)-5-Fluoro-2-(piperidin-3-yl)isoindolin-1-one hydrochloride</t>
  </si>
  <si>
    <t>PK0-28591</t>
  </si>
  <si>
    <t>(R)-5-Fluoro-2-(piperidin-3-yl)isoindolin-1-one hydrochloride</t>
  </si>
  <si>
    <t>PK0-28621</t>
  </si>
  <si>
    <t>5-Fluoro-2-(piperidin-3-yloxy)pyridine hydrochloride</t>
  </si>
  <si>
    <t>PK0-28691</t>
  </si>
  <si>
    <t>5-Fluoro-2-(piperidin-4-ylmethyl)isoindolin-1-one hydrochloride</t>
  </si>
  <si>
    <t>PK0-28711</t>
  </si>
  <si>
    <t>1-(Quinazolin-4-yl)azetidin-3-amine hydrochloride</t>
  </si>
  <si>
    <t>C11H13ClN4</t>
  </si>
  <si>
    <t>PK0-28721</t>
  </si>
  <si>
    <t>1-[2-(Trifluoromethyl)phenyl]-1H-imidazole-5-carboxylic acid</t>
  </si>
  <si>
    <t>PK0-28731</t>
  </si>
  <si>
    <t>1-[4-(Trifluoromethyl)phenyl]-1H-imidazole-5-carboxylic acid</t>
  </si>
  <si>
    <t>C9H14O2</t>
  </si>
  <si>
    <t>PK0-28851</t>
  </si>
  <si>
    <t>5-(Difluoromethoxy)picolinic acid</t>
  </si>
  <si>
    <t>C7H5F2NO3</t>
  </si>
  <si>
    <t>PK0-28861</t>
  </si>
  <si>
    <t>3-(Difluoromethoxy)picolinic acid</t>
  </si>
  <si>
    <t>PK0-28871</t>
  </si>
  <si>
    <t>2-(Difluoromethoxy)nicotinic acid</t>
  </si>
  <si>
    <t>PK0-28881</t>
  </si>
  <si>
    <t>6-(Difluoromethoxy)nicotinic acid</t>
  </si>
  <si>
    <t>PK0-28891</t>
  </si>
  <si>
    <t>3-(Difluoromethoxy)isonicotinic acid</t>
  </si>
  <si>
    <t>PK0-28901</t>
  </si>
  <si>
    <t>2-(Difluoromethoxy)isonicotinic acid</t>
  </si>
  <si>
    <t>C6H8Cl2F2N2O</t>
  </si>
  <si>
    <t>PK0-28931</t>
  </si>
  <si>
    <t>2-(Difluoromethoxy)pyridin-3-amine</t>
  </si>
  <si>
    <t>C6H6F2N2O</t>
  </si>
  <si>
    <t>PK0-28941</t>
  </si>
  <si>
    <t>6-(Difluoromethoxy)pyridin-3-amine</t>
  </si>
  <si>
    <t>PK0-28961</t>
  </si>
  <si>
    <t>4-(Difluoromethoxy)pyridin-3-amine</t>
  </si>
  <si>
    <t>C7H4F3NO3</t>
  </si>
  <si>
    <t>PK0-29001</t>
  </si>
  <si>
    <t>5-(Trifluoromethoxy)nicotinic acid</t>
  </si>
  <si>
    <t>C6H7Cl2F3N2O</t>
  </si>
  <si>
    <t>PK0-29071</t>
  </si>
  <si>
    <t>2-(Trifluoromethoxy)pyridin-4-amine dihydrochloride</t>
  </si>
  <si>
    <t>C6H5F3N2Oe2HCl</t>
  </si>
  <si>
    <t>PK0-29081</t>
  </si>
  <si>
    <t>5-Cyclopropylnicotinic acid</t>
  </si>
  <si>
    <t>C9H9NO2</t>
  </si>
  <si>
    <t>PK0-29131</t>
  </si>
  <si>
    <t>5-(Difluoromethoxy)nicotinic acid</t>
  </si>
  <si>
    <t>PK0-29141</t>
  </si>
  <si>
    <t>4-(Difluoromethoxy)nicotinic acid</t>
  </si>
  <si>
    <t>PK0-29181</t>
  </si>
  <si>
    <t>3-(Trifluoromethoxy)picolinic acid</t>
  </si>
  <si>
    <t>PK0-29241</t>
  </si>
  <si>
    <t>5-(Trifluoromethoxy)pyridin-3-amine dihydrochloride</t>
  </si>
  <si>
    <t>PK0-29271</t>
  </si>
  <si>
    <t>4-Carbamoylnicotinic acid</t>
  </si>
  <si>
    <t>C7H6N2O3</t>
  </si>
  <si>
    <t>PK0-29281</t>
  </si>
  <si>
    <t>4-Acetamidonicotinic acid</t>
  </si>
  <si>
    <t>C8H8N2O3</t>
  </si>
  <si>
    <t>PK0-29311</t>
  </si>
  <si>
    <t>3-(Pyrrolidin-1-yl)picolinic acid</t>
  </si>
  <si>
    <t>C10H12N2O2</t>
  </si>
  <si>
    <t>PK0-29321</t>
  </si>
  <si>
    <t>4-(Pyrrolidin-1-yl)nicotinic acid</t>
  </si>
  <si>
    <t>PK0-29341</t>
  </si>
  <si>
    <t>4-(Piperidin-1-yl)nicotinic acid</t>
  </si>
  <si>
    <t>PK0-29351</t>
  </si>
  <si>
    <t>3-(Piperidin-1-yl)isonicotinic acid</t>
  </si>
  <si>
    <t>PK0-29361</t>
  </si>
  <si>
    <t>5-Morpholinopicolinic acid</t>
  </si>
  <si>
    <t>PK0-29371</t>
  </si>
  <si>
    <t>3-Morpholinopicolinic acid</t>
  </si>
  <si>
    <t>PK0-29411</t>
  </si>
  <si>
    <t>5-(4-Methylpiperazin-1-yl)picolinic acid</t>
  </si>
  <si>
    <t>C6H6N4</t>
  </si>
  <si>
    <t>C8H10N2</t>
  </si>
  <si>
    <t>PK0-29601</t>
  </si>
  <si>
    <t>2-Ethylpyrazolo[1,5-a]pyrimidine-6-carboxylic acid</t>
  </si>
  <si>
    <t>C10H11N3O2</t>
  </si>
  <si>
    <t>PK0-29641</t>
  </si>
  <si>
    <t>2-(Tetrahydro-2H-pyran-4-yl)pyrazolo[1,5-a]pyrimidine-6-carboxylic acid</t>
  </si>
  <si>
    <t>PK0-29651</t>
  </si>
  <si>
    <t>2-Cyclopropylnicotinic acid</t>
  </si>
  <si>
    <t>PK0-29681</t>
  </si>
  <si>
    <t>6-Cyclopropylpicolinic acid</t>
  </si>
  <si>
    <t>PK0-29771</t>
  </si>
  <si>
    <t>2-[1-(tert-Butoxycarbonyl)-4-(3-chlorophenyl)piperidin-4-yl]acetic acid</t>
  </si>
  <si>
    <t>PK0-29851</t>
  </si>
  <si>
    <t>2-Ethyl-1,3,8-triazaspiro[4.5]dec-1-en-4-one hydrochloride</t>
  </si>
  <si>
    <t>PK0-29921</t>
  </si>
  <si>
    <t>2-(Trifluoromethyl)pyrazolo[1,5-a]pyrimidin-6-amine</t>
  </si>
  <si>
    <t>C7H5F3N4</t>
  </si>
  <si>
    <t>C9H12N2</t>
  </si>
  <si>
    <t>PK0-30061</t>
  </si>
  <si>
    <t>2-Cyclopropylpyrazolo[1,5-a]pyrimidine-6-carboxylic acid</t>
  </si>
  <si>
    <t>PK0-30091</t>
  </si>
  <si>
    <t>3-Cyclopropylisonicotinic acid</t>
  </si>
  <si>
    <t>PK0-30101</t>
  </si>
  <si>
    <t>2-Cyclopropylisonicotinic acid</t>
  </si>
  <si>
    <t>PK0-30111</t>
  </si>
  <si>
    <t>2-Cyclobutylnicotinic acid</t>
  </si>
  <si>
    <t>PK0-30121</t>
  </si>
  <si>
    <t>6-Cyclobutylpicolinic acid</t>
  </si>
  <si>
    <t>PK0-30131</t>
  </si>
  <si>
    <t>2-Cyclobutylisonicotinic acid</t>
  </si>
  <si>
    <t>PK0-30141</t>
  </si>
  <si>
    <t>5-Methoxy-2-(piperidin-3-yloxy)pyridinedihydrochloride</t>
  </si>
  <si>
    <t>PK0-30191</t>
  </si>
  <si>
    <t>1-(Pyridin-4-ylmethyl)-1H-imidazole-5-carboxylic acid</t>
  </si>
  <si>
    <t>PK0-30341</t>
  </si>
  <si>
    <t>2-Cyclobutyl-1,3,8-triazaspiro[4.5]dec-1-en-4-one hydrochloride</t>
  </si>
  <si>
    <t>PK0-30401</t>
  </si>
  <si>
    <t>N2-Methylpyrimidine-2,5-diamine</t>
  </si>
  <si>
    <t>C5H8N4</t>
  </si>
  <si>
    <t>PK0-30421</t>
  </si>
  <si>
    <t>N2-(2,2,2-Trifluoroethyl)pyrimidine-2,5-diamine</t>
  </si>
  <si>
    <t>PK0-30541</t>
  </si>
  <si>
    <t>3-Methyl-4-(pyrrolidin-3-yloxy)pyridinedihydrochloride</t>
  </si>
  <si>
    <t>PK0-30561</t>
  </si>
  <si>
    <t>5-Fluoro-2-(pyrrolidin-3-yloxy)pyrimidine hydrochloride</t>
  </si>
  <si>
    <t>C8H11ClFN3O</t>
  </si>
  <si>
    <t>PK0-30601</t>
  </si>
  <si>
    <t>2-(Trifluoromethyl)pyrazolo[1,5-a]pyrimidine-6-carboxylic acid</t>
  </si>
  <si>
    <t>C8H4F3N3O2</t>
  </si>
  <si>
    <t>PK0-30621</t>
  </si>
  <si>
    <t>3-Isopropylpyrazolo[1,5-a]pyrimidine-6-carboxylic acid</t>
  </si>
  <si>
    <t>PK0-30651</t>
  </si>
  <si>
    <t>3-Cyclobutylisonicotinic acid</t>
  </si>
  <si>
    <t>PK0-30701</t>
  </si>
  <si>
    <t>tert-Butyl (1R*,4R*)-4-(7-fluoro-1-oxoisoindolin-2-yl)cyclohexylcarbamate</t>
  </si>
  <si>
    <t>PK0-30711</t>
  </si>
  <si>
    <t>2-[(1R*,4R*)-4-Aminocyclohexyl]-7-fluoroisoindolin-1-one hydrochloride</t>
  </si>
  <si>
    <t>PK0-30721</t>
  </si>
  <si>
    <t>4-Methyl-1H-pyrazol-3-amine hydrochloride</t>
  </si>
  <si>
    <t>C4H8ClN3</t>
  </si>
  <si>
    <t>PK0-30731</t>
  </si>
  <si>
    <t>4-Ethyl-1H-pyrazol-3-amine hydrochloride</t>
  </si>
  <si>
    <t>C5H10ClN3</t>
  </si>
  <si>
    <t>PK0-30751</t>
  </si>
  <si>
    <t>[1-(2,2,2-Trifluoroethyl)-1H-imidazol-4-yl]methanamine hydrochloride</t>
  </si>
  <si>
    <t>C6H9ClF3N3</t>
  </si>
  <si>
    <t>PK0-30761</t>
  </si>
  <si>
    <t>[1-(3-Bromobenzyl)-1H-imidazol-4-yl]methanamine hydrochloride</t>
  </si>
  <si>
    <t>PK0-30871</t>
  </si>
  <si>
    <t>2-[1-(4-Bromophenyl)cyclobutyl]acetic acid</t>
  </si>
  <si>
    <t>PK0-30951</t>
  </si>
  <si>
    <t>6-Cyclobutylpyridin-3-amine</t>
  </si>
  <si>
    <t>PK0-30991</t>
  </si>
  <si>
    <t>3-Cyclopropylpicolinic acid</t>
  </si>
  <si>
    <t>PK0-31011</t>
  </si>
  <si>
    <t>1-(tert-Butoxycarbonyl)-4-(4-methoxybenzyl)piperidine-4-carboxylic acid</t>
  </si>
  <si>
    <t>PK0-31091</t>
  </si>
  <si>
    <t>7-Fluoro-2-(piperidin-4-ylmethyl)isoindolin-1-one hydrochloride</t>
  </si>
  <si>
    <t>PK0-31141</t>
  </si>
  <si>
    <t>1-(2-Methoxyethyl)-1H-imidazol-2-amine</t>
  </si>
  <si>
    <t>PK0-31171</t>
  </si>
  <si>
    <t>1-Phenyl-1H-imidazol-2-amine</t>
  </si>
  <si>
    <t>C9H9N3</t>
  </si>
  <si>
    <t>PK0-31261</t>
  </si>
  <si>
    <t>1,1-Dioxo-1lambda(6)-thiane-4-carboxylic acid</t>
  </si>
  <si>
    <t>C6H10O4S</t>
  </si>
  <si>
    <t>PK0-31271</t>
  </si>
  <si>
    <t>Ethyl 1,1-dioxo-1lambda(6)-thiane-4-carboxylate</t>
  </si>
  <si>
    <t>C8H14O4S</t>
  </si>
  <si>
    <t>PK0-31281</t>
  </si>
  <si>
    <t>tert-Butyl 2,2-dimethylcyclopropylcarbamate</t>
  </si>
  <si>
    <t>C10H19NO2</t>
  </si>
  <si>
    <t>PK0-31321</t>
  </si>
  <si>
    <t>tert-Butyl 4-amino-4-(3-fluorophenyl)piperidine-1-carboxylate</t>
  </si>
  <si>
    <t>PK0-31341</t>
  </si>
  <si>
    <t>tert-Butyl 4-amino-4-(3-chlorophenyl)piperidine-1-carboxylate</t>
  </si>
  <si>
    <t>PK0-31351</t>
  </si>
  <si>
    <t>tert-Butyl 4-amino-4-[3-(trifluoromethyl)phenyl]piperidine-1-carboxylate</t>
  </si>
  <si>
    <t>PK0-31361</t>
  </si>
  <si>
    <t>tert-Butyl 4-amino-4-methylpiperidine-1-carboxylate</t>
  </si>
  <si>
    <t>PK0-31391</t>
  </si>
  <si>
    <t>4-Methylpiperidin-4-amine dihydrochloride</t>
  </si>
  <si>
    <t>C13H19Cl2F3N2</t>
  </si>
  <si>
    <t>PK0-31431</t>
  </si>
  <si>
    <t>4-(3-Fluorophenyl)piperidin-4-amine dihydrochloride</t>
  </si>
  <si>
    <t>PK0-31441</t>
  </si>
  <si>
    <t>4-(4-Fluorophenyl)piperidin-4-amine dihydrochloride</t>
  </si>
  <si>
    <t>PK0-31491</t>
  </si>
  <si>
    <t>1-(tert-Butoxycarbonyl)-4-ethylpiperidine-4-carboxylic acid</t>
  </si>
  <si>
    <t>C13H23NO4</t>
  </si>
  <si>
    <t>PK0-31521</t>
  </si>
  <si>
    <t>1-(tert-Butoxycarbonyl)-4-[4-(trifluoromethyl)benzyl]piperidine-4-carboxylic acid</t>
  </si>
  <si>
    <t>C18H25NO5</t>
  </si>
  <si>
    <t>PK0-31641</t>
  </si>
  <si>
    <t>1-Ethyl-1H-imidazol-2-amine</t>
  </si>
  <si>
    <t>PK0-31701</t>
  </si>
  <si>
    <t>1-(4-Fluorophenyl)-1H-imidazol-2-amine</t>
  </si>
  <si>
    <t>PK0-31761</t>
  </si>
  <si>
    <t>6-Fluoro-1,2-dihydrospiro[indole-3,4'-piperidine]-2-one hydrochloride</t>
  </si>
  <si>
    <t>C12H14Cl2N2O</t>
  </si>
  <si>
    <t>PK0-31781</t>
  </si>
  <si>
    <t>5-Bromo-1,2-dihydrospiro[indole-3,4'-piperidine]-2-one hydrochloride</t>
  </si>
  <si>
    <t>C12H14BrClN2O</t>
  </si>
  <si>
    <t>C17H23FN2O2</t>
  </si>
  <si>
    <t>PK0-31821</t>
  </si>
  <si>
    <t>1H,3H-Pyrrolo[3,2-b]pyridin-2-one</t>
  </si>
  <si>
    <t>C7H6N2O</t>
  </si>
  <si>
    <t>C13H21NO4</t>
  </si>
  <si>
    <t>PK0-31861</t>
  </si>
  <si>
    <t>4-Ethylpiperidin-4-amine dihydrochloride</t>
  </si>
  <si>
    <t>PK0-31891</t>
  </si>
  <si>
    <t>4-Phenylpiperidin-4-amine dihydrochloride</t>
  </si>
  <si>
    <t>C11H18Cl2N2</t>
  </si>
  <si>
    <t>PK0-31931</t>
  </si>
  <si>
    <t>3-(Piperidin-1-yl)picolinic acid</t>
  </si>
  <si>
    <t>PK0-31941</t>
  </si>
  <si>
    <t>3-(4-Methylpiperazin-1-yl)picolinic acid</t>
  </si>
  <si>
    <t>PK0-31951</t>
  </si>
  <si>
    <t>3-(Dimethylamino)isonicotinic acid</t>
  </si>
  <si>
    <t>PK0-31961</t>
  </si>
  <si>
    <t>3-(4-Methylpiperazin-1-yl)isonicotinic acid</t>
  </si>
  <si>
    <t>PK0-31981</t>
  </si>
  <si>
    <t>1-(tert-Butoxycarbonyl)-4-(cyclopropylmethyl)piperidine-4-carboxylic acid</t>
  </si>
  <si>
    <t>C15H25NO4</t>
  </si>
  <si>
    <t>PK0-32011</t>
  </si>
  <si>
    <t>1-(tert-Butoxycarbonyl)-4-(3-methoxyphenyl)piperidine-4-carboxylic acid</t>
  </si>
  <si>
    <t>PK0-32031</t>
  </si>
  <si>
    <t>6,7-Dihydro-5H-pyrazolo[5,1-b][1,3]oxazine-3-carboxylic acid</t>
  </si>
  <si>
    <t>PK0-32121</t>
  </si>
  <si>
    <t>1-(3-Methoxybenzyl)-1H-imidazol-2-amine</t>
  </si>
  <si>
    <t>PK0-32131</t>
  </si>
  <si>
    <t>1-(3-Methoxyphenyl)-1H-imidazol-2-amine</t>
  </si>
  <si>
    <t>PK0-32151</t>
  </si>
  <si>
    <t>1-(Pyridin-2-yl)-1H-imidazol-2-amine</t>
  </si>
  <si>
    <t>PK0-32171</t>
  </si>
  <si>
    <t>1-(Pyridin-4-yl)-1H-imidazol-2-amine</t>
  </si>
  <si>
    <t>PK0-32191</t>
  </si>
  <si>
    <t>5-Chloro-1,2-dihydrospiro[indole-3,4'-piperidine]-2-one hydrochloride</t>
  </si>
  <si>
    <t>PK0-32201</t>
  </si>
  <si>
    <t>5-Methoxy-1,2-dihydrospiro[indole-3,4'-piperidine]-2-one hydrochloride</t>
  </si>
  <si>
    <t>C13H17ClN2O2</t>
  </si>
  <si>
    <t>PK0-32221</t>
  </si>
  <si>
    <t>5-(Trifluoromethyl)-1,3-dihydroindol-2-one</t>
  </si>
  <si>
    <t>C9H6F3NO</t>
  </si>
  <si>
    <t>PK0-32261</t>
  </si>
  <si>
    <t>tert-Butyl 1-_x0014_[(benzyloxy)carbonyl]amino_x0015_-6-azaspiro[2.5]octane-6-carboxylate</t>
  </si>
  <si>
    <t>C20H28N2O4</t>
  </si>
  <si>
    <t>PK0-32401</t>
  </si>
  <si>
    <t>6-Amino-2-methylisoindolin-1-one</t>
  </si>
  <si>
    <t>PK0-32421</t>
  </si>
  <si>
    <t>1-(tert-Butoxycarbonyl)-4-(cyclobutylmethyl)piperidine-4-carboxylic acid</t>
  </si>
  <si>
    <t>C16H27NO4</t>
  </si>
  <si>
    <t>PK0-32451</t>
  </si>
  <si>
    <t>1-(tert-Butoxycarbonyl)-4-(3-chlorobenzyl)piperidine-4-carboxylic acid</t>
  </si>
  <si>
    <t>PK0-32471</t>
  </si>
  <si>
    <t>1-(tert-Butoxycarbonyl)-4-(3-methoxybenzyl)piperidine-4-carboxylic acid</t>
  </si>
  <si>
    <t>PK0-32531</t>
  </si>
  <si>
    <t>6,7-Dihydro-5H-pyrazolo[5,1-b][1,3]oxazine-2-carboxylic acid</t>
  </si>
  <si>
    <t>PK0-32541</t>
  </si>
  <si>
    <t>6,6-Dimethyl-6,7-dihydro-5H-pyrazolo[5,1-b][1,3]oxazine-3-carboxylic acid</t>
  </si>
  <si>
    <t>PK0-32571</t>
  </si>
  <si>
    <t>1-Cyclopentyl-1H-imidazol-2-amine</t>
  </si>
  <si>
    <t>PK0-32581</t>
  </si>
  <si>
    <t>1-(3-Fluorobenzyl)-1H-imidazol-2-amine</t>
  </si>
  <si>
    <t>PK0-32611</t>
  </si>
  <si>
    <t>1-(3-Fluorophenyl)-1H-imidazol-2-amine</t>
  </si>
  <si>
    <t>PK0-32661</t>
  </si>
  <si>
    <t>7-Bromo-1,2-dihydrospiro[indole-3,4'-piperidine]-2-one hydrochloride</t>
  </si>
  <si>
    <t>PK0-32681</t>
  </si>
  <si>
    <t>4-Methyl-1,1-dioxo-1lambda(6)-thiane-4-carboxylic acid</t>
  </si>
  <si>
    <t>C7H12O4S</t>
  </si>
  <si>
    <t>PK0-32701</t>
  </si>
  <si>
    <t>2,2-Dimethylcyclopropanamine hydrochloride</t>
  </si>
  <si>
    <t>PK0-32731</t>
  </si>
  <si>
    <t>4,4-Difluorocyclohexanamine hydrochloride</t>
  </si>
  <si>
    <t>PK0-32801</t>
  </si>
  <si>
    <t>4-(Pyridin-2-ylmethyl)piperidin-4-aminetrihydrochloride</t>
  </si>
  <si>
    <t>PK0-32811</t>
  </si>
  <si>
    <t>4-(Pyridin-3-ylmethyl)piperidin-4-aminetrihydrochloride</t>
  </si>
  <si>
    <t>PK0-32831</t>
  </si>
  <si>
    <t>6-Cyclopropylpyridin-2-amine</t>
  </si>
  <si>
    <t>PK0-32841</t>
  </si>
  <si>
    <t>6-(Difluoromethoxy)picolinic acid</t>
  </si>
  <si>
    <t>PK0-32861</t>
  </si>
  <si>
    <t>1-(tert-Butoxycarbonyl)-4-(pyridin-2-ylmethyl)piperidine-4-carboxylic acid</t>
  </si>
  <si>
    <t>C17H24N2O4</t>
  </si>
  <si>
    <t>PK0-32961</t>
  </si>
  <si>
    <t>6,6-Dimethyl-6,7-dihydro-5H-pyrazolo[5,1-b][1,3]oxazine-2-carboxylic acid</t>
  </si>
  <si>
    <t>PK0-33011</t>
  </si>
  <si>
    <t>[1-(Cyclobutylmethyl)cyclopropyl]methanamine hydrochloride</t>
  </si>
  <si>
    <t>C9H18ClN</t>
  </si>
  <si>
    <t>PK0-33021</t>
  </si>
  <si>
    <t>3H-Spiro[2-benzofuran-1,4'-piperidine] hydrochloride</t>
  </si>
  <si>
    <t>C12H15Cl2NO</t>
  </si>
  <si>
    <t>PK0-33211</t>
  </si>
  <si>
    <t>4-[3-(Trifluoromethyl)phenyl]piperidin-4-amine dihydrochloride</t>
  </si>
  <si>
    <t>PK0-33221</t>
  </si>
  <si>
    <t>4-[4-(Trifluoromethyl)phenyl]piperidin-4-amine dihydrochloride</t>
  </si>
  <si>
    <t>PK0-33331</t>
  </si>
  <si>
    <t>tert-Butyl 4-(aminomethyl)-4-methylpiperidine-1-carboxylate</t>
  </si>
  <si>
    <t>PK0-33361</t>
  </si>
  <si>
    <t>tert-Butyl _x0014_[4-(pyridin-2-ylmethyl)piperidin-4-yl]methyl_x0015_carbamate</t>
  </si>
  <si>
    <t>PK0-33381</t>
  </si>
  <si>
    <t>1',3'-Dihydrospiro_x0014_cyclobutane-1,2'-pyrazolo[3,2-b][1,3]oxazine_x0015_-6'-carboxylic</t>
  </si>
  <si>
    <t>PK0-33461</t>
  </si>
  <si>
    <t>[1-(4-Chlorobenzyl)-1H-imidazol-5-yl]methanamine hydrochloride</t>
  </si>
  <si>
    <t>PK0-33481</t>
  </si>
  <si>
    <t>1-(Cyclobutylmethyl)-1H-imidazol-2-amine</t>
  </si>
  <si>
    <t>PK0-33491</t>
  </si>
  <si>
    <t>1-(Tetrahydrofuran-3-yl)-1H-imidazol-2-amine</t>
  </si>
  <si>
    <t>C13H18ClNO</t>
  </si>
  <si>
    <t>PK0-33521</t>
  </si>
  <si>
    <t>4-Methyl-3H-spiro[2-benzofuran-1,4'-piperidine] hydrochloride</t>
  </si>
  <si>
    <t>PK0-33531</t>
  </si>
  <si>
    <t>5-Methoxy-3H-spiro[2-benzofuran-1,4'-piperidine] hydrochloride</t>
  </si>
  <si>
    <t>C13H18ClNO2</t>
  </si>
  <si>
    <t>PK0-33541</t>
  </si>
  <si>
    <t>4-Methoxy-3H-spiro[2-benzofuran-1,4'-piperidine] hydrochloride</t>
  </si>
  <si>
    <t>C10H17Cl3FN3</t>
  </si>
  <si>
    <t>C10H17Cl4N3</t>
  </si>
  <si>
    <t>C11H20Cl3N3O</t>
  </si>
  <si>
    <t>PK0-33611</t>
  </si>
  <si>
    <t>3-Chloro-N-(piperidin-4-yl)pyridin-4-amine trihydrochloride</t>
  </si>
  <si>
    <t>C10H18Cl2N4O</t>
  </si>
  <si>
    <t>PK0-33631</t>
  </si>
  <si>
    <t>tert-Butyl 4-amino-4-(3-methoxyphenyl)piperidine-1-carboxylate</t>
  </si>
  <si>
    <t>PK0-33641</t>
  </si>
  <si>
    <t>4-(Cyclopropylmethyl)piperidin-4-amine dihydrochloride</t>
  </si>
  <si>
    <t>C9H15Cl3FN3</t>
  </si>
  <si>
    <t>PK0-33721</t>
  </si>
  <si>
    <t>4-(Piperidin-1-yl)pyridin-3-amine dihydrochloride</t>
  </si>
  <si>
    <t>PK0-33741</t>
  </si>
  <si>
    <t>4-(Difluoromethoxy)picolinic acid</t>
  </si>
  <si>
    <t>PK0-33751</t>
  </si>
  <si>
    <t>tert-Butyl (4-methylpiperidin-4-yl)methylcarbamate</t>
  </si>
  <si>
    <t>PK0-33781</t>
  </si>
  <si>
    <t>tert-Butyl [4-(2-chlorobenzyl)piperidin-4-yl]methylcarbamate</t>
  </si>
  <si>
    <t>PK0-33791</t>
  </si>
  <si>
    <t>6,6-Dimethyl-6,7-dihydro-5H-pyrazolo[5,1-b][1,3]oxazin-3-amine hydrochloride</t>
  </si>
  <si>
    <t>PK0-33841</t>
  </si>
  <si>
    <t>[1-(4-Methoxybenzyl)-1H-imidazol-5-yl]methanamine hydrochloride</t>
  </si>
  <si>
    <t>PK0-33851</t>
  </si>
  <si>
    <t>1-(2-Methoxybenzyl)-1H-imidazol-2-amine</t>
  </si>
  <si>
    <t>PK0-33881</t>
  </si>
  <si>
    <t>6-Methoxy-3H-spiro[2-benzofuran-1,4'-piperidine]hydrochloride</t>
  </si>
  <si>
    <t>PK0-33901</t>
  </si>
  <si>
    <t>3-Methoxy-N-(piperidin-4-yl)pyridin-2-amine trihydrochloride</t>
  </si>
  <si>
    <t>PK0-33921</t>
  </si>
  <si>
    <t>4-Methoxy-N-(piperidin-4-yl)pyridin-2-amine trihydrochloride</t>
  </si>
  <si>
    <t>PK0-33991</t>
  </si>
  <si>
    <t>4-(3-Fluorobenzyl)piperidin-4-amine dihydrochloride</t>
  </si>
  <si>
    <t>PK0-34021</t>
  </si>
  <si>
    <t>1-(2-Methylpyridin-4-yl)piperazine trihydrochloride</t>
  </si>
  <si>
    <t>PK0-34031</t>
  </si>
  <si>
    <t>4-Methoxy-6-methyl-2-(piperazin-1-yl)pyrimidine hydrochloride</t>
  </si>
  <si>
    <t>C10H17ClN4O</t>
  </si>
  <si>
    <t>PK0-34081</t>
  </si>
  <si>
    <t>3-Morpholinopyridin-2-amine</t>
  </si>
  <si>
    <t>PK0-34091</t>
  </si>
  <si>
    <t>3-(4-Methylpiperazin-1-yl)pyridin-2-amine</t>
  </si>
  <si>
    <t>PK0-34111</t>
  </si>
  <si>
    <t>4-(4-Methylpiperazin-1-yl)pyridin-3-amine</t>
  </si>
  <si>
    <t>PK0-34211</t>
  </si>
  <si>
    <t>_x0014_1-[3-(Trifluoromethyl)benzyl]-1H-imidazol-5-yl_x0015_methanamine hydrochloride</t>
  </si>
  <si>
    <t>PK0-34221</t>
  </si>
  <si>
    <t>_x0014_1-[4-(Trifluoromethyl)benzyl]-1H-imidazol-5-yl_x0015_methanamine hydrochloride</t>
  </si>
  <si>
    <t>PK0-34231</t>
  </si>
  <si>
    <t>1-(Tetrahydro-2H-pyran-4-yl)-1H-imidazol-2-amine</t>
  </si>
  <si>
    <t>PK0-34271</t>
  </si>
  <si>
    <t>3-Cyclobutyl-4-fluoro-1H-indole</t>
  </si>
  <si>
    <t>C12H12FN</t>
  </si>
  <si>
    <t>C13H14FNO</t>
  </si>
  <si>
    <t>PK0-34301</t>
  </si>
  <si>
    <t>3-Ethyl-5-fluoro-1H-indole</t>
  </si>
  <si>
    <t>C10H10FN</t>
  </si>
  <si>
    <t>PK0-34351</t>
  </si>
  <si>
    <t>3-Ethyl-6-fluoro-1H-indole</t>
  </si>
  <si>
    <t>PK0-34361</t>
  </si>
  <si>
    <t>6-Fluoro-3-(tetrahydro-2H-pyran-4-yl)-1H-indole</t>
  </si>
  <si>
    <t>PK0-34411</t>
  </si>
  <si>
    <t>3-Fluoro-N-(piperidin-4-yl)pyridin-4-amine trihydrochloride</t>
  </si>
  <si>
    <t>PK0-34421</t>
  </si>
  <si>
    <t>3-Methyl-N-(piperidin-4-yl)pyridin-4-amine trihydrochloride</t>
  </si>
  <si>
    <t>PK0-34431</t>
  </si>
  <si>
    <t>2-Methyl-N-(piperidin-4-yl)pyridin-4-amine trihydrochloride</t>
  </si>
  <si>
    <t>PK0-34501</t>
  </si>
  <si>
    <t>4-(Pyridin-3-yl)piperidin-4-amine trihydrochloride</t>
  </si>
  <si>
    <t>PK0-34511</t>
  </si>
  <si>
    <t>1-(3-Fluoropyridin-4-yl)piperazine trihydrochloride</t>
  </si>
  <si>
    <t>PK0-34521</t>
  </si>
  <si>
    <t>1-(3-Methylpyridin-4-yl)piperazine trihydrochloride</t>
  </si>
  <si>
    <t>PK0-34561</t>
  </si>
  <si>
    <t>tert-Butyl 4-(aminomethyl)-4-(3-chlorobenzyl)piperidine-1-carboxylate</t>
  </si>
  <si>
    <t>PK0-34671</t>
  </si>
  <si>
    <t>1-(Cyclobutylmethyl)cyclopropanecarboxylic acid</t>
  </si>
  <si>
    <t>PK0-34741</t>
  </si>
  <si>
    <t>4-Fluoro-3-isopropyl-1H-indole</t>
  </si>
  <si>
    <t>C11H12FN</t>
  </si>
  <si>
    <t>PK0-34761</t>
  </si>
  <si>
    <t>5-Fluoro-3-isopropyl-1H-indole</t>
  </si>
  <si>
    <t>C13H15FN2</t>
  </si>
  <si>
    <t>PK0-34811</t>
  </si>
  <si>
    <t>6-Fluoro-3-[(tetrahydro-2H-pyran-4-yl)methyl]-1H-indole</t>
  </si>
  <si>
    <t>C14H16FNO</t>
  </si>
  <si>
    <t>PK0-34821</t>
  </si>
  <si>
    <t>6-Fluoro-3-isopropyl-1H-indole</t>
  </si>
  <si>
    <t>PK0-34891</t>
  </si>
  <si>
    <t>4-(Cyclobutylmethyl)piperidin-4-amine dihydrochloride</t>
  </si>
  <si>
    <t>PK0-34941</t>
  </si>
  <si>
    <t>3-(Piperidin-1-yl)pyridin-4-amine</t>
  </si>
  <si>
    <t>PK0-34951</t>
  </si>
  <si>
    <t>3-Morpholinopyridin-4-amine</t>
  </si>
  <si>
    <t>PK0-34961</t>
  </si>
  <si>
    <t>3-(4-Methylpiperazin-1-yl)pyridin-4-amine</t>
  </si>
  <si>
    <t>PK0-34971</t>
  </si>
  <si>
    <t>3-(Trifluoromethyl)pyrazolo[1,5-a]pyrimidine-6-carboxylic acid</t>
  </si>
  <si>
    <t>PK0-35041</t>
  </si>
  <si>
    <t>[1-(2-Methoxyethyl)-1H-imidazol-5-yl]methanamine hydrochloride</t>
  </si>
  <si>
    <t>C7H14ClN3O</t>
  </si>
  <si>
    <t>C8H14ClN3</t>
  </si>
  <si>
    <t>PK0-35061</t>
  </si>
  <si>
    <t>2-_x0014_6-Fluoro-2-methyl-1H-benzo[d]imidazol-1-yl_x0015_acetic acid</t>
  </si>
  <si>
    <t>C10H9FN2O2</t>
  </si>
  <si>
    <t>PK0-35081</t>
  </si>
  <si>
    <t>2-_x0014_2-Cyclobutyl-6-fluoro-1H-benzo[d]imidazol-1-yl_x0015_acetic acid</t>
  </si>
  <si>
    <t>PK0-35091</t>
  </si>
  <si>
    <t>2-_x0014_2-Cyclobutyl-4-fluoro-1H-benzo[d]imidazol-1-yl_x0015_acetic acid</t>
  </si>
  <si>
    <t>PK0-35111</t>
  </si>
  <si>
    <t>1-(Pyridin-2-ylmethyl)-1H-imidazol-2-amine</t>
  </si>
  <si>
    <t>PK0-35131</t>
  </si>
  <si>
    <t>1-Ethylcyclobutanecarboxylic acid</t>
  </si>
  <si>
    <t>PK0-35141</t>
  </si>
  <si>
    <t>1-Propylcyclobutanecarboxylic acid</t>
  </si>
  <si>
    <t>PK0-35151</t>
  </si>
  <si>
    <t>4-Fluoro-3H-spiro[2-benzofuran-1,4'-piperidine] hydrochloride</t>
  </si>
  <si>
    <t>C9H8FN</t>
  </si>
  <si>
    <t>PK0-35171</t>
  </si>
  <si>
    <t>5-Fluoro-3-(piperidin-4-yl)-1H-indole</t>
  </si>
  <si>
    <t>PK0-35241</t>
  </si>
  <si>
    <t>(4,4-Difluorocyclohexyl)methanamine</t>
  </si>
  <si>
    <t>C7H13F2N</t>
  </si>
  <si>
    <t>PK0-35251</t>
  </si>
  <si>
    <t>4-(Methoxycarbonyl)bicyclo[2.2.1]heptane-1-carboxylic acid</t>
  </si>
  <si>
    <t>C10H14O4</t>
  </si>
  <si>
    <t>PK0-35271</t>
  </si>
  <si>
    <t>N-(Piperidin-4-yl)-2-(trifluoromethyl)benzamide hydrochloride</t>
  </si>
  <si>
    <t>C13H16ClF3N2O</t>
  </si>
  <si>
    <t>PK0-35281</t>
  </si>
  <si>
    <t>N-(Piperidin-4-yl)-3-(trifluoromethyl)benzamide hydrochloride</t>
  </si>
  <si>
    <t>PK0-35291</t>
  </si>
  <si>
    <t>N-(Piperidin-4-yl)-4-(trifluoromethyl)benzamide hydrochloride</t>
  </si>
  <si>
    <t>PK0-35321</t>
  </si>
  <si>
    <t>1-[4-(Trifluoromethyl)benzyl]piperidin-4-amine dihydrochloride</t>
  </si>
  <si>
    <t>PK0-35401</t>
  </si>
  <si>
    <t>4-(3-Chlorophenyl)piperidin-4-amine dihydrochloride</t>
  </si>
  <si>
    <t>PK0-35411</t>
  </si>
  <si>
    <t>1-(3-Fluoropyridin-2-yl)piperazine trihydrochloride</t>
  </si>
  <si>
    <t>PK0-35421</t>
  </si>
  <si>
    <t>4-Methoxy-6-(piperazin-1-yl)pyrimidine hydrochloride</t>
  </si>
  <si>
    <t>C9H15ClN4O</t>
  </si>
  <si>
    <t>PK0-35471</t>
  </si>
  <si>
    <t>tert-Butyl [4-(pyridin-2-yl)piperidin-4-yl]methylcarbamate</t>
  </si>
  <si>
    <t>PK0-35481</t>
  </si>
  <si>
    <t>1-(Cyclopropylmethyl)-1H-imidazole-5-carboxylic acid</t>
  </si>
  <si>
    <t>PK0-35491</t>
  </si>
  <si>
    <t>1-Isopropyl-1H-imidazole-5-carboxylic acid</t>
  </si>
  <si>
    <t>C7H14ClN3</t>
  </si>
  <si>
    <t>PK0-35511</t>
  </si>
  <si>
    <t>_x0014_1-[2-(Trifluoromethyl)benzyl]-1H-imidazol-5-yl_x0015_methanamine hydrochloride</t>
  </si>
  <si>
    <t>PK0-35551</t>
  </si>
  <si>
    <t>1-(2-Methoxyethyl)-1H-imidazole-5-carboxylic acid</t>
  </si>
  <si>
    <t>PK0-35561</t>
  </si>
  <si>
    <t>2-_x0014_7-Fluoro-2-methyl-1H-benzo[d]imidazol-1-yl_x0015_acetic acid</t>
  </si>
  <si>
    <t>C11H11FN2O2</t>
  </si>
  <si>
    <t>PK0-35591</t>
  </si>
  <si>
    <t>2-_x0014_2-Cyclobutyl-7-fluoro-1H-benzo[d]imidazol-1-yl_x0015_acetic acid</t>
  </si>
  <si>
    <t>PK0-35601</t>
  </si>
  <si>
    <t>2-_x0014_7-Fluoro-2-(tetrahydro-2H-pyran-4-yl)-1H-benzo[d]imidazol-1-yl_x0015_acetic acid</t>
  </si>
  <si>
    <t>C14H15FN2O3</t>
  </si>
  <si>
    <t>PK0-35611</t>
  </si>
  <si>
    <t>(3-Methoxypyridin-2-yl)methanamine dihydrochloride</t>
  </si>
  <si>
    <t>C7H12Cl2N2O</t>
  </si>
  <si>
    <t>PK0-35621</t>
  </si>
  <si>
    <t>1-Ethylcyclobutanamine hydrochloride</t>
  </si>
  <si>
    <t>C6H14ClN</t>
  </si>
  <si>
    <t>PK0-35631</t>
  </si>
  <si>
    <t>1-Propylcyclobutanamine hydrochloride</t>
  </si>
  <si>
    <t>PK0-35641</t>
  </si>
  <si>
    <t>5-Fluoro-3-[(tetrahydro-2H-pyran-4-yl)methyl]-1H-indole</t>
  </si>
  <si>
    <t>PK0-35651</t>
  </si>
  <si>
    <t>3-Cyclobutyl-6-fluoro-1H-indole</t>
  </si>
  <si>
    <t>PK0-35691</t>
  </si>
  <si>
    <t>Spiro[2.4]heptan-1-amine hydrochloride</t>
  </si>
  <si>
    <t>C7H14ClN</t>
  </si>
  <si>
    <t>PK0-35771</t>
  </si>
  <si>
    <t>5-Methoxy-N-(piperidin-4-yl)pyridin-2-amine trihydrochloride</t>
  </si>
  <si>
    <t>PK0-35781</t>
  </si>
  <si>
    <t>5-Methyl-N-(piperidin-4-yl)pyrimidin-2-amine dihydrochloride</t>
  </si>
  <si>
    <t>PK0-35801</t>
  </si>
  <si>
    <t>4-(4-Chlorophenyl)piperidin-4-amine dihydrochloride</t>
  </si>
  <si>
    <t>PK0-35811</t>
  </si>
  <si>
    <t>4-[2-(Trifluoromethyl)phenyl]piperidin-4-amine dihydrochloride</t>
  </si>
  <si>
    <t>PK0-35841</t>
  </si>
  <si>
    <t>6-Amino-2H-benzo[b][1,4]oxazin-3(4H)-one</t>
  </si>
  <si>
    <t>PK0-35851</t>
  </si>
  <si>
    <t>7-Amino-2H-benzo[b][1,4]oxazin-3(4H)-one</t>
  </si>
  <si>
    <t>PK0-35881</t>
  </si>
  <si>
    <t>4-(4-Methylpiperazin-1-yl)pyridin-2-amine</t>
  </si>
  <si>
    <t>PK0-35931</t>
  </si>
  <si>
    <t>1-(4-Fluorophenyl)-5-methyl-1H-pyrazole-3-carboxylic acid</t>
  </si>
  <si>
    <t>PK0-35951</t>
  </si>
  <si>
    <t>1-(2-Fluorobenzyl)-5-methyl-1H-pyrazole-3-carboxylic acid</t>
  </si>
  <si>
    <t>PK0-35961</t>
  </si>
  <si>
    <t>1-(3-Fluorobenzyl)-5-methyl-1H-pyrazole-3-carboxylic acid</t>
  </si>
  <si>
    <t>PK0-35971</t>
  </si>
  <si>
    <t>1-(4-Fluorobenzyl)-5-methyl-1H-pyrazole-3-carboxylic acid</t>
  </si>
  <si>
    <t>PK0-35991</t>
  </si>
  <si>
    <t>1-(2-Methoxyethyl)-3-methyl-1H-pyrazole-5-carboxylic acid</t>
  </si>
  <si>
    <t>PK0-36001</t>
  </si>
  <si>
    <t>1-(2-Fluorobenzyl)-3-methyl-1H-pyrazole-5-carboxylic acid</t>
  </si>
  <si>
    <t>PK0-36011</t>
  </si>
  <si>
    <t>1-(3-Fluorobenzyl)-3-methyl-1H-pyrazole-5-carboxylic acid</t>
  </si>
  <si>
    <t>PK0-36031</t>
  </si>
  <si>
    <t>1-(3-Fluorophenyl)-3-methyl-1H-pyrazole-5-carboxylic acid</t>
  </si>
  <si>
    <t>PK0-36061</t>
  </si>
  <si>
    <t>tert-Butyl 4-(aminomethyl)-4-(2-chlorophenyl)piperidine-1-carboxylate</t>
  </si>
  <si>
    <t>PK0-36071</t>
  </si>
  <si>
    <t>tert-Butyl 4-(aminomethyl)-4-(4-chlorophenyl)piperidine-1-carboxylate</t>
  </si>
  <si>
    <t>PK0-36101</t>
  </si>
  <si>
    <t>1-Isobutyl-1H-imidazole-5-carboxylic acid</t>
  </si>
  <si>
    <t>PK0-36111</t>
  </si>
  <si>
    <t>1-(Tetrahydro-2H-pyran-4-yl)-1H-imidazole-5-carboxylic acid</t>
  </si>
  <si>
    <t>PK0-36161</t>
  </si>
  <si>
    <t>2-_x0014_7-Fluoro-1H-benzo[d]imidazol-1-yl_x0015_acetic acid</t>
  </si>
  <si>
    <t>C9H7FN2O2</t>
  </si>
  <si>
    <t>PK0-36171</t>
  </si>
  <si>
    <t>2-_x0014_7-Fluoro-2-oxo-2,3-dihydrobenzo[d]imidazol-1-yl_x0015_acetic acid</t>
  </si>
  <si>
    <t>C9H7FN2O3</t>
  </si>
  <si>
    <t>PK0-36181</t>
  </si>
  <si>
    <t>2-_x0014_2-Ethyl-6-fluoro-1H-benzo[d]imidazol-1-yl_x0015_acetic acid</t>
  </si>
  <si>
    <t>PK0-36201</t>
  </si>
  <si>
    <t>2-_x0014_6-Fluoro-2-oxo-2,3-dihydrobenzo[d]imidazol-1-yl_x0015_acetic acid</t>
  </si>
  <si>
    <t>PK0-36211</t>
  </si>
  <si>
    <t>2-_x0014_5-Fluoro-2-methyl-1H-benzo[d]imidazol-1-yl_x0015_acetic acid</t>
  </si>
  <si>
    <t>PK0-36221</t>
  </si>
  <si>
    <t>2-_x0014_2-Ethyl-4-fluoro-1H-benzo[d]imidazol-1-yl_x0015_acetic acid</t>
  </si>
  <si>
    <t>PK0-36231</t>
  </si>
  <si>
    <t>2-_x0014_2-Cyclopropyl-4-fluoro-1H-benzo[d]imidazol-1-yl_x0015_acetic acid</t>
  </si>
  <si>
    <t>PK0-36261</t>
  </si>
  <si>
    <t>1-(Pyridin-3-ylmethyl)cyclopropanecarboxylic acid</t>
  </si>
  <si>
    <t>PK0-36281</t>
  </si>
  <si>
    <t>5-Fluoro-3H-spiro[2-benzofuran-1,4'-piperidine] hydrochloride</t>
  </si>
  <si>
    <t>PK0-36291</t>
  </si>
  <si>
    <t>1H-Pyrrolo[2,3-c]pyridin-2(3H)-one hydrochloride</t>
  </si>
  <si>
    <t>C7H7ClN2O</t>
  </si>
  <si>
    <t>PK0-36391</t>
  </si>
  <si>
    <t>4-Fluoro-3-[(tetrahydro-2H-pyran-4-yl)methyl]-1H-indole</t>
  </si>
  <si>
    <t>PK0-36431</t>
  </si>
  <si>
    <t>5-Fluoro-3-(tetrahydro-2H-pyran-3-yl)-1H-indole</t>
  </si>
  <si>
    <t>PK0-36461</t>
  </si>
  <si>
    <t>6-Fluoro-3-(tetrahydrofuran-3-yl)-1H-indole</t>
  </si>
  <si>
    <t>C12H14ClFN2</t>
  </si>
  <si>
    <t>PK0-36491</t>
  </si>
  <si>
    <t>7-Fluoro-3-methyl-1H-indole</t>
  </si>
  <si>
    <t>PK0-36501</t>
  </si>
  <si>
    <t>7-Fluoro-3-[(tetrahydro-2H-pyran-4-yl)methyl]-1H-indole</t>
  </si>
  <si>
    <t>PK0-36511</t>
  </si>
  <si>
    <t>7-Fluoro-3-(pyrrolidin-3-yl)-1H-indole hydrochloride</t>
  </si>
  <si>
    <t>PK0-36541</t>
  </si>
  <si>
    <t>Spiro[2.3]hexan-1-amine hydrochloride</t>
  </si>
  <si>
    <t>C6H12ClN</t>
  </si>
  <si>
    <t>PK0-36571</t>
  </si>
  <si>
    <t>4-Hydroxybicyclo[2.2.2]octane-1-carboxylic acid</t>
  </si>
  <si>
    <t>C9H14O3</t>
  </si>
  <si>
    <t>PK0-36611</t>
  </si>
  <si>
    <t>7-Amino-1-methyl-3,4-dihydroquinazolin-2(1H)-one</t>
  </si>
  <si>
    <t>C9H11N3O</t>
  </si>
  <si>
    <t>PK0-36621</t>
  </si>
  <si>
    <t>3-(Difluoromethoxy)pyridin-4-amine dihydrochloride</t>
  </si>
  <si>
    <t>PK0-36741</t>
  </si>
  <si>
    <t>1-(2-Fluoroethyl)-3-methyl-1H-pyrazol-5-amine hydrochloride</t>
  </si>
  <si>
    <t>C6H11ClFN3</t>
  </si>
  <si>
    <t>C6H7FN2O2</t>
  </si>
  <si>
    <t>PK0-36771</t>
  </si>
  <si>
    <t>3,5-Dimethyl-1-(2,2,2-trifluoroethyl)-1H-pyrazole-4-carboxylic acid</t>
  </si>
  <si>
    <t>C8H9F3N2O2</t>
  </si>
  <si>
    <t>C12H12N2O2</t>
  </si>
  <si>
    <t>PK0-36811</t>
  </si>
  <si>
    <t>1-Isobutyl-3-methyl-1H-pyrazole-5-carboxylic acid</t>
  </si>
  <si>
    <t>PK0-36821</t>
  </si>
  <si>
    <t>1-(Cyclopropylmethyl)-3-methyl-1H-pyrazole-5-carboxylic acid</t>
  </si>
  <si>
    <t>PK0-36831</t>
  </si>
  <si>
    <t>1-(Cyclobutylmethyl)-3-methyl-1H-pyrazole-5-carboxylic acid</t>
  </si>
  <si>
    <t>PK0-36861</t>
  </si>
  <si>
    <t>3-Methyl-1-(pyridin-2-yl)-1H-pyrazole-5-carboxylic acid</t>
  </si>
  <si>
    <t>PK0-36881</t>
  </si>
  <si>
    <t>1-(Cyclopropylmethyl)-5-methyl-1H-pyrazole-3-carboxylic acid</t>
  </si>
  <si>
    <t>PK0-36891</t>
  </si>
  <si>
    <t>1-(Cyclobutylmethyl)-5-methyl-1H-pyrazole-3-carboxylic acid</t>
  </si>
  <si>
    <t>C9H14Cl2N2</t>
  </si>
  <si>
    <t>PK0-36921</t>
  </si>
  <si>
    <t>[1-(Tetrahydro-2H-pyran-4-yl)-1H-imidazol-5-yl]methanamine hydrochloride</t>
  </si>
  <si>
    <t>PK0-36931</t>
  </si>
  <si>
    <t>2-_x0014_5-Fluoro-1H-benzo[d]imidazol-1-yl_x0015_acetic acid</t>
  </si>
  <si>
    <t>PK0-36971</t>
  </si>
  <si>
    <t>(5-Fluoropyridin-2-yl)methanamine dihydrochloride</t>
  </si>
  <si>
    <t>C6H9Cl2FN2</t>
  </si>
  <si>
    <t>PK0-37001</t>
  </si>
  <si>
    <t>2,2-Dimethyl-3-(tetrahydro-2H-pyran-4-yl)propanoic acid</t>
  </si>
  <si>
    <t>C9H9BrN2O</t>
  </si>
  <si>
    <t>PK0-37121</t>
  </si>
  <si>
    <t>4-Fluoro-3-(tetrahydrofuran-3-yl)-1H-indole</t>
  </si>
  <si>
    <t>PK0-37151</t>
  </si>
  <si>
    <t>7-Fluoro-3-(tetrahydrofuran-3-yl)-1H-indole</t>
  </si>
  <si>
    <t>PK0-37171</t>
  </si>
  <si>
    <t>7-Fluoro-3-(piperidin-3-yl)-1H-indole hydrochloride</t>
  </si>
  <si>
    <t>C13H16ClFN2</t>
  </si>
  <si>
    <t>PK0-37191</t>
  </si>
  <si>
    <t>4-Aminobicyclo[2.2.1]heptane-1-carboxylic acid hydrochloride</t>
  </si>
  <si>
    <t>C8H14ClNO2</t>
  </si>
  <si>
    <t>PK0-37201</t>
  </si>
  <si>
    <t>2-Methyl-N-(piperidin-4-yl)pyrimidin-4-amine</t>
  </si>
  <si>
    <t>C11H14N2O</t>
  </si>
  <si>
    <t>C9H9F3N2O2</t>
  </si>
  <si>
    <t>PK0-37361</t>
  </si>
  <si>
    <t>1-(Cyclobutylmethyl)-3-(trifluoromethyl)-1H-pyrazole-5-carboxylic acid</t>
  </si>
  <si>
    <t>C10H11F3N2O2</t>
  </si>
  <si>
    <t>PK0-37381</t>
  </si>
  <si>
    <t>1-(Cyclopropylmethyl)-5-(trifluoromethyl)-1H-pyrazole-3-carboxylic acid</t>
  </si>
  <si>
    <t>PK0-37391</t>
  </si>
  <si>
    <t>1-(Cyclobutylmethyl)-5-(trifluoromethyl)-1H-pyrazole-3-carboxylic acid</t>
  </si>
  <si>
    <t>PK0-37411</t>
  </si>
  <si>
    <t>2-Methyl-1-(pyridin-3-yl)propan-2-aminedihydrochloride</t>
  </si>
  <si>
    <t>PK0-37421</t>
  </si>
  <si>
    <t>1-Ethyl-1H-imidazole-4-carboxylic acid</t>
  </si>
  <si>
    <t>PK0-37431</t>
  </si>
  <si>
    <t>1-Ethyl-1H-imidazole-5-carboxylic acid</t>
  </si>
  <si>
    <t>PK0-37441</t>
  </si>
  <si>
    <t>1-Cyclobutyl-1H-imidazole-5-carboxylic acid</t>
  </si>
  <si>
    <t>PK0-37451</t>
  </si>
  <si>
    <t>(1-Ethyl-1H-imidazol-4-yl)methanamine hydrochloride</t>
  </si>
  <si>
    <t>C6H12ClN3</t>
  </si>
  <si>
    <t>PK0-37461</t>
  </si>
  <si>
    <t>[1-(Cyclopropylmethyl)-1H-imidazol-4-yl]methanamine hydrochloride</t>
  </si>
  <si>
    <t>PK0-37471</t>
  </si>
  <si>
    <t>[1-(Cyclobutylmethyl)-1H-imidazol-4-yl]methanamine hydrochloride</t>
  </si>
  <si>
    <t>C9H16ClN3</t>
  </si>
  <si>
    <t>PK0-37481</t>
  </si>
  <si>
    <t>(1-Cyclobutyl-1H-imidazol-4-yl)methanamine hydrochloride</t>
  </si>
  <si>
    <t>PK0-37491</t>
  </si>
  <si>
    <t>2-_x0014_6-Fluoro-1H-benzo[d]imidazol-1-yl_x0015_acetic acid</t>
  </si>
  <si>
    <t>PK0-37521</t>
  </si>
  <si>
    <t>4-Fluoro-3-(pyrrolidin-3-yl)-1H-indole</t>
  </si>
  <si>
    <t>C12H13FN2</t>
  </si>
  <si>
    <t>PK0-37541</t>
  </si>
  <si>
    <t>3-(Cyclopropylmethyl)-7-fluoro-1H-indole</t>
  </si>
  <si>
    <t>PK0-37551</t>
  </si>
  <si>
    <t>7-Fluoro-3-(tetrahydro-2H-pyran-4-yl)-1H-indole</t>
  </si>
  <si>
    <t>PK0-37571</t>
  </si>
  <si>
    <t>2-Methoxy-N-(piperidin-4-yl)pyrimidin-4-amine dihydrochloride</t>
  </si>
  <si>
    <t>PK0-37581</t>
  </si>
  <si>
    <t>2-(Piperazin-1-yl)-5-(trifluoromethyl)pyrimidine dihydrochloride</t>
  </si>
  <si>
    <t>PK0-37591</t>
  </si>
  <si>
    <t>5-Amino-3,4-dihydroisoquinolin-1(2H)-one</t>
  </si>
  <si>
    <t>PK0-37681</t>
  </si>
  <si>
    <t>5-Methyl-1-(pyridin-3-ylmethyl)-1H-pyrazole-3-carboxylic acid</t>
  </si>
  <si>
    <t>PK0-37711</t>
  </si>
  <si>
    <t>1-(3-Methoxyphenyl)-3-methyl-1H-pyrazole-5-carboxylic acid</t>
  </si>
  <si>
    <t>PK0-37731</t>
  </si>
  <si>
    <t>1-Phenyl-3-(trifluoromethyl)-1H-pyrazole-5-carboxylic acid</t>
  </si>
  <si>
    <t>C12H9F3N2O3</t>
  </si>
  <si>
    <t>PK0-37781</t>
  </si>
  <si>
    <t>4-Hydrazinylpyridine trihydrochloride</t>
  </si>
  <si>
    <t>C5H10Cl3N3</t>
  </si>
  <si>
    <t>PK0-37831</t>
  </si>
  <si>
    <t>2-_x0014_2-Cyclopropyl-5-fluoro-1H-benzo[d]imidazol-1-yl_x0015_acetic acid</t>
  </si>
  <si>
    <t>PK0-37861</t>
  </si>
  <si>
    <t>2-_x0014_4-Fluoro-2-methyl-1H-benzo[d]imidazol-1-yl_x0015_acetic acid</t>
  </si>
  <si>
    <t>PK0-37871</t>
  </si>
  <si>
    <t>2-{4-Fluoro-2-(tetrahydro-2H-pyran-4-yl)-1H-benzo[d]imidazol-1-yl}acetic acid</t>
  </si>
  <si>
    <t>PK0-37891</t>
  </si>
  <si>
    <t>8-Bromo-1,2-dihydroisoquinolin-3(4H)-one</t>
  </si>
  <si>
    <t>PK0-37941</t>
  </si>
  <si>
    <t>6-Amino-3,4-dihydroisoquinolin-1(2H)-one</t>
  </si>
  <si>
    <t>C10H12N2O</t>
  </si>
  <si>
    <t>PK0-37981</t>
  </si>
  <si>
    <t>N4,N4-Dimethylpyridine-2,4-diamine</t>
  </si>
  <si>
    <t>PK0-38031</t>
  </si>
  <si>
    <t>3-Ethoxyisonicotinic acid</t>
  </si>
  <si>
    <t>PK0-38131</t>
  </si>
  <si>
    <t>3-Methyl-1-(pyridin-4-ylmethyl)-1H-pyrazole-5-carboxylic acid</t>
  </si>
  <si>
    <t>C11H8F3N3O2</t>
  </si>
  <si>
    <t>PK0-38161</t>
  </si>
  <si>
    <t>1-(Pyridin-3-ylmethyl)-5-(trifluoromethyl)-1H-pyrazole-3-carboxylic acid</t>
  </si>
  <si>
    <t>PK0-38171</t>
  </si>
  <si>
    <t>1-(2-Fluoroethyl)-1H-pyrazole-3-carboxylic acid</t>
  </si>
  <si>
    <t>PK0-38181</t>
  </si>
  <si>
    <t>1-(Pyridin-2-yl)-1H-imidazole-4-carboxylic acid</t>
  </si>
  <si>
    <t>C10H8BrNO2</t>
  </si>
  <si>
    <t>PK0-38231</t>
  </si>
  <si>
    <t>2-(6-Bromo-1H-indol-3-yl)acetic acid</t>
  </si>
  <si>
    <t>PK0-38341</t>
  </si>
  <si>
    <t>7-Amino-3,4-dihydroisoquinolin-1(2H)-one</t>
  </si>
  <si>
    <t>PK0-38391</t>
  </si>
  <si>
    <t>6-Amino-4,4-dimethyl-1,2-dihydroisoquinolin-3(4H)-one</t>
  </si>
  <si>
    <t>PK0-38411</t>
  </si>
  <si>
    <t>3-[(Tetrahydro-2H-pyran-4-yl)methoxy]isonicotinic acid</t>
  </si>
  <si>
    <t>PK0-38421</t>
  </si>
  <si>
    <t>3-Cyclobutoxyisonicotinic acid</t>
  </si>
  <si>
    <t>PK0-38431</t>
  </si>
  <si>
    <t>3-(Tetrahydro-2H-pyran-4-yloxy)isonicotinic acid</t>
  </si>
  <si>
    <t>PK0-38461</t>
  </si>
  <si>
    <t>1-(2,2,2-Trifluoroethyl)-1H-pyrazole-5-carboxylic acid</t>
  </si>
  <si>
    <t>PK0-38501</t>
  </si>
  <si>
    <t>2-(4-Fluoro-1H-indol-3-yl)acetic acid</t>
  </si>
  <si>
    <t>PK0-38551</t>
  </si>
  <si>
    <t>4-Bromo-1-(2-fluorobenzyl)pyridin-2(1H)-one</t>
  </si>
  <si>
    <t>C12H9BrFNO</t>
  </si>
  <si>
    <t>PK0-38611</t>
  </si>
  <si>
    <t>5-Bromo-1-(4-fluorobenzyl)pyridin-2(1H)-one</t>
  </si>
  <si>
    <t>C6H7BrN2O</t>
  </si>
  <si>
    <t>C10H7BrN2O</t>
  </si>
  <si>
    <t>PK0-38801</t>
  </si>
  <si>
    <t>3-Methoxyisonicotinic acid</t>
  </si>
  <si>
    <t>PK0-38821</t>
  </si>
  <si>
    <t>5-(Cyclopropylmethoxy)pyrazine-2-carboxylic acid</t>
  </si>
  <si>
    <t>PK0-38831</t>
  </si>
  <si>
    <t>5-Isopropoxypyrazine-2-carboxylic acid</t>
  </si>
  <si>
    <t>PK0-38891</t>
  </si>
  <si>
    <t>1-(Pyridin-4-ylmethyl)-3-(trifluoromethyl)-1H-pyrazole-5-carboxylic acid</t>
  </si>
  <si>
    <t>PK0-38901</t>
  </si>
  <si>
    <t>1-Ethyl-5-(trifluoromethyl)-1H-pyrazole-3-carboxylic acid</t>
  </si>
  <si>
    <t>C8H16ClN3</t>
  </si>
  <si>
    <t>PK0-38941</t>
  </si>
  <si>
    <t>(1-Isopropyl-1H-imidazol-4-yl)methanamine hydrochloride</t>
  </si>
  <si>
    <t>PK0-39001</t>
  </si>
  <si>
    <t>tert-Butyl N-{spiro[2.3]hexan-1-yl}carbamate</t>
  </si>
  <si>
    <t>C11H19NO2</t>
  </si>
  <si>
    <t>PK0-39151</t>
  </si>
  <si>
    <t>2-(3-Fluorophenyl)pyrimidine-5-carboxylic acid</t>
  </si>
  <si>
    <t>C11H7FN2O2</t>
  </si>
  <si>
    <t>PK0-39211</t>
  </si>
  <si>
    <t>3-(Cyclopropylmethoxy)isonicotinic acid</t>
  </si>
  <si>
    <t>PK0-39231</t>
  </si>
  <si>
    <t>3-Isopropoxyisonicotinic acid</t>
  </si>
  <si>
    <t>PK0-39261</t>
  </si>
  <si>
    <t>5-(2,2,2-Trifluoroethoxy)pyrazine-2-carboxylic acid</t>
  </si>
  <si>
    <t>PK0-39301</t>
  </si>
  <si>
    <t>5-Methyl-2H-spiro[1-benzofuran-3,4'-piperidine] hydrochloride</t>
  </si>
  <si>
    <t>PK0-39311</t>
  </si>
  <si>
    <t>5-Methoxy-2H-spiro[1-benzofuran-3,4'-piperidine] hydrochloride</t>
  </si>
  <si>
    <t>PK0-39321</t>
  </si>
  <si>
    <t>5-(Trifluoromethyl)-2H-spiro[1-benzofuran-3,4'-piperidine] hydrochloride</t>
  </si>
  <si>
    <t>C13H15ClF3NO</t>
  </si>
  <si>
    <t>PK0-39381</t>
  </si>
  <si>
    <t>3,3,3-Trifluoro-2-(1H-indol-3-yl)propanoic acid</t>
  </si>
  <si>
    <t>PK0-39391</t>
  </si>
  <si>
    <t>3,3,3-Trifluoro-2-(6-methyl-1H-indol-3-yl)propanoic acid</t>
  </si>
  <si>
    <t>C12H10F3NO2</t>
  </si>
  <si>
    <t>C11H8BrFN2O</t>
  </si>
  <si>
    <t>C9H8N2O</t>
  </si>
  <si>
    <t>PK0-39561</t>
  </si>
  <si>
    <t>2-tert-Butylpyrimidine-5-carboxylic acid</t>
  </si>
  <si>
    <t>C13H20Cl2F2N2</t>
  </si>
  <si>
    <t>PK0-39781</t>
  </si>
  <si>
    <t>5-Bromo-1-(2-fluorobenzyl)pyridin-2(1H)-one</t>
  </si>
  <si>
    <t>PK0-40351</t>
  </si>
  <si>
    <t>4-(Sulfamoylamino)butanoic acid</t>
  </si>
  <si>
    <t>C4H10N2O4S</t>
  </si>
  <si>
    <t>PK0-40361</t>
  </si>
  <si>
    <t>3-(Sulfamoylamino)propanoic acid</t>
  </si>
  <si>
    <t>C3H8N2O4S</t>
  </si>
  <si>
    <t>PK0-40381</t>
  </si>
  <si>
    <t>1,4-Dimethylpiperidin-4-amine dihydrochloride</t>
  </si>
  <si>
    <t>PK0-40401</t>
  </si>
  <si>
    <t>4-[2-(Pyrrolidin-3-yloxy)ethyl]morpholindihydrochloride</t>
  </si>
  <si>
    <t>C10H22Cl2N2O2</t>
  </si>
  <si>
    <t>PK0-40411</t>
  </si>
  <si>
    <t>N,N-Dimethyl-2-(pyrrolidin-3-yloxy)ethanamine dihydrochloride</t>
  </si>
  <si>
    <t>Na+</t>
  </si>
  <si>
    <t>PK0-40531</t>
  </si>
  <si>
    <t>2-(4-Isopropylpyridin-2-yl)acetic acid hydrochloride</t>
  </si>
  <si>
    <t>C10H12ClNO2</t>
  </si>
  <si>
    <t>Li+</t>
  </si>
  <si>
    <t>PK0-40611</t>
  </si>
  <si>
    <t>2-Methyl-2-(pyridin-2-yl)propanoic acid hydrochloride</t>
  </si>
  <si>
    <t>C9H12ClNO2</t>
  </si>
  <si>
    <t>C8H10ClNO3</t>
  </si>
  <si>
    <t>PK0-40831</t>
  </si>
  <si>
    <t>2-(6-Cyclopropylpyridin-2-yl)acetic acid hydrochloride</t>
  </si>
  <si>
    <t>PK0-40851</t>
  </si>
  <si>
    <t>Sodium 2-[6-(dimethylamino)pyridin-2-yl]acetate</t>
  </si>
  <si>
    <t>C9H11N2NaO2</t>
  </si>
  <si>
    <t>PK0-40951</t>
  </si>
  <si>
    <t>3-[(Tetrahydro-2H-pyran-4-yl)methoxy]pyrazine-2-carboxylic acid</t>
  </si>
  <si>
    <t>PK0-40991</t>
  </si>
  <si>
    <t>6-Methyl-2H-spiro[1-benzofuran-3,4'-piperidine] hydrochloride</t>
  </si>
  <si>
    <t>PK0-41051</t>
  </si>
  <si>
    <t>[4,4-Difluoro-1-(pyridin-2-ylmethyl)cyclohexyl]methanamine dihydrochloride</t>
  </si>
  <si>
    <t>PK0-41061</t>
  </si>
  <si>
    <t>2-(4-Methoxy-1H-indol-3-yl)acetic acid</t>
  </si>
  <si>
    <t>PK0-41071</t>
  </si>
  <si>
    <t>3,3,3-Trifluoro-2-(5-methyl-1H-indol-3-yl)propanoic acid</t>
  </si>
  <si>
    <t>PK0-41081</t>
  </si>
  <si>
    <t>3,3,3-Trifluoro-2-(5-methoxy-1H-indol-3-yl)propanoic acid</t>
  </si>
  <si>
    <t>C12H10F3NO3</t>
  </si>
  <si>
    <t>C10H8BrN3O</t>
  </si>
  <si>
    <t>PK0-41211</t>
  </si>
  <si>
    <t>(S)-1-Isopropylpyrrolidin-3-amine dihydrochloride</t>
  </si>
  <si>
    <t>PK0-41281</t>
  </si>
  <si>
    <t>1-(2-Fluoroethyl)-1H-imidazole-5-carboxylic acid</t>
  </si>
  <si>
    <t>PK0-41301</t>
  </si>
  <si>
    <t>(6-Fluoropyridin-2-yl)methanamine dihydrochloride</t>
  </si>
  <si>
    <t>PK0-41321</t>
  </si>
  <si>
    <t>tert-Butyl 7-fluoro-1,2-dihydrospiro[indole-3,4'-piperidine]-1'-carboxylate</t>
  </si>
  <si>
    <t>C14H18O5S</t>
  </si>
  <si>
    <t>PK0-41341</t>
  </si>
  <si>
    <t>2-(1-Phenylcyclobutyl)acetic acid</t>
  </si>
  <si>
    <t>PK0-41401</t>
  </si>
  <si>
    <t>[4,4-Difluoro-1-(pyridin-4-ylmethyl)cyclohexyl]methanamine dihydrochloride</t>
  </si>
  <si>
    <t>PK0-41631</t>
  </si>
  <si>
    <t>3-Isobutoxypyrazine-2-carboxylic acid</t>
  </si>
  <si>
    <t>PK0-41711</t>
  </si>
  <si>
    <t>[1-(2,2,2-Trifluoroethyl)-1H-pyrazol-5-yl]methanamine hydrochloride</t>
  </si>
  <si>
    <t>PK0-41731</t>
  </si>
  <si>
    <t>[1-(2,2,2-Trifluoroethyl)-1H-pyrazol-3-yl]methanamine hydrochloride</t>
  </si>
  <si>
    <t>PK0-41741</t>
  </si>
  <si>
    <t>[1-(2-Methoxyethyl)-1H-imidazol-4-yl]methanamine hydrochloride</t>
  </si>
  <si>
    <t>C13H15FO4S</t>
  </si>
  <si>
    <t>PK0-41771</t>
  </si>
  <si>
    <t>4-[(2-Chlorophenyl)methyl]-1,1-dioxo-1Lambda(6)-thiane-4-carboxylic acid</t>
  </si>
  <si>
    <t>C13H15ClO4S</t>
  </si>
  <si>
    <t>PK0-41781</t>
  </si>
  <si>
    <t>4-[(3-Methoxyphenyl)methyl]-1,1-dioxo-1Lambda(6)-thiane-4-carboxylic acid</t>
  </si>
  <si>
    <t>C12H17ClFNO2S</t>
  </si>
  <si>
    <t>PK0-41801</t>
  </si>
  <si>
    <t>4-Amino-4-[(4-fluorophenyl)methyl]-1Lambda(6)-thiane-1,1-dione hydrochloride</t>
  </si>
  <si>
    <t>PK0-41811</t>
  </si>
  <si>
    <t>4-Amino-4-[(2-chlorophenyl)methyl]-1Lambda(6)-thiane-1,1-dione hydrochloride</t>
  </si>
  <si>
    <t>C12H17Cl2NO2S</t>
  </si>
  <si>
    <t>PK0-41891</t>
  </si>
  <si>
    <t>5-Bromo-1-(pyridin-4-ylmethyl)pyrimidin-2(1H)-one</t>
  </si>
  <si>
    <t>PK0-41911</t>
  </si>
  <si>
    <t>6-Bromo-2-(3-fluorobenzyl)pyridazin-3(2H)-one</t>
  </si>
  <si>
    <t>PK0-41941</t>
  </si>
  <si>
    <t>(1S*,3S*)-Cyclohexane-1,3-dicarboxylic acid</t>
  </si>
  <si>
    <t>C8H12O4</t>
  </si>
  <si>
    <t>PK0-41951</t>
  </si>
  <si>
    <t>(1S*,3R*)-Cyclohexane-1,3-dicarboxylic acid</t>
  </si>
  <si>
    <t>PK0-41971</t>
  </si>
  <si>
    <t>6-Cyclobutylpyridin-2-amine</t>
  </si>
  <si>
    <t>PK0-41981</t>
  </si>
  <si>
    <t>4-Ethyl-1,1-dioxo-1Lambda(6)-thiane-4-carboxylic acid</t>
  </si>
  <si>
    <t>PK0-42141</t>
  </si>
  <si>
    <t>5-Bromo-1-ethylpyrazin-2(1H)-one</t>
  </si>
  <si>
    <t>PK0-42321</t>
  </si>
  <si>
    <t>3-Methyl-[1,2,4]triazolo[4,3-a]pyridine-7-carboxylic acid</t>
  </si>
  <si>
    <t>PK0-42341</t>
  </si>
  <si>
    <t>1-(2-Methoxyphenyl)-3-(trifluoromethyl)-1H-pyrazole-5-carboxylic acid</t>
  </si>
  <si>
    <t>PK0-42351</t>
  </si>
  <si>
    <t>4-(2-Methylpropyl)-1,1-dioxo-1Lambda(6)-thiane-4-carboxylic acid</t>
  </si>
  <si>
    <t>C10H18O4S</t>
  </si>
  <si>
    <t>PK0-42361</t>
  </si>
  <si>
    <t>4-(Cyclopropylmethyl)-1,1-dioxo-1Lambda(6)-thiane-4-carboxylic acid</t>
  </si>
  <si>
    <t>C10H16O4S</t>
  </si>
  <si>
    <t>PK0-42391</t>
  </si>
  <si>
    <t>4-Amino-4-(cyclobutylmethyl)-1Lambda(6)-thiane-1,1-dione hydrochloride</t>
  </si>
  <si>
    <t>C10H20ClNO2S</t>
  </si>
  <si>
    <t>C12H14ClNO</t>
  </si>
  <si>
    <t>PK0-42741</t>
  </si>
  <si>
    <t>7-Methyl-2H-spiro[1-benzofuran-3,4'-piperidine]hydrochloride</t>
  </si>
  <si>
    <t>PK0-42751</t>
  </si>
  <si>
    <t>6-(Trifluoromethyl)-2H-spiro[1-benzofuran-3,4'-piperidine] hydrochloride</t>
  </si>
  <si>
    <t>PK0-42761</t>
  </si>
  <si>
    <t>4-(2-Methoxyethyl)-1,1-dioxo-1Lambda(6)-thiane-4-carboxylic acid</t>
  </si>
  <si>
    <t>C9H16O5S</t>
  </si>
  <si>
    <t>PK0-42771</t>
  </si>
  <si>
    <t>1,1-Dioxo-4-(pyridin-2-ylmethyl)-1Lambda(6)-thiane-4-carboxylic acid hydrochloride</t>
  </si>
  <si>
    <t>C12H16ClNO4S</t>
  </si>
  <si>
    <t>PK0-42781</t>
  </si>
  <si>
    <t>4-Amino-4-(2-methylpropyl)-1Lambda(6)-thiane-1,1-dione</t>
  </si>
  <si>
    <t>C9H19NO2S</t>
  </si>
  <si>
    <t>PK0-42791</t>
  </si>
  <si>
    <t>4-Amino-4-(pyridin-2-ylmethyl)-1Lambda(6)-thiane-1,1-dione dihydrochloride</t>
  </si>
  <si>
    <t>C11H18Cl2N2O2S</t>
  </si>
  <si>
    <t>PK0-42801</t>
  </si>
  <si>
    <t>2-(4-o-Tolyl-tetrahydro-2H-pyran-4-yl)acetic acid</t>
  </si>
  <si>
    <t>PK0-43091</t>
  </si>
  <si>
    <t>2-Ethoxypyrimidine-4-carboxylic acid</t>
  </si>
  <si>
    <t>PK0-43101</t>
  </si>
  <si>
    <t>2-(2-Methoxyethoxy)pyrimidine-4-carboxylic acid</t>
  </si>
  <si>
    <t>PK0-43141</t>
  </si>
  <si>
    <t>4-(Cyclopropylmethoxy)pyrimidine-2-carboxylic acid</t>
  </si>
  <si>
    <t>PK0-43181</t>
  </si>
  <si>
    <t>3-(2,2,2-Trifluoroethoxy)pyrazine-2-carboxylic acid</t>
  </si>
  <si>
    <t>PK0-43201</t>
  </si>
  <si>
    <t>6-Chloro-2H-spiro[1-benzofuran-3,4'-piperidine]</t>
  </si>
  <si>
    <t>PK0-43211</t>
  </si>
  <si>
    <t>4-[(2-Methoxyphenyl)methyl]-1,1-dioxo-1lambda(6)-thiane-4-carboxylic acid</t>
  </si>
  <si>
    <t>PK0-43221</t>
  </si>
  <si>
    <t>4-Amino-4-(cyclopropylmethyl)-1lambda(6)-thiane-1,1-dione</t>
  </si>
  <si>
    <t>C9H17NO2S</t>
  </si>
  <si>
    <t>PK0-43241</t>
  </si>
  <si>
    <t>5-Bromo-1-(pyridin-3-yl)pyridin-2(1H)-one</t>
  </si>
  <si>
    <t>PK0-43371</t>
  </si>
  <si>
    <t>6,9-Diazaspiro[4.5]decan-7-one hydrochloride</t>
  </si>
  <si>
    <t>PK0-43511</t>
  </si>
  <si>
    <t>1,1-Dioxo-4-(pyridin-3-ylmethyl)-1lambda(6)-thiane-4-carboxylic acid hydrochloride</t>
  </si>
  <si>
    <t>PK0-43521</t>
  </si>
  <si>
    <t>4-Amino-4-(2-methoxyethyl)-1lambda(6)-thiane-1,1-dione</t>
  </si>
  <si>
    <t>C8H17NO3S</t>
  </si>
  <si>
    <t>PK0-43541</t>
  </si>
  <si>
    <t>4-Amino-4-{[2-(trifluoromethyl)phenyl]methyl}-1lambda(6)-thiane-1,1-dione hydrochloride</t>
  </si>
  <si>
    <t>C13H17ClF3NO2S</t>
  </si>
  <si>
    <t>C9H12BrNO</t>
  </si>
  <si>
    <t>PK0-43581</t>
  </si>
  <si>
    <t>5-Bromo-1-isobutylpyridin-2(1H)-one</t>
  </si>
  <si>
    <t>PK0-43631</t>
  </si>
  <si>
    <t>5-Bromo-2-isobutoxypyridine</t>
  </si>
  <si>
    <t>PK0-43741</t>
  </si>
  <si>
    <t>2-(2,2,2-Trifluoroethoxy)pyrimidine-4-carboxylic acid</t>
  </si>
  <si>
    <t>PK0-43771</t>
  </si>
  <si>
    <t>2-(Tetrahydro-2H-pyran-4-yloxy)pyrimidine-4-carboxylic acid</t>
  </si>
  <si>
    <t>PK0-43801</t>
  </si>
  <si>
    <t>3-Methyl-1-phenylbutan-1-amine hydrochloride</t>
  </si>
  <si>
    <t>C11H18ClN</t>
  </si>
  <si>
    <t>PK0-43811</t>
  </si>
  <si>
    <t>2-Methyl-1-phenylpropan-1-amine hydrochloride</t>
  </si>
  <si>
    <t>PK0-43881</t>
  </si>
  <si>
    <t>6,9-Diazaspiro[4.5]decane dihydrochloride</t>
  </si>
  <si>
    <t>PK0-43991</t>
  </si>
  <si>
    <t>1-(2-Fluorophenyl)butan-1-amine hydrochloride</t>
  </si>
  <si>
    <t>PK0-44001</t>
  </si>
  <si>
    <t>1-(2-Fluorophenyl)-3-methylbutan-1-aminehydrochloride</t>
  </si>
  <si>
    <t>C12H17ClFNO</t>
  </si>
  <si>
    <t>PK0-44081</t>
  </si>
  <si>
    <t>4,4-Difluoro-1-phenylcyclohexanamine hydrochloride</t>
  </si>
  <si>
    <t>C12H16ClF2N</t>
  </si>
  <si>
    <t>PK0-44101</t>
  </si>
  <si>
    <t>4,4-Difluoro-1-(3-fluorophenyl)cyclohexanamine hydrochloride</t>
  </si>
  <si>
    <t>C13H12FLiN2O3</t>
  </si>
  <si>
    <t>PK0-44311</t>
  </si>
  <si>
    <t>Lithium 7-fluoro-1-(tetrahydro-2H-pyran-4-yl)-1H-benzo[d]imidazole-2-carboxylate</t>
  </si>
  <si>
    <t>PK0-44351</t>
  </si>
  <si>
    <t>1-(2-Fluoroethyl)-1H-imidazole-4-carboxylic acid</t>
  </si>
  <si>
    <t>PK0-44421</t>
  </si>
  <si>
    <t>Cyclopropyl(3-fluorophenyl)methanamine hydrochloride</t>
  </si>
  <si>
    <t>PK0-44431</t>
  </si>
  <si>
    <t>Cyclobutyl(3-fluorophenyl)methanamine hydrochloride</t>
  </si>
  <si>
    <t>PK0-44441</t>
  </si>
  <si>
    <t>(3-Fluorophenyl)(tetrahydro-2H-pyran-4-yl)methanamine hydrochloride</t>
  </si>
  <si>
    <t>PK0-44471</t>
  </si>
  <si>
    <t>2-Cyclobutyl-1-(3-fluorophenyl)ethanamine hydrochloride</t>
  </si>
  <si>
    <t>C13H17F2NO</t>
  </si>
  <si>
    <t>PK0-44541</t>
  </si>
  <si>
    <t>Cyclopropyl(3-fluoropyridin-2-yl)methanamine dihydrochloride</t>
  </si>
  <si>
    <t>C9H13Cl2FN2</t>
  </si>
  <si>
    <t>PK0-44551</t>
  </si>
  <si>
    <t>2,2-Dimethyl-3-(pyridin-4-yl)propanoic acid hydrochloride</t>
  </si>
  <si>
    <t>C11H17NO4</t>
  </si>
  <si>
    <t>PK0-44711</t>
  </si>
  <si>
    <t>5-Methylimidazo[1,2-c]pyrimidine-2-carboxylic acid</t>
  </si>
  <si>
    <t>PK0-44731</t>
  </si>
  <si>
    <t>1-(2-Fluorophenyl)propan-1-amine hydrochloride</t>
  </si>
  <si>
    <t>C9H13Cl3N2</t>
  </si>
  <si>
    <t>PK0-44821</t>
  </si>
  <si>
    <t>(5-Chloropyridin-3-yl)(cyclopropyl)methanamine dihydrochloride</t>
  </si>
  <si>
    <t>PK0-44831</t>
  </si>
  <si>
    <t>Cyclopropyl[5-(trifluoromethyl)pyridin-3-yl]methanamine dihydrochloride</t>
  </si>
  <si>
    <t>C10H13Cl2F3N2</t>
  </si>
  <si>
    <t>PK0-44851</t>
  </si>
  <si>
    <t>2,2-Dimethyl-3-(pyridin-4-yl)propan-1-amine dihydrochloride</t>
  </si>
  <si>
    <t>PK0-44921</t>
  </si>
  <si>
    <t>Sodium 4-fluoro-1-(2,2,2-trifluoroethyl)-1H-benzo[d]imidazole-2-carboxylate</t>
  </si>
  <si>
    <t>C10H5F4N2NaO2</t>
  </si>
  <si>
    <t>PK0-44941</t>
  </si>
  <si>
    <t>Sodium 1-(cyclobutylmethyl)-4-fluoro-1H-benzo[d]imidazole-2-carboxylate</t>
  </si>
  <si>
    <t>C13H12FN2NaO2</t>
  </si>
  <si>
    <t>PK0-45041</t>
  </si>
  <si>
    <t>2-Cyclopropyl-1-(4-fluorophenyl)ethanamine hydrochloride</t>
  </si>
  <si>
    <t>PK0-45051</t>
  </si>
  <si>
    <t>1-(4-Fluorophenyl)-2-(tetrahydro-2H-pyran-4-yl)ethanamine hydrochloride</t>
  </si>
  <si>
    <t>PK0-45081</t>
  </si>
  <si>
    <t>Cyclopropyl(5-fluoropyridin-2-yl)methanamine dihydrochloride</t>
  </si>
  <si>
    <t>PK0-45241</t>
  </si>
  <si>
    <t>2-Methyl-1-(pyridin-4-yl)propan-2-amine dihydrochloride</t>
  </si>
  <si>
    <t>PK0-45291</t>
  </si>
  <si>
    <t>1-(3-Fluorophenyl)-2-(tetrahydro-2H-pyran-4-yl)ethanamine hydrochloride</t>
  </si>
  <si>
    <t>PK0-45301</t>
  </si>
  <si>
    <t>4,4-Difluoro-1-(3-methoxyphenyl)cyclohexanamine</t>
  </si>
  <si>
    <t>PK0-45361</t>
  </si>
  <si>
    <t>1-Cyclobutyl-2-methylpropan-2-amine hydrochloride</t>
  </si>
  <si>
    <t>C10H13N3O</t>
  </si>
  <si>
    <t>PK0-45491</t>
  </si>
  <si>
    <t>4-Fluoro-3-methyl-1H-indazole</t>
  </si>
  <si>
    <t>C8H7FN2</t>
  </si>
  <si>
    <t>PK0-45501</t>
  </si>
  <si>
    <t>3-Methyl-5-(trifluoromethyl)-1H-indazole</t>
  </si>
  <si>
    <t>C9H7F3N2</t>
  </si>
  <si>
    <t>PK0-45701</t>
  </si>
  <si>
    <t>3-(Pyridin-4-yl)-1H-indazole</t>
  </si>
  <si>
    <t>C12H9N3</t>
  </si>
  <si>
    <t>PK0-45711</t>
  </si>
  <si>
    <t>6-Fluoro-3-methyl-1H-indazole</t>
  </si>
  <si>
    <t>PK0-45721</t>
  </si>
  <si>
    <t>7-Fluoro-3-methyl-1H-indazole</t>
  </si>
  <si>
    <t>PK0-45811</t>
  </si>
  <si>
    <t>Cyclopropyl(2-methylpyridin-3-yl)methanamine dihydrochloride</t>
  </si>
  <si>
    <t>PK0-45831</t>
  </si>
  <si>
    <t>Cyclopropyl(pyridin-4-yl)methanamine dihydrochloride</t>
  </si>
  <si>
    <t>C10H11BrClN</t>
  </si>
  <si>
    <t>PK0-45951</t>
  </si>
  <si>
    <t>7-Bromo-3-methyl-3,4-dihydroquinazolin-2(1H)-one</t>
  </si>
  <si>
    <t>PK0-46101</t>
  </si>
  <si>
    <t>2-(6-Chloropyridin-2-yl)acetic acid hydrochloride</t>
  </si>
  <si>
    <t>C7H7Cl2NO2</t>
  </si>
  <si>
    <t>C11H14ClN</t>
  </si>
  <si>
    <t>C12H13NO2</t>
  </si>
  <si>
    <t>PK0-46221</t>
  </si>
  <si>
    <t>5-Fluoro-1H-spiro[indole-3,4'-oxane]-2-one</t>
  </si>
  <si>
    <t>C12H12FNO2</t>
  </si>
  <si>
    <t>PK0-46291</t>
  </si>
  <si>
    <t>1,2-Dihydrospiro[indole-3,4'-oxane]</t>
  </si>
  <si>
    <t>PK0-46321</t>
  </si>
  <si>
    <t>7-Fluoro-1,2-dihydrospiro[indole-3,4'-oxane]</t>
  </si>
  <si>
    <t>C12H14FNO</t>
  </si>
  <si>
    <t>PK0-46341</t>
  </si>
  <si>
    <t>6-Chloro-1,2-dihydrospiro[indole-3,4'-oxane] hydrochloride</t>
  </si>
  <si>
    <t>PK0-46371</t>
  </si>
  <si>
    <t>5-(Trifluoromethyl)-1,2-dihydrospiro[indole-3,4'-oxane]</t>
  </si>
  <si>
    <t>C13H14F3NO</t>
  </si>
  <si>
    <t>PK0-46471</t>
  </si>
  <si>
    <t>3-(2-Fluorophenyl)-1H-indazole</t>
  </si>
  <si>
    <t>C13H9FN2</t>
  </si>
  <si>
    <t>PK0-46481</t>
  </si>
  <si>
    <t>3-(3-Fluorophenyl)-1H-indazole</t>
  </si>
  <si>
    <t>PK0-46511</t>
  </si>
  <si>
    <t>5-Fluoro-3-methyl-1H-indazole</t>
  </si>
  <si>
    <t>PK0-46611</t>
  </si>
  <si>
    <t>7'-Fluoro-1',2'-dihydrospiro[cyclopropane-1,3'-indole]</t>
  </si>
  <si>
    <t>PK0-46751</t>
  </si>
  <si>
    <t>5-(Trifluoromethyl)-1H-spiro[indole-3,4'-piperidine]-2-one hydrochloride</t>
  </si>
  <si>
    <t>C13H14ClF3N2O</t>
  </si>
  <si>
    <t>PK0-46871</t>
  </si>
  <si>
    <t>6'-Bromo-1',2'-dihydrospiro[cyclopropane-1,3'-indole] hydrochloride</t>
  </si>
  <si>
    <t>PK0-46901</t>
  </si>
  <si>
    <t>7'-Methyl-1',2'-dihydrospiro[cyclopropane-1,3'-indole] hydrochloride</t>
  </si>
  <si>
    <t>C11H12N2O2</t>
  </si>
  <si>
    <t>C8H10ClNO2</t>
  </si>
  <si>
    <t>PK0-47081</t>
  </si>
  <si>
    <t>2-[6-(Trifluoromethyl)pyridin-2-yl]acetic acid hydrochloride</t>
  </si>
  <si>
    <t>C8H7ClF3NO2</t>
  </si>
  <si>
    <t>PK0-47091</t>
  </si>
  <si>
    <t>2-(6-Methylpyridin-2-yl)acetic acid hydrochloride</t>
  </si>
  <si>
    <t>C11H15Cl2N3O</t>
  </si>
  <si>
    <t>PK0-47281</t>
  </si>
  <si>
    <t>tert-Butyl 2',3'-dihydrospiro{piperidine-4,1'-pyrrolo[3,2-b]pyridine}-1-carboxylate</t>
  </si>
  <si>
    <t>C16H23N3O2</t>
  </si>
  <si>
    <t>C12H17Cl2N3</t>
  </si>
  <si>
    <t>PK0-47491</t>
  </si>
  <si>
    <t>3-Methyl-4-(trifluoromethyl)-1H-indazole hydrochloride</t>
  </si>
  <si>
    <t>C9H8ClF3N2</t>
  </si>
  <si>
    <t>PK0-47501</t>
  </si>
  <si>
    <t>3-Methyl-6-(trifluoromethyl)-1H-indazole</t>
  </si>
  <si>
    <t>PK0-47521</t>
  </si>
  <si>
    <t>6-(Trifluoromethyl)-1H-spiro[indole-3,4'-piperidine]-2-one hydrochloride</t>
  </si>
  <si>
    <t>PK0-47551</t>
  </si>
  <si>
    <t>3'H-Spiro{cyclopropane-1,1'-pyrrolo[2,3-c]pyridine}-2'-one</t>
  </si>
  <si>
    <t>C13H17NO2</t>
  </si>
  <si>
    <t>PK0-47641</t>
  </si>
  <si>
    <t>2-(6-Isopropylpyridin-2-yl)acetic acid hydrochloride</t>
  </si>
  <si>
    <t>PK0-47701</t>
  </si>
  <si>
    <t>Sodium 2-(3-methoxypyridin-2-yl)acetate</t>
  </si>
  <si>
    <t>C8H8NNaO3</t>
  </si>
  <si>
    <t>PK0-47731</t>
  </si>
  <si>
    <t>Sodium 2-[4-(difluoromethoxy)pyridin-2-yl]acetate</t>
  </si>
  <si>
    <t>C8H6F2NNaO3</t>
  </si>
  <si>
    <t>PK0-47741</t>
  </si>
  <si>
    <t>Sodium 2-[4-(dimethylamino)pyridin-2-yl]acetate</t>
  </si>
  <si>
    <t>PK0-47751</t>
  </si>
  <si>
    <t>Sodium 2-(5-methoxypyridin-2-yl)acetate</t>
  </si>
  <si>
    <t>PK0-47761</t>
  </si>
  <si>
    <t>Sodium 2-[6-(difluoromethyl)pyridin-2-yl]acetate</t>
  </si>
  <si>
    <t>C8H6F2NNaO2</t>
  </si>
  <si>
    <t>PK0-47791</t>
  </si>
  <si>
    <t>tert-Butyl 2,9-diazaspiro[5.5]undecane-2-carboxylate</t>
  </si>
  <si>
    <t>PK0-47811</t>
  </si>
  <si>
    <t>1-(Benzyloxycarbonyl)-1,2,3,4-tetrahydroquinoline-4-carboxylic acid</t>
  </si>
  <si>
    <t>C18H17NO4</t>
  </si>
  <si>
    <t>PK0-47831</t>
  </si>
  <si>
    <t>Sodium 1-[1-(tert-butoxycarbonyl)piperidin-4-yloxy]cyclobutanecarboxylate</t>
  </si>
  <si>
    <t>C15H24NNaO5</t>
  </si>
  <si>
    <t>PK0-47901</t>
  </si>
  <si>
    <t>tert-Butyl 3-[amino(cyclopropyl)methyl]azetidine-1-carboxylate</t>
  </si>
  <si>
    <t>C16H22N3NaO4</t>
  </si>
  <si>
    <t>PK0-47961</t>
  </si>
  <si>
    <t>Sodium 2-[4-(tert-butoxycarbonyl)piperazin-1-yl]-2-(pyridin-4-yl)acetate</t>
  </si>
  <si>
    <t>PK0-48021</t>
  </si>
  <si>
    <t>Sodium 2-[5-(difluoromethoxy)pyridin-2-yl]acetate</t>
  </si>
  <si>
    <t>PK0-48041</t>
  </si>
  <si>
    <t>Sodium 2-[6-(difluoromethoxy)pyridin-2-yl]acetate</t>
  </si>
  <si>
    <t>PK0-48081</t>
  </si>
  <si>
    <t>tert-Butyl 2-amino-7-azaspiro[3.5]nonane-7-carboxylate</t>
  </si>
  <si>
    <t>PK0-48091</t>
  </si>
  <si>
    <t>Lithium 3-[(tert-butoxy)carbonyl]-3-azaspiro[5.5]undecane-9-carboxylate</t>
  </si>
  <si>
    <t>C16H26LiNO4</t>
  </si>
  <si>
    <t>PK0-48151</t>
  </si>
  <si>
    <t>Sodium (R)-1-[1-(tert-butoxycarbonyl)pyrrolidin-3-yloxy]cyclobutanecarboxylate</t>
  </si>
  <si>
    <t>C14H22NNaO5</t>
  </si>
  <si>
    <t>PK0-48161</t>
  </si>
  <si>
    <t>Sodium (S)-1-[1-(tert-butoxycarbonyl)pyrrolidin-3-yloxy]cyclobutanecarboxylate</t>
  </si>
  <si>
    <t>PK0-48211</t>
  </si>
  <si>
    <t>tert-Butyl 3-(1-aminoethyl)azetidine-1-carboxylate</t>
  </si>
  <si>
    <t>C13H19Cl2FN2O</t>
  </si>
  <si>
    <t>PK0-48291</t>
  </si>
  <si>
    <t>Sodium 2-[3-(difluoromethoxy)pyridin-2-yl]acetate</t>
  </si>
  <si>
    <t>PK0-48301</t>
  </si>
  <si>
    <t>2-(6-Methoxypyridin-2-yl)acetic acid hydrochloride</t>
  </si>
  <si>
    <t>PK0-48311</t>
  </si>
  <si>
    <t>6,7-Dihydro-5H-pyrazolo[5,1-b][1,3]oxazin-3-amine hydrochloride</t>
  </si>
  <si>
    <t>C11H20N2O2</t>
  </si>
  <si>
    <t>PK0-48381</t>
  </si>
  <si>
    <t>tert-Butyl 1,7-diazaspiro[4.5]decane-1-carboxylate</t>
  </si>
  <si>
    <t>PK0-48391</t>
  </si>
  <si>
    <t>tert-Butyl 2,7-diazaspiro[4.5]decane-7-carboxylate</t>
  </si>
  <si>
    <t>PK0-48411</t>
  </si>
  <si>
    <t>Sodium 1-{[1-(tert-butoxycarbonyl)piperidin-4-yl]methoxy}cyclobutanecarboxylate</t>
  </si>
  <si>
    <t>C16H26NNaO5</t>
  </si>
  <si>
    <t>PK0-48431</t>
  </si>
  <si>
    <t>tert-Butyl 1-oxa-4,8-diazaspiro[5.5]undecane-8-carboxylate</t>
  </si>
  <si>
    <t>PK0-48521</t>
  </si>
  <si>
    <t>tert-Butyl 2,6-diazaspiro[3.5]nonane-2-carboxylate</t>
  </si>
  <si>
    <t>PK0-48531</t>
  </si>
  <si>
    <t>7-[(tert-Butoxy)carbonyl]-7-azaspiro[3.5]nonane-2-carboxylic acid</t>
  </si>
  <si>
    <t>C14H23NO4</t>
  </si>
  <si>
    <t>PK0-48551</t>
  </si>
  <si>
    <t>tert-Butyl 2,7-diazaspiro[4.5]decane-2-carboxylate</t>
  </si>
  <si>
    <t>PK0-48561</t>
  </si>
  <si>
    <t>4,5-Dihydro-3H-spiro[1,5-benzoxazepine-2,4'-piperidine] dihydrochloride</t>
  </si>
  <si>
    <t>PK0-48581</t>
  </si>
  <si>
    <t>8-Fluoro-4,5-dihydro-3H-spiro[1,5-benzoxazepine-2,4'-piperidine] dihydrochloride</t>
  </si>
  <si>
    <t>PK0-48591</t>
  </si>
  <si>
    <t>9-Fluoro-4,5-dihydro-3H-spiro[1,5-benzoxazepine-2,4'-piperidine] dihydrochloride</t>
  </si>
  <si>
    <t>PK0-48681</t>
  </si>
  <si>
    <t>2-Methyl-[1,2,4]triazolo[1,5-a]pyridin-6-amine</t>
  </si>
  <si>
    <t>PK0-48781</t>
  </si>
  <si>
    <t>2-Phenyl-[1,2,4]triazolo[1,5-a]pyridin-6-amine</t>
  </si>
  <si>
    <t>PK0-48791</t>
  </si>
  <si>
    <t>2-Methyl-[1,2,4]triazolo[1,5-a]pyridine-6-carboxylic acid</t>
  </si>
  <si>
    <t>PK0-48881</t>
  </si>
  <si>
    <t>2-Cyclopropyl-[1,2,4]triazolo[1,5-a]pyridin-6-amine</t>
  </si>
  <si>
    <t>PK0-48911</t>
  </si>
  <si>
    <t>5-Amino-3,3-dimethyl-3,4-dihydroquinolin-2(1H)-one</t>
  </si>
  <si>
    <t>PK0-48971</t>
  </si>
  <si>
    <t>tert-Butyl 2,6-diazaspiro[3.4]octane-2-carboxylate</t>
  </si>
  <si>
    <t>PK0-48981</t>
  </si>
  <si>
    <t>tert-Butyl N-{7-azaspiro[3.5]nonan-2-yl}carbamate</t>
  </si>
  <si>
    <t>PK0-49081</t>
  </si>
  <si>
    <t>4-(tert-Butoxycarbonylamino)bicyclo[2.2.1]heptane-1-carboxylic acid</t>
  </si>
  <si>
    <t>PK0-49091</t>
  </si>
  <si>
    <t>4-Aminobicyclo[2.2.2]octane-1-carboxylicacid hydrochloride</t>
  </si>
  <si>
    <t>C9H16ClNO2</t>
  </si>
  <si>
    <t>PK0-49101</t>
  </si>
  <si>
    <t>4-Methoxybicyclo[2.2.2]octane-1-carboxylic acid</t>
  </si>
  <si>
    <t>PK0-49111</t>
  </si>
  <si>
    <t>4-Fluorobicyclo[2.2.2]octane-1-carboxylic acid</t>
  </si>
  <si>
    <t>C9H13FO2</t>
  </si>
  <si>
    <t>PK0-49181</t>
  </si>
  <si>
    <t>5-Cyclobutylnicotinic acid</t>
  </si>
  <si>
    <t>PK0-49191</t>
  </si>
  <si>
    <t>3-Cyclobutylpicolinic acid</t>
  </si>
  <si>
    <t>PK0-49241</t>
  </si>
  <si>
    <t>1',3'-Dihydrospiro{cyclobutane-1,2'-pyrazolo[3,2-b][1,3]oxazine}-5'-carboxylic acid</t>
  </si>
  <si>
    <t>PK0-49251</t>
  </si>
  <si>
    <t>{6,7-Dihydro-5H-pyrazolo[5,1-b][1,3]oxazin-2-yl}methanamine hydrochloride</t>
  </si>
  <si>
    <t>C7H12ClN3O</t>
  </si>
  <si>
    <t>PK0-49291</t>
  </si>
  <si>
    <t>2-[6-(Trifluoromethyl)-1H-indol-3-yl]acetic acid</t>
  </si>
  <si>
    <t>PK0-49331</t>
  </si>
  <si>
    <t>1',3'-Dihydrospiro{cyclobutane-1,2'-pyrazolo[3,2-b][1,3]oxazine}-6'-ylmethanamine hydrochloride</t>
  </si>
  <si>
    <t>PK0-49351</t>
  </si>
  <si>
    <t>1',3'-Dihydrospiro{cyclobutane-1,2'-pyrazolo[3,2-b][1,3]oxazine}-5'-ylmethanamine hydrochloride</t>
  </si>
  <si>
    <t>PK0-49361</t>
  </si>
  <si>
    <t>1',3'-Dihydrospiro{cyclobutane-1,2'-pyrazolo[3,2-b][1,3]oxazine}-6'-amine hydrochloride</t>
  </si>
  <si>
    <t>C9H15Cl2N3O2S</t>
  </si>
  <si>
    <t>PK0-49431</t>
  </si>
  <si>
    <t>8-Amino-2-methyl-3,4-dihydroisoquinolin-1(2H)-one</t>
  </si>
  <si>
    <t>PK0-49491</t>
  </si>
  <si>
    <t>{6,7-Dihydro-5H-pyrazolo[5,1-b][1,3]oxazin-3-yl}methanamine hydrochloride</t>
  </si>
  <si>
    <t>PK0-49501</t>
  </si>
  <si>
    <t>{6,6-Dimethyl-6,7-dihydro-5H-pyrazolo[5,1-b][1,3]oxazin-3-yl}methanamine hydrochloride</t>
  </si>
  <si>
    <t>PK0-49511</t>
  </si>
  <si>
    <t>1',3'-Dihydrospiro{cyclopropane-1,2'-pyrazolo[3,2-b][1,3]oxazine}-5'-ylmethanamine hydrochloride</t>
  </si>
  <si>
    <t>PK0-49521</t>
  </si>
  <si>
    <t>1',3'-Dihydrospiro{cyclobutane-1,2'-pyrazolo[3,2-b][1,3]oxazine}-5'-amine hydrochloride</t>
  </si>
  <si>
    <t>PK0-49531</t>
  </si>
  <si>
    <t>1-tert-Butyl-1H-imidazol-2-amine hydrochloride</t>
  </si>
  <si>
    <t>C12H14N2O3</t>
  </si>
  <si>
    <t>PK0-49621</t>
  </si>
  <si>
    <t>{6,6-Dimethyl-5H,6H,7H-pyrazolo[3,2-b][1,3]oxazin-2-yl}methanamine hydrochloride</t>
  </si>
  <si>
    <t>PK0-49661</t>
  </si>
  <si>
    <t>2-[5-(Aminomethyl)pyridin-2-yl]-1,2- thiazinane-1,1-dione dihydrochloride</t>
  </si>
  <si>
    <t>PK0-49691</t>
  </si>
  <si>
    <t>2-[6-(Aminomethyl)pyridin-2-yl]-1-2-thiazinane-1,1-dione dihydrochloride</t>
  </si>
  <si>
    <t>PK0-49701</t>
  </si>
  <si>
    <t>2-[4-(Aminomethyl)pyridin-2-yl]-1-2-thiazolidine-1,1-dione dihydrochloride</t>
  </si>
  <si>
    <t>PK0-49721</t>
  </si>
  <si>
    <t>1,1-Dioxo-4-phenyl-1-thiane-4-carboxylic acid</t>
  </si>
  <si>
    <t>C12H14O4S</t>
  </si>
  <si>
    <t>PK0-49741</t>
  </si>
  <si>
    <t>7-Amino-3,3-dimethyl-1,2,3,4-tetrahydroquinolin-2-one</t>
  </si>
  <si>
    <t>PK0-49761</t>
  </si>
  <si>
    <t>5-Amino-4,4-dimethyl-1,2,3,4-tetrahydroquinazolin-2-one</t>
  </si>
  <si>
    <t>PK0-49771</t>
  </si>
  <si>
    <t>4-(2,2,2-Trifluoroethoxy)pyrimidine-2-carboxylic acid</t>
  </si>
  <si>
    <t>PK0-49801</t>
  </si>
  <si>
    <t>4-[3-(Aminomethyl)phenyl]thiomorpholine-1,1-dione dihydrochloride</t>
  </si>
  <si>
    <t>PK0-49871</t>
  </si>
  <si>
    <t>5-[(Benzyloxy)carbonyl]-5-azaspiro[2.4]heptane-1-carboxylic acid</t>
  </si>
  <si>
    <t>C15H17NO4</t>
  </si>
  <si>
    <t>PK0-49891</t>
  </si>
  <si>
    <t>5-[(tert-Butoxy)carbonyl]-5-azaspiro[2.5]octane-1-carboxylic acid</t>
  </si>
  <si>
    <t>PK0-49911</t>
  </si>
  <si>
    <t>tert-Butyl N-(6,6-dioxo-6- thiaspiro[2.5]octan-1-yl)carbamate</t>
  </si>
  <si>
    <t>C12H21NO4S</t>
  </si>
  <si>
    <t>PK0-50001</t>
  </si>
  <si>
    <t>benzyl ~{N}-(5-azaspiro[2.5]octan-2-yl)carbamate</t>
  </si>
  <si>
    <t>PK0-50201</t>
  </si>
  <si>
    <t>1H-Pyrazolo[3,4-b]pyridin-5-amine</t>
  </si>
  <si>
    <t>PK0-50211</t>
  </si>
  <si>
    <t>3-Methyl-1H-pyrazolo[3,4-b]pyridin-5-amine</t>
  </si>
  <si>
    <t>PK0-50241</t>
  </si>
  <si>
    <t>3-Cyclobutyl-1H-pyrazolo[3,4-b]pyridin-5-amine</t>
  </si>
  <si>
    <t>PK0-50261</t>
  </si>
  <si>
    <t>3-(Trifluoromethyl)-2H-pyrazolo[3,4-b]pyridin-5-amine</t>
  </si>
  <si>
    <t>PK0-50291</t>
  </si>
  <si>
    <t>2-Cyclopropylpyrazolo[1,5-a]pyrimidin-6-amine</t>
  </si>
  <si>
    <t>PK0-50301</t>
  </si>
  <si>
    <t>5-Amino-3,3-dimethyl-1,2,3,4-tetrahydroisoquinolin-1-one</t>
  </si>
  <si>
    <t>PK0-50361</t>
  </si>
  <si>
    <t>4-(Trifluoromethyl)-2H-spiro[1-benzofuran-3,4'-piperidine]</t>
  </si>
  <si>
    <t>PK0-50461</t>
  </si>
  <si>
    <t>7-Chloro-3H-spiro[2-benzofuran-1,4'-piperidine]hydrochloride</t>
  </si>
  <si>
    <t>PK0-50511</t>
  </si>
  <si>
    <t>2-(1-Phenylcyclopropyl)acetic acid</t>
  </si>
  <si>
    <t>PK0-50521</t>
  </si>
  <si>
    <t>2-[1-(4-Bromophenyl)cyclopropyl]acetic acid</t>
  </si>
  <si>
    <t>PK0-50541</t>
  </si>
  <si>
    <t>7-methyl-3H-spiro[2-benzofuran-1,4'-piperidine] hydrochloride</t>
  </si>
  <si>
    <t>PK0-50591</t>
  </si>
  <si>
    <t>2-[1-(4-methoxyphenyl)cyclopropyl]acetic acid</t>
  </si>
  <si>
    <t>PK0-50601</t>
  </si>
  <si>
    <t>8-amino-3,3-dimethyl-1,2,3,4-tetrahydroisoquinolin-1-one</t>
  </si>
  <si>
    <t>PK0-50631</t>
  </si>
  <si>
    <t>2-[1-(4-chlorophenyl)cyclopropyl]acetic acid</t>
  </si>
  <si>
    <t>PK0-50641</t>
  </si>
  <si>
    <t>2-[1-(3-bromophenyl)cyclopropyl]acetic acid</t>
  </si>
  <si>
    <t>PK0-50651</t>
  </si>
  <si>
    <t>2-[1-(4-methylphenyl)cyclopropyl]acetic acid</t>
  </si>
  <si>
    <t>PK0-50701</t>
  </si>
  <si>
    <t>2-[4,4-difluoro-1-(3-fluorophenyl)cyclohexyl]acetic acid</t>
  </si>
  <si>
    <t>PK0-50711</t>
  </si>
  <si>
    <t>2-[4,4-difluoro-1-(4-fluorophenyl)cyclohexyl]acetic acid</t>
  </si>
  <si>
    <t>PK0-50721</t>
  </si>
  <si>
    <t>2-[4,4-difluoro-1-(3-methylphenyl)cyclohexyl]acetic acid</t>
  </si>
  <si>
    <t>C15H18F2O2</t>
  </si>
  <si>
    <t>PK0-50731</t>
  </si>
  <si>
    <t>2-[4,4-difluoro-1-(4-methoxyphenyl)cyclohexyl]acetic acid</t>
  </si>
  <si>
    <t>C15H18F2O3</t>
  </si>
  <si>
    <t>C7H3ClN3NaO2</t>
  </si>
  <si>
    <t>PK0-50751</t>
  </si>
  <si>
    <t>Sodium 8-chloro-[1,2,4]triazolo[4,3-a]pyridine-3-carboxylate</t>
  </si>
  <si>
    <t>PK0-50761</t>
  </si>
  <si>
    <t>Sodium 8-methyl-[1,2,4]triazolo[4,3-a]pyrazine-3-carboxylate</t>
  </si>
  <si>
    <t>C7H5N4NaO2</t>
  </si>
  <si>
    <t>PK0-50801</t>
  </si>
  <si>
    <t>2-[1-(2-Chlorophenyl)cyclopropyl]acetic acid</t>
  </si>
  <si>
    <t>PK0-50891</t>
  </si>
  <si>
    <t>3-(piperidin-2-yl)-1H-indazole dihydrochloride</t>
  </si>
  <si>
    <t>PK0-50911</t>
  </si>
  <si>
    <t>2-[1-(4-fluorophenyl)cyclopropyl]acetic acid</t>
  </si>
  <si>
    <t>C8H6N3NaO3</t>
  </si>
  <si>
    <t>PK0-51031</t>
  </si>
  <si>
    <t>3-Cyclopropyl-[1,2,4]triazolo[4,3-a]pyridine-5-carboxylic acid</t>
  </si>
  <si>
    <t>PK0-51071</t>
  </si>
  <si>
    <t>Sodium 5,6,7,8-tetrahydro-[1,2,4]triazolo[4,3-a]pyrimidine-3-carboxylate</t>
  </si>
  <si>
    <t>C6H7N4NaO2</t>
  </si>
  <si>
    <t>PK0-51081</t>
  </si>
  <si>
    <t>2-(1-m-Tolylcyclopropyl)acetic acid</t>
  </si>
  <si>
    <t>C14H15BrF2O2</t>
  </si>
  <si>
    <t>PK0-51111</t>
  </si>
  <si>
    <t>2-[1-(4-Bromophenyl)-4,4-difluorocyclohexyl]acetic acid</t>
  </si>
  <si>
    <t>PK0-51121</t>
  </si>
  <si>
    <t>2-{4,4-Difluoro-1-[2-(trifluoromethyl)phenyl]cyclohexyl}acetic acid</t>
  </si>
  <si>
    <t>C15H15F5O2</t>
  </si>
  <si>
    <t>PK0-51141</t>
  </si>
  <si>
    <t>2-{4,4-Difluoro-1-[4-(trifluoromethyl)phenyl]cyclohexyl}acetic acid</t>
  </si>
  <si>
    <t>PK0-51171</t>
  </si>
  <si>
    <t>Sodium 6-methoxy-[1,2,4]triazolo[4,3-a]pyridine-3-carboxylate</t>
  </si>
  <si>
    <t>PK0-51211</t>
  </si>
  <si>
    <t>1-(2-Methoxyphenyl)-5-(trifluoromethyl)-1H-pyrazole-3-carboxylic acid</t>
  </si>
  <si>
    <t>PK0-51251</t>
  </si>
  <si>
    <t>1-(Pyridin-2-ylmethyl)cyclopropanamine dihydrochloride</t>
  </si>
  <si>
    <t>PK0-51261</t>
  </si>
  <si>
    <t>1-(Tetrahydro-2H-pyran-4-yl)-1H-imidazole-2-carboxylic acid</t>
  </si>
  <si>
    <t>PK0-51271</t>
  </si>
  <si>
    <t>1-[(Tetrahydro-2H-pyran-4-yl)methyl]cyclopropanamine hydrochloride</t>
  </si>
  <si>
    <t>PK0-51361</t>
  </si>
  <si>
    <t>1-(4-Methoxyphenyl)-5-(trifluoromethyl)-1H-pyrazole-3-carboxylic acid</t>
  </si>
  <si>
    <t>PK0-51371</t>
  </si>
  <si>
    <t>1-(Pyridin-4-ylmethyl)cyclopropanamine dihydrochloride</t>
  </si>
  <si>
    <t>PK0-51431</t>
  </si>
  <si>
    <t>1-Methylcyclopropan-1-amine hydrochloride</t>
  </si>
  <si>
    <t>C4H10ClN</t>
  </si>
  <si>
    <t>PK0-51441</t>
  </si>
  <si>
    <t>1-Ethylcyclopropan-1-amine hydrochloride</t>
  </si>
  <si>
    <t>PK0-51461</t>
  </si>
  <si>
    <t>[1-(Pyridin-3-ylmethyl)cyclobutyl]methanamine</t>
  </si>
  <si>
    <t>PK0-51511</t>
  </si>
  <si>
    <t>2',3'-Dihydrospiro{piperidine-4,1'-pyrrolo[2,3-b]pyridine}-2'-one dihydrochlorid</t>
  </si>
  <si>
    <t>PK0-51601</t>
  </si>
  <si>
    <t>(1-Methylcyclopropyl)methanamine hydrochloride</t>
  </si>
  <si>
    <t>PK0-51631</t>
  </si>
  <si>
    <t>(1-Methylcyclobutyl)methanamine hydrochloride</t>
  </si>
  <si>
    <t>PK0-51741</t>
  </si>
  <si>
    <t>(2-Cyclopropylpyridin-3-yl)methanamine dihydrochloride</t>
  </si>
  <si>
    <t>PK0-51751</t>
  </si>
  <si>
    <t>1-Ethylcyclopropane-1-carboxylic acid</t>
  </si>
  <si>
    <t>PK0-51771</t>
  </si>
  <si>
    <t>2',3'-Dihydrospiro{piperidine-4,1'-pyrrolo[3,2-c]pyridine}-2'-one hydrochloride</t>
  </si>
  <si>
    <t>PK0-51791</t>
  </si>
  <si>
    <t>Sodium 2-[4-(tert-butoxycarbonyl)piperazin-1-yl]-3-cyclopropylpropanoate</t>
  </si>
  <si>
    <t>C15H25N2NaO4</t>
  </si>
  <si>
    <t>PK0-51831</t>
  </si>
  <si>
    <t>(5-cyclopropylpyridin-3-yl)methanamine dihydrochloride</t>
  </si>
  <si>
    <t>PK0-51841</t>
  </si>
  <si>
    <t>(6-cyclopropylpyridin-3-yl)methanamine dihydrochloride</t>
  </si>
  <si>
    <t>PK0-51851</t>
  </si>
  <si>
    <t>(2-cyclopropylpyridin-4-yl)methanamine dihydrochloride</t>
  </si>
  <si>
    <t>PK0-51871</t>
  </si>
  <si>
    <t>5-fluoro-1,2,3,4-tetrahydroisoquinoline hydrochloride</t>
  </si>
  <si>
    <t>PK0-51891</t>
  </si>
  <si>
    <t>2-(dimethylamino)-3-phenylpropanoic acid</t>
  </si>
  <si>
    <t>PK0-51901</t>
  </si>
  <si>
    <t>2-(diethylamino)-3-phenylpropanoic acid</t>
  </si>
  <si>
    <t>PK0-51911</t>
  </si>
  <si>
    <t>3-phenyl-2-(piperidin-1-yl)propanoic acid</t>
  </si>
  <si>
    <t>C14H19NO2</t>
  </si>
  <si>
    <t>PK0-51941</t>
  </si>
  <si>
    <t>2-(diethylamino)-2-phenylacetic acid</t>
  </si>
  <si>
    <t>PK0-51961</t>
  </si>
  <si>
    <t>2-phenyl-2-(piperidin-1-yl)acetic acid</t>
  </si>
  <si>
    <t>PK0-51981</t>
  </si>
  <si>
    <t>2-(4-methylpiperazin-1-yl)-2-phenylacetic acid</t>
  </si>
  <si>
    <t>C13H18N2O2</t>
  </si>
  <si>
    <t>PK0-51991</t>
  </si>
  <si>
    <t>2,6,9-triazaspiro[4.6]undecan-10-one dihydrochloride</t>
  </si>
  <si>
    <t>C8H17Cl2N3O</t>
  </si>
  <si>
    <t>C9H19Cl2N3O</t>
  </si>
  <si>
    <t>PK0-52011</t>
  </si>
  <si>
    <t>tert-butyl 10-oxo-2,6,9-triazaspiro[4.6]undecane-2-carboxylate</t>
  </si>
  <si>
    <t>C13H23N3O3</t>
  </si>
  <si>
    <t>PK0-52021</t>
  </si>
  <si>
    <t>Chroman-4-ylmethanamine hydrochloride</t>
  </si>
  <si>
    <t>C10H13ClFNO</t>
  </si>
  <si>
    <t>PK0-52041</t>
  </si>
  <si>
    <t>(7-Fluorochroman-4-yl)methanamine hydrochloride</t>
  </si>
  <si>
    <t>PK0-52051</t>
  </si>
  <si>
    <t>(4-Cyclopropylpyridin-3-yl)methanamine dihydrochloride</t>
  </si>
  <si>
    <t>PK0-52061</t>
  </si>
  <si>
    <t>(3-Cyclopropylpyridin-2-yl)methanamine dihydrochloride</t>
  </si>
  <si>
    <t>PK0-52081</t>
  </si>
  <si>
    <t>(5-Cyclopropylpyridin-2-yl)methanamine dihydrochloride</t>
  </si>
  <si>
    <t>PK0-52101</t>
  </si>
  <si>
    <t>(3-Cyclopropylpyridin-4-yl)methanamine dihydrochloride</t>
  </si>
  <si>
    <t>PK0-52121</t>
  </si>
  <si>
    <t>6-Fluoro-1,2,3,4-tetrahydroisoquinoline hydrochloride</t>
  </si>
  <si>
    <t>PK0-52131</t>
  </si>
  <si>
    <t>2,9-Diazaspiro[5.5]undecan-3-one hydrochloride</t>
  </si>
  <si>
    <t>PK0-52141</t>
  </si>
  <si>
    <t>9-Oxa-2-azaspiro[5.5]undecane hydrochloride</t>
  </si>
  <si>
    <t>PK0-52151</t>
  </si>
  <si>
    <t>9-Oxa-1-azaspiro[5.5]undecane hydrochloride</t>
  </si>
  <si>
    <t>PK0-52161</t>
  </si>
  <si>
    <t>3-Methyl-2-(pyrrolidin-1-yl)butanoic acid</t>
  </si>
  <si>
    <t>C9H17NO2</t>
  </si>
  <si>
    <t>PK0-52171</t>
  </si>
  <si>
    <t>3-Methyl-2-(piperidin-1-yl)butanoic acid</t>
  </si>
  <si>
    <t>PK0-52181</t>
  </si>
  <si>
    <t>3-Methyl-2-morpholinobutanoic acid</t>
  </si>
  <si>
    <t>C9H17NO3</t>
  </si>
  <si>
    <t>PK0-52201</t>
  </si>
  <si>
    <t>3-Phenyl-2-(pyrrolidin-1-yl)propanoic acid</t>
  </si>
  <si>
    <t>PK0-52211</t>
  </si>
  <si>
    <t>2-(4-Methylpiperazin-1-yl)-3-phenylpropanoic acid</t>
  </si>
  <si>
    <t>PK0-52221</t>
  </si>
  <si>
    <t>2-[7-Aza-bicyclo[2.2.1]heptan-7-yl]-2-phenylacetic acid</t>
  </si>
  <si>
    <t>PK0-52231</t>
  </si>
  <si>
    <t>2,5,9-Triazaspiro[3.6]decan-8-one dihydrochloride</t>
  </si>
  <si>
    <t>C7H15Cl2N3O</t>
  </si>
  <si>
    <t>PK0-52261</t>
  </si>
  <si>
    <t>6-oxo-1,6-dihydropyridine-2-carboxylic acid</t>
  </si>
  <si>
    <t>C6H5NO3</t>
  </si>
  <si>
    <t>PK0-52271</t>
  </si>
  <si>
    <t>2-oxo-1,2-dihydropyridine-3-carboxylic acid</t>
  </si>
  <si>
    <t>C9H5FO3</t>
  </si>
  <si>
    <t>PK0-52291</t>
  </si>
  <si>
    <t>5-fluorobenzofuran-3-carboxylic acid</t>
  </si>
  <si>
    <t>PK0-52311</t>
  </si>
  <si>
    <t>7-fluorobenzofuran-3-carboxylic acid</t>
  </si>
  <si>
    <t>PK0-52321</t>
  </si>
  <si>
    <t>(5-fluorochroman-4-yl)methanamine hydrochloride</t>
  </si>
  <si>
    <t>C9H7FO2</t>
  </si>
  <si>
    <t>PK0-52371</t>
  </si>
  <si>
    <t>8-fluorochroman-4-one</t>
  </si>
  <si>
    <t>C10H9FO3</t>
  </si>
  <si>
    <t>PK0-52391</t>
  </si>
  <si>
    <t>2-(dimethylamino)-3-methylbutanoic acid</t>
  </si>
  <si>
    <t>C7H15NO2</t>
  </si>
  <si>
    <t>PK0-52401</t>
  </si>
  <si>
    <t>2-(diethylamino)-3-methylbutanoic acid hydrochloride</t>
  </si>
  <si>
    <t>C9H20ClNO2</t>
  </si>
  <si>
    <t>PK0-52421</t>
  </si>
  <si>
    <t>3,7,10-triazaspiro[5.6]dodecan-9-one dihydrochloride</t>
  </si>
  <si>
    <t>PK0-52451</t>
  </si>
  <si>
    <t>5-Fluoro-6-oxo-1,6-dihydropyridine-3-carboxylic acid</t>
  </si>
  <si>
    <t>C6H4FNO3</t>
  </si>
  <si>
    <t>PK0-52461</t>
  </si>
  <si>
    <t>2-Fluoro-6-oxo-1,6-dihydropyridine-3-carboxylic acid</t>
  </si>
  <si>
    <t>PK0-52481</t>
  </si>
  <si>
    <t>2-Phenyl-2-(1H-pyrazol-1-yl)ethan-1-amine hydrochloride</t>
  </si>
  <si>
    <t>PK0-52521</t>
  </si>
  <si>
    <t>6-Fluoro-3,4-dihydro-2H-1-benzopyran-4-carboxylic acid</t>
  </si>
  <si>
    <t>PK0-52541</t>
  </si>
  <si>
    <t>2-Phenyl-2-(1H-pyrazol-1-yl)acetic acid</t>
  </si>
  <si>
    <t>PK0-52561</t>
  </si>
  <si>
    <t>tert-Butyl 7-oxo-2,6,9-triazaspiro[4.6]undecane-2-carboxylate</t>
  </si>
  <si>
    <t>PK0-52581</t>
  </si>
  <si>
    <t>2-Oxo-1,2-dihydropyrimidine-5-carboxylic acid</t>
  </si>
  <si>
    <t>C5H4N2O3</t>
  </si>
  <si>
    <t>PK0-52591</t>
  </si>
  <si>
    <t>2-(3-Fluorophenyl)-2-(1H-pyrazol-1-yl)ethan-1-amine hydrochloride</t>
  </si>
  <si>
    <t>PK0-52601</t>
  </si>
  <si>
    <t>2-(4-Fluorophenyl)-2-(1H-pyrazol-1-yl)ethan-1-amine hydrochloride</t>
  </si>
  <si>
    <t>PK0-52621</t>
  </si>
  <si>
    <t>tert-Butyl 1,6-diazaspiro[3.4]octane-1-carboxylate</t>
  </si>
  <si>
    <t>PK0-52631</t>
  </si>
  <si>
    <t>3-[5-(2-Methylpropyl)-1,2,4-oxadiazol-3-yl]piperidine hydrochloride</t>
  </si>
  <si>
    <t>PK0-52651</t>
  </si>
  <si>
    <t>2-(4-Fluorophenyl)-2-(1H-pyrazol-1-yl)acetic acid</t>
  </si>
  <si>
    <t>PK0-52661</t>
  </si>
  <si>
    <t>2,6,9-Triazaspiro[4.6]undecan-7-one dihydrochloride</t>
  </si>
  <si>
    <t>PK0-52681</t>
  </si>
  <si>
    <t>2-(2-Fluorophenyl)-2-(1H-pyrazol-1-yl)ethan-1-amine hydrochloride</t>
  </si>
  <si>
    <t>PK0-52691</t>
  </si>
  <si>
    <t>2-(2-Fluorophenyl)-2-(1H-pyrazol-1-yl)acetic acid</t>
  </si>
  <si>
    <t>PK0-52711</t>
  </si>
  <si>
    <t>2,7,10-Triazaspiro[5.6]dodecan-8-one dihydrochloride</t>
  </si>
  <si>
    <t>PK0-52721</t>
  </si>
  <si>
    <t>tert-Butyl 8-oxo-2,6,9-triazaspiro[4.6]undecane-2-carboxylate</t>
  </si>
  <si>
    <t>PK0-52751</t>
  </si>
  <si>
    <t>1-(Piperidin-4-yl)-1H-1,3-benzodiazole hydrochloride</t>
  </si>
  <si>
    <t>C12H16ClN3</t>
  </si>
  <si>
    <t>PK0-52761</t>
  </si>
  <si>
    <t>7-Fluoro-1-(piperidin-4-yl)-1H-1,3-benzodiazole hydrochloride</t>
  </si>
  <si>
    <t>C12H15ClFN3</t>
  </si>
  <si>
    <t>PK0-52781</t>
  </si>
  <si>
    <t>5-Fluoro-1-(piperidin-4-yl)-1H-1,3-benzodiazole hydrochloride</t>
  </si>
  <si>
    <t>PK0-52791</t>
  </si>
  <si>
    <t>4-Fluoro-1-(piperidin-4-yl)-1H-1,3-benzodiazole hydrochloride</t>
  </si>
  <si>
    <t>PK0-52801</t>
  </si>
  <si>
    <t>2,2,2-Trifluoro-1-phenylethan-1-amine hydrochloride</t>
  </si>
  <si>
    <t>C8H9ClF3N</t>
  </si>
  <si>
    <t>PK0-52831</t>
  </si>
  <si>
    <t>Decahydropiperazino[1,2-a][1,4]diazepine-4,10-dione hydrochloride</t>
  </si>
  <si>
    <t>PK0-52851</t>
  </si>
  <si>
    <t>2,5,9-Triazaspiro[3.6]decan-10-one dihydrochloride</t>
  </si>
  <si>
    <t>PK0-52861</t>
  </si>
  <si>
    <t>2,6,10-Triazaspiro[4.6]undecan-9-one dihydrochloride</t>
  </si>
  <si>
    <t>PK0-52881</t>
  </si>
  <si>
    <t>2,7,10-Triazaspiro[5.6]dodecan-9-one dihydrochloride</t>
  </si>
  <si>
    <t>PK0-52891</t>
  </si>
  <si>
    <t>2,7,11-Triazaspiro[5.6]dodecan-12-one dihydrochloride</t>
  </si>
  <si>
    <t>PK0-52931</t>
  </si>
  <si>
    <t>tert-Butyl 11-oxo-2,6,10-triazaspiro[4.6]undecane-2-carboxylate</t>
  </si>
  <si>
    <t>PK0-52981</t>
  </si>
  <si>
    <t>[1-(5-fluoropyridin-2-yl)cyclopropyl]methanamine dihydrochloride</t>
  </si>
  <si>
    <t>C8H8ClF4N</t>
  </si>
  <si>
    <t>PK0-53001</t>
  </si>
  <si>
    <t>2,2,2-trifluoro-1-(4-fluorophenyl)ethan-1-amine hydrochloride</t>
  </si>
  <si>
    <t>PK0-53011</t>
  </si>
  <si>
    <t>1-(2-chlorophenyl)-2,2,2-trifluoroethan-1-amine hydrochloride</t>
  </si>
  <si>
    <t>C8H8Cl2F3N</t>
  </si>
  <si>
    <t>PK0-53021</t>
  </si>
  <si>
    <t>1-(3-chlorophenyl)-2,2,2-trifluoroethan-1-amine hydrochloride</t>
  </si>
  <si>
    <t>PK0-53031</t>
  </si>
  <si>
    <t>1-(4-chlorophenyl)-2,2,2-trifluoroethan-1-amine hydrochloride</t>
  </si>
  <si>
    <t>C13H17ClFNO</t>
  </si>
  <si>
    <t>PK0-53101</t>
  </si>
  <si>
    <t>2,4-dihydrospiro[1-benzopyran-3,4'-piperidine] hydrochloride</t>
  </si>
  <si>
    <t>PK0-53111</t>
  </si>
  <si>
    <t>8-fluoro-2,4-dihydrospiro[1-benzopyran-3,4'-piperidine] hydrochloride</t>
  </si>
  <si>
    <t>PK0-53121</t>
  </si>
  <si>
    <t>7-fluoro-2,4-dihydrospiro[1-benzopyran-3,4'-piperidine] hydrochloride</t>
  </si>
  <si>
    <t>PK0-53131</t>
  </si>
  <si>
    <t>6-fluoro-2,4-dihydrospiro[1-benzopyran-3,4'-piperidine] hydrochloride</t>
  </si>
  <si>
    <t>PK0-53141</t>
  </si>
  <si>
    <t>decahydro-1H-piperazino[1,2-a][1,4]diazocin-6-one dihydrochloride</t>
  </si>
  <si>
    <t>PK0-53171</t>
  </si>
  <si>
    <t>2-(2-Fluorophenyl)propan-1-amine hydrochloride</t>
  </si>
  <si>
    <t>PK0-53181</t>
  </si>
  <si>
    <t>2-(2-Fluorophenyl)butan-1-amine hydrochloride</t>
  </si>
  <si>
    <t>PK0-53191</t>
  </si>
  <si>
    <t>2-(4-Fluorophenyl)propan-1-amine hydrochloride</t>
  </si>
  <si>
    <t>PK0-53201</t>
  </si>
  <si>
    <t>2-[3-(Trifluoromethyl)phenyl]propan-1-amine hydrochloride</t>
  </si>
  <si>
    <t>PK0-53211</t>
  </si>
  <si>
    <t>2-(4-Methyl-1H-pyrazol-1-yl)-2-phenylethan-1-amine hydrochloride</t>
  </si>
  <si>
    <t>PK0-53221</t>
  </si>
  <si>
    <t>2-(4-Fluorophenyl)-2-(4-methyl-1H-pyrazol-1-yl)ethan-1-amine hydrochloride</t>
  </si>
  <si>
    <t>PK0-53231</t>
  </si>
  <si>
    <t>2,2,2-Trifluoro-1-(2-fluorophenyl)ethan-1-amine hydrochloride</t>
  </si>
  <si>
    <t>PK0-53241</t>
  </si>
  <si>
    <t>(2-Cyclobutylpyridin-3-yl)methanamine dihydrochloride</t>
  </si>
  <si>
    <t>PK0-53251</t>
  </si>
  <si>
    <t>(4-Cyclobutylpyridin-3-yl)methanamine dihydrochloride</t>
  </si>
  <si>
    <t>PK0-53261</t>
  </si>
  <si>
    <t>(5-Cyclobutylpyridin-3-yl)methanamine dihydrochloride</t>
  </si>
  <si>
    <t>PK0-53271</t>
  </si>
  <si>
    <t>(6-Cyclobutylpyridin-3-yl)methanamine dihydrochloride</t>
  </si>
  <si>
    <t>PK0-53281</t>
  </si>
  <si>
    <t>(3-Cyclobutylpyridin-2-yl)methanamine dihydrochloride</t>
  </si>
  <si>
    <t>PK0-53301</t>
  </si>
  <si>
    <t>(5-Cyclobutylpyridin-2-yl)methanamine dihydrochloride</t>
  </si>
  <si>
    <t>PK0-53311</t>
  </si>
  <si>
    <t>(6-Cyclobutylpyridin-2-yl)methanamine dihydrochloride</t>
  </si>
  <si>
    <t>PK0-53321</t>
  </si>
  <si>
    <t>(2-Cyclobutylpyridin-4-yl)methanamine dihydrochloride</t>
  </si>
  <si>
    <t>PK0-53331</t>
  </si>
  <si>
    <t>8-Bromo-1,2,3,4-tetrahydroisoquinoline hydrochloride</t>
  </si>
  <si>
    <t>PK0-53341</t>
  </si>
  <si>
    <t>7-Bromo-1,2,3,4-tetrahydroisoquinoline hydrochloride</t>
  </si>
  <si>
    <t>PK0-53351</t>
  </si>
  <si>
    <t>6-Bromo-1,2,3,4-tetrahydroisoquinoline hydrochloride</t>
  </si>
  <si>
    <t>PK0-53361</t>
  </si>
  <si>
    <t>5-Bromo-1,2,3,4-tetrahydroisoquinoline hydrochloride</t>
  </si>
  <si>
    <t>PK0-53411</t>
  </si>
  <si>
    <t>Decahydro-1H-pyrazino[1,2-a][1,4]diazocin-4-one dihydrochloride</t>
  </si>
  <si>
    <t>PK0-53431</t>
  </si>
  <si>
    <t>2-(3-fluorophenyl)propan-1-amine hydrochloride (1:1)</t>
  </si>
  <si>
    <t>PK0-53521</t>
  </si>
  <si>
    <t>2-(3-fluorophenyl)-2-(4-methyl-1H-pyrazol-1-yl)ethanamine hydrochloride (1:1)</t>
  </si>
  <si>
    <t>PK0-53531</t>
  </si>
  <si>
    <t>4-(pyridin-3-ylmethyl)tetrahydro-2H-thiopyran-4-amine 1,1-dioxide dihydrochloride</t>
  </si>
  <si>
    <t>C11H15Cl2NO2S</t>
  </si>
  <si>
    <t>PK0-53581</t>
  </si>
  <si>
    <t>4-(3-chlorophenyl)tetrahydro-2H-thiopyran-4-amine 1,1-dioxide</t>
  </si>
  <si>
    <t>C11H14ClNO2S</t>
  </si>
  <si>
    <t>C12H15ClN4</t>
  </si>
  <si>
    <t>PK0-53611</t>
  </si>
  <si>
    <t>2-methyl-1-(pyrrolidin-3-yl)-1H-imidazole hydrochloride</t>
  </si>
  <si>
    <t>PK0-53621</t>
  </si>
  <si>
    <t>2-ethyl-1-(pyrrolidin-3-yl)-1H-imidazole hydrochloride</t>
  </si>
  <si>
    <t>PK0-53631</t>
  </si>
  <si>
    <t>4-(2-oxopyrrolidin-1-yl)pyridine-2-carboxylic acid</t>
  </si>
  <si>
    <t>C10H10N2O3</t>
  </si>
  <si>
    <t>PK0-53641</t>
  </si>
  <si>
    <t>4-(2-oxopiperidin-1-yl)pyridine-2-carboxylic acid</t>
  </si>
  <si>
    <t>C11H12N2O3</t>
  </si>
  <si>
    <t>PK0-53651</t>
  </si>
  <si>
    <t>4-(1,1-dioxo-1???-thiomorpholin-4-yl)pyridine-2-carboxylic acid</t>
  </si>
  <si>
    <t>C10H12N2O4S</t>
  </si>
  <si>
    <t>PK0-53671</t>
  </si>
  <si>
    <t>1-[(tert-butoxy)carbonyl]-3-[(2-fluorophenyl)methyl]piperidine-3-carboxylic acid</t>
  </si>
  <si>
    <t>PK0-53711</t>
  </si>
  <si>
    <t>[1-(2-methoxyethyl)-1H-imidazol-2-yl]methanamine hydrochloride</t>
  </si>
  <si>
    <t>PK0-53721</t>
  </si>
  <si>
    <t>[1-(2-methylpropyl)-1H-imidazol-2-yl]methanamine hydrochloride</t>
  </si>
  <si>
    <t>C12H13FO4S</t>
  </si>
  <si>
    <t>PK0-53781</t>
  </si>
  <si>
    <t>4-(2-chlorophenyl)tetrahydro-2H-thiopyran-4-amine 1,1-dioxide hydrochloride (1:1)</t>
  </si>
  <si>
    <t>PK0-53791</t>
  </si>
  <si>
    <t>4-(2-fluorophenyl)-3-(pyrrolidin-2-yl)-4H-1,2,4-triazole hydrochloride (1:1)</t>
  </si>
  <si>
    <t>C12H14ClFN4</t>
  </si>
  <si>
    <t>PK0-53801</t>
  </si>
  <si>
    <t>4-(3-fluorophenyl)-3-(pyrrolidin-2-yl)-4H-1,2,4-triazole hydrochloride (1:1)</t>
  </si>
  <si>
    <t>PK0-53821</t>
  </si>
  <si>
    <t>2-cyclopropyl-1-(pyrrolidin-3-yl)-1H-imidazole hydrochloride (1:1)</t>
  </si>
  <si>
    <t>C10H16ClN3</t>
  </si>
  <si>
    <t>PK0-53841</t>
  </si>
  <si>
    <t>tert-butyl 3-amino-3-(2-fluorobenzyl)pyrrolidine-1-carboxylate</t>
  </si>
  <si>
    <t>PK0-53861</t>
  </si>
  <si>
    <t>tert-butyl 3-amino-3-(4-fluorobenzyl)pyrrolidine-1-carboxylate</t>
  </si>
  <si>
    <t>PK0-53891</t>
  </si>
  <si>
    <t>1-(tert-butoxycarbonyl)-3-phenylpiperidine-3-carboxylic acid</t>
  </si>
  <si>
    <t>C17H23NO4</t>
  </si>
  <si>
    <t>PK0-53911</t>
  </si>
  <si>
    <t>1-[1-(2-fluorobenzyl)-1H-imidazol-2-yl]methanamine hydrochloride (1:1)</t>
  </si>
  <si>
    <t>PK0-53921</t>
  </si>
  <si>
    <t>1-[1-(4-fluorobenzyl)-1H-imidazol-2-yl]methanamine hydrochloride (1:1)</t>
  </si>
  <si>
    <t>PK0-53951</t>
  </si>
  <si>
    <t>4-(2-fluorophenyl)tetrahydro-2H-thiopyran-4-carboxylic acid 1,1-dioxide</t>
  </si>
  <si>
    <t>PK0-53961</t>
  </si>
  <si>
    <t>4-(3-fluorophenyl)tetrahydro-2H-thiopyran-4-carboxylic acid 1,1-dioxide</t>
  </si>
  <si>
    <t>PK0-53991</t>
  </si>
  <si>
    <t>4-(3-chlorobenzyl)tetrahydro-2H-thiopyran-4-amine 1,1-dioxide hydrochloride (1:1)</t>
  </si>
  <si>
    <t>PK0-54001</t>
  </si>
  <si>
    <t>4-(4-fluorophenyl)-3-(pyrrolidin-2-yl)-4H-1,2,4-triazole hydrochloride (1:1)</t>
  </si>
  <si>
    <t>PK0-54071</t>
  </si>
  <si>
    <t>1-[1-(cyclopropylmethyl)-1H-imidazol-2-yl]methanamine hydrochloride (1:1)</t>
  </si>
  <si>
    <t>PK0-54081</t>
  </si>
  <si>
    <t>1-[1-(cyclobutylmethyl)-1H-imidazol-2-yl]methanamine hydrochloride (1:1)</t>
  </si>
  <si>
    <t>PK0-54091</t>
  </si>
  <si>
    <t>1-[1-(propan-2-yl)-1H-imidazol-2-yl]methanamine hydrochloride (1:1)</t>
  </si>
  <si>
    <t>PK0-54101</t>
  </si>
  <si>
    <t>1-[3-methoxy-4-(tetrahydro-2H-pyran-4-yloxy)phenyl]methanamine hydrochloride (1:1)</t>
  </si>
  <si>
    <t>C13H20ClNO3</t>
  </si>
  <si>
    <t>PK0-54171</t>
  </si>
  <si>
    <t>6-(2-oxopyrrolidin-1-yl)pyridine-2-carboxylic acid</t>
  </si>
  <si>
    <t>PK0-54181</t>
  </si>
  <si>
    <t>6-(2-oxoazepan-1-yl)pyridine-2-carboxylic acid</t>
  </si>
  <si>
    <t>PK0-54191</t>
  </si>
  <si>
    <t>4-(2-oxoazepan-1-yl)pyridine-2-carboxylic acid</t>
  </si>
  <si>
    <t>PK0-54221</t>
  </si>
  <si>
    <t>(1-cyclobutyl-1H-imidazol-2-yl)methanamine hydrochloride</t>
  </si>
  <si>
    <t>PK0-54231</t>
  </si>
  <si>
    <t>{1-[(3-fluorophenyl)methyl]-1H-imidazol-2-yl}methanamine hydrochloride</t>
  </si>
  <si>
    <t>PK0-54261</t>
  </si>
  <si>
    <t>4-phenyl-3-(pyrrolidin-3-yl)-4H-1,2,4-triazole hydrochloride</t>
  </si>
  <si>
    <t>PK0-54271</t>
  </si>
  <si>
    <t>4-(2-fluorophenyl)-3-(pyrrolidin-3-yl)-4H-1,2,4-triazole hydrochloride</t>
  </si>
  <si>
    <t>PK0-54281</t>
  </si>
  <si>
    <t>4-(3-fluorophenyl)-3-(pyrrolidin-3-yl)-4H-1,2,4-triazole hydrochloride</t>
  </si>
  <si>
    <t>PK0-54291</t>
  </si>
  <si>
    <t>4-(4-fluorophenyl)-3-(pyrrolidin-3-yl)-4H-1,2,4-triazole hydrochloride</t>
  </si>
  <si>
    <t>PK0-54301</t>
  </si>
  <si>
    <t>6-(2-oxopiperidin-1-yl)pyridine-2-carboxylic acid</t>
  </si>
  <si>
    <t>PK0-54321</t>
  </si>
  <si>
    <t>2-(2-oxopyrrolidin-1-yl)pyridine-4-carboxylic acid</t>
  </si>
  <si>
    <t>PK0-54331</t>
  </si>
  <si>
    <t>2-(2-oxoazepan-1-yl)pyridine-4-carboxylic acid</t>
  </si>
  <si>
    <t>PK0-54341</t>
  </si>
  <si>
    <t>2-(1,1-dioxo-1¦Ë?-thiomorpholin-4-yl)pyridine-4-carboxylic acid</t>
  </si>
  <si>
    <t>C10H11ClFN3</t>
  </si>
  <si>
    <t>PK0-54401</t>
  </si>
  <si>
    <t>1-(3-fluorophenyl)-5-(pyrrolidin-3-yl)-1H-1,2,4-triazole hydrochloride</t>
  </si>
  <si>
    <t>PK0-54421</t>
  </si>
  <si>
    <t>2-(2-oxopiperidin-1-yl)pyridine-4-carboxylic acid</t>
  </si>
  <si>
    <t>PK0-54431</t>
  </si>
  <si>
    <t>3-methylimidazo[1,5-a]pyridine-1-carboxylic acid</t>
  </si>
  <si>
    <t>C9H8N2O2</t>
  </si>
  <si>
    <t>PK0-54441</t>
  </si>
  <si>
    <t>3-ethylimidazo[1,5-a]pyridine-1-carboxylic acid</t>
  </si>
  <si>
    <t>C10H10N2O2</t>
  </si>
  <si>
    <t>PK0-54451</t>
  </si>
  <si>
    <t>3-(propan-2-yl)imidazo[1,5-a]pyridine-1-carboxylic acid</t>
  </si>
  <si>
    <t>PK0-54461</t>
  </si>
  <si>
    <t>3-cyclopropylimidazo[1,5-a]pyridine-1-carboxylic acid</t>
  </si>
  <si>
    <t>PK0-54481</t>
  </si>
  <si>
    <t>1-(2,2,2-trifluoroethyl)-1H-indole-2-carboxylic acid</t>
  </si>
  <si>
    <t>PK0-54501</t>
  </si>
  <si>
    <t>1-(cyclobutylmethyl)-1H-indole-2-carboxylic acid</t>
  </si>
  <si>
    <t>C14H15NO2</t>
  </si>
  <si>
    <t>PK0-54521</t>
  </si>
  <si>
    <t>1-(propan-2-yl)-1H-indole-2-carboxylic acid</t>
  </si>
  <si>
    <t>PK0-54531</t>
  </si>
  <si>
    <t>[1-(2-fluorophenyl)-1H-imidazol-2-yl]methanamine hydrochloride</t>
  </si>
  <si>
    <t>PK0-54561</t>
  </si>
  <si>
    <t>[(6-fluoropyridin-2-yl)methyl](methyl)amine hydrochloride</t>
  </si>
  <si>
    <t>C7H10ClFN2</t>
  </si>
  <si>
    <t>PK0-54571</t>
  </si>
  <si>
    <t>[(6-chloropyridin-2-yl)methyl](methyl)amine hydrochloride</t>
  </si>
  <si>
    <t>C7H10Cl2N2</t>
  </si>
  <si>
    <t>PK0-54581</t>
  </si>
  <si>
    <t>methyl[(6-methylpyridin-2-yl)methyl]amine dihydrochloride</t>
  </si>
  <si>
    <t>C8H14Cl2N2</t>
  </si>
  <si>
    <t>PK0-54591</t>
  </si>
  <si>
    <t>[(6-methoxypyridin-2-yl)methyl](methyl)amine dihydrochloride</t>
  </si>
  <si>
    <t>C8H14Cl2N2O</t>
  </si>
  <si>
    <t>PK0-54621</t>
  </si>
  <si>
    <t>4-(3-methyl-2-oxoimidazolidin-1-yl)benzoic acid</t>
  </si>
  <si>
    <t>PK0-54631</t>
  </si>
  <si>
    <t>3-(3-methyl-2-oxoimidazolidin-1-yl)benzoic acid</t>
  </si>
  <si>
    <t>PK0-54641</t>
  </si>
  <si>
    <t>2-(3-methyl-2-oxoimidazolidin-1-yl)benzoic acid</t>
  </si>
  <si>
    <t>C13H12N2O2</t>
  </si>
  <si>
    <t>PK0-54671</t>
  </si>
  <si>
    <t>3-cyclobutylimidazo[1,5-a]pyridine-1-carboxylic acid</t>
  </si>
  <si>
    <t>PK0-54681</t>
  </si>
  <si>
    <t>3-(oxan-4-yl)imidazo[1,5-a]pyridine-1-carboxylic acid</t>
  </si>
  <si>
    <t>PK0-54701</t>
  </si>
  <si>
    <t>1-(oxan-4-yl)-1H-indole-2-carboxylic acid</t>
  </si>
  <si>
    <t>C14H15NO3</t>
  </si>
  <si>
    <t>PK0-54731</t>
  </si>
  <si>
    <t>1-(oxan-4-yl)-1H-1,3-benzodiazole-4-carboxylic acid</t>
  </si>
  <si>
    <t>PK0-54741</t>
  </si>
  <si>
    <t>1-ethyl-2-methyl-1H-1,3-benzodiazole-4-carboxylic acid</t>
  </si>
  <si>
    <t>PK0-54761</t>
  </si>
  <si>
    <t>[(5-fluoropyridin-2-yl)methyl](methyl)amine hydrochloride</t>
  </si>
  <si>
    <t>PK0-54771</t>
  </si>
  <si>
    <t>[(5-chloropyridin-2-yl)methyl](methyl)amine hydrochloride</t>
  </si>
  <si>
    <t>PK0-54791</t>
  </si>
  <si>
    <t>[(5-methoxypyridin-2-yl)methyl](methyl)amine dihydrochloride</t>
  </si>
  <si>
    <t>PK0-54801</t>
  </si>
  <si>
    <t>3-(2-ethyl-1H-imidazol-1-yl)benzoic acid</t>
  </si>
  <si>
    <t>PK0-54811</t>
  </si>
  <si>
    <t>2-(2-ethyl-1H-imidazol-1-yl)benzoic acid</t>
  </si>
  <si>
    <t>PK0-54821</t>
  </si>
  <si>
    <t>2-(2-cyclopropyl-1H-imidazol-1-yl)benzoic acid</t>
  </si>
  <si>
    <t>PK0-54831</t>
  </si>
  <si>
    <t>1-(propan-2-yl)-1H-1,3-benzodiazole-4-carboxylic acid</t>
  </si>
  <si>
    <t>PK0-54841</t>
  </si>
  <si>
    <t>1-(2,2,2-trifluoroethyl)-1H-1,3-benzodiazole-4-carboxylic acid</t>
  </si>
  <si>
    <t>C10H7F3N2O2</t>
  </si>
  <si>
    <t>PK0-54861</t>
  </si>
  <si>
    <t>1-(cyclobutylmethyl)-1H-1,3-benzodiazole-4-carboxylic acid</t>
  </si>
  <si>
    <t>C13H14N2O2</t>
  </si>
  <si>
    <t>PK0-54901</t>
  </si>
  <si>
    <t>1,2-dimethyl-1H-1,3-benzodiazole-4-carboxylic acid</t>
  </si>
  <si>
    <t>PK0-54911</t>
  </si>
  <si>
    <t>2-methyl-1-(propan-2-yl)-1H-1,3-benzodiazole-4-carboxylic acid</t>
  </si>
  <si>
    <t>C12H14N2O2</t>
  </si>
  <si>
    <t>PK0-54941</t>
  </si>
  <si>
    <t>1-(cyclobutylmethyl)-2-methyl-1H-1,3-benzodiazole-4-carboxylic acid</t>
  </si>
  <si>
    <t>PK0-54971</t>
  </si>
  <si>
    <t>methyl({[6-(trifluoromethyl)pyridin-2-yl]methyl})amine hydrochloride</t>
  </si>
  <si>
    <t>C8H10ClF3N2</t>
  </si>
  <si>
    <t>PK0-54981</t>
  </si>
  <si>
    <t>methyl({[5-(trifluoromethyl)pyridin-2-yl]methyl})amine hydrochloride</t>
  </si>
  <si>
    <t>C13H18ClN3</t>
  </si>
  <si>
    <t>PK0-55061</t>
  </si>
  <si>
    <t>1-methyl-2-(piperidin-3-yl)-1H-1,3-benzodiazole hydrochloride</t>
  </si>
  <si>
    <t>PK0-55131</t>
  </si>
  <si>
    <t>1lambda6,2,5-thiadiazepane-1,1-dione hydrochloride</t>
  </si>
  <si>
    <t>C4H11ClN2O2S</t>
  </si>
  <si>
    <t>PK0-55141</t>
  </si>
  <si>
    <t>5-fluoro-2-[(piperidin-4-yl)methoxy]pyridine hydrochloride</t>
  </si>
  <si>
    <t>C11H16ClFN2O</t>
  </si>
  <si>
    <t>C12H20Cl2N2O2</t>
  </si>
  <si>
    <t>PK0-55171</t>
  </si>
  <si>
    <t>1-[(tert-butoxy)carbonyl]-3-[(2-fluorophenyl)methyl]azetidine-3-carboxylic acid</t>
  </si>
  <si>
    <t>C16H20FNO4</t>
  </si>
  <si>
    <t>PK0-55251</t>
  </si>
  <si>
    <t>2-[(piperidin-4-yl)methoxy]pyridine dihydrochloride</t>
  </si>
  <si>
    <t>PK0-55291</t>
  </si>
  <si>
    <t>N-[(piperidin-4-yl)methyl]pyridin-2-amine trihydrochloride</t>
  </si>
  <si>
    <t>PK0-55301</t>
  </si>
  <si>
    <t>N-[(piperidin-4-yl)methyl]-6-(trifluoromethyl)pyrimidin-4-amine dihydrochloride</t>
  </si>
  <si>
    <t>C11H17Cl2F3N4</t>
  </si>
  <si>
    <t>C11H18Cl3N3</t>
  </si>
  <si>
    <t>PK0-55331</t>
  </si>
  <si>
    <t>4-[(piperidin-4-yl)methoxy]-6-(trifluoromethyl)pyrimidine hydrochloride</t>
  </si>
  <si>
    <t>C11H15ClF3N3O</t>
  </si>
  <si>
    <t>PK0-55361</t>
  </si>
  <si>
    <t>5-fluoro-N-[(piperidin-4-yl)methyl]pyridin-2-amine dihydrochloride</t>
  </si>
  <si>
    <t>C11H18Cl2FN3</t>
  </si>
  <si>
    <t>PK0-55381</t>
  </si>
  <si>
    <t>N-[(piperidin-4-yl)methyl]-6-(trifluoromethyl)pyridin-2-amine dihydrochloride</t>
  </si>
  <si>
    <t>C12H18Cl2F3N3</t>
  </si>
  <si>
    <t>PK0-55451</t>
  </si>
  <si>
    <t>2-[(piperidin-4-yl)methoxy]-6-(trifluoromethyl)pyridine hydrochloride</t>
  </si>
  <si>
    <t>C12H16ClF3N2O</t>
  </si>
  <si>
    <t>PK0-55521</t>
  </si>
  <si>
    <t>N-[(Piperidin-4-yl)methyl]pyrimidin-4-amine dihydrochloride</t>
  </si>
  <si>
    <t>PK0-55531</t>
  </si>
  <si>
    <t>3-Fluoro-N-[(piperidin-4-yl)methyl]pyridin-2-amine dihydrochloride</t>
  </si>
  <si>
    <t>C12H21Cl2N3O</t>
  </si>
  <si>
    <t>PK0-55551</t>
  </si>
  <si>
    <t>2-Methoxy-N-[(piperidin-4-yl)methyl]pyridin-4-amine dihydrochloride</t>
  </si>
  <si>
    <t>PK0-55561</t>
  </si>
  <si>
    <t>3-Chloro-N-[(piperidin-4-yl)methyl]pyridin-4-amine dihydrochloride</t>
  </si>
  <si>
    <t>PK0-55571</t>
  </si>
  <si>
    <t>3-Fluoro-N-[(piperidin-4-yl)methyl]pyridin-4-amine dihydrochloride</t>
  </si>
  <si>
    <t>PK0-55581</t>
  </si>
  <si>
    <t>5-Fluoro-N-[(piperidin-4-yl)methyl]pyrimidin-2-amine dihydrochloride</t>
  </si>
  <si>
    <t>C10H17Cl2FN4</t>
  </si>
  <si>
    <t>PK0-55591</t>
  </si>
  <si>
    <t>3-Fluoro-2-[(piperidin-4-yl)methoxy]pyridine dihydrochloride</t>
  </si>
  <si>
    <t>PK0-55601</t>
  </si>
  <si>
    <t>4-Methoxy-2-[(piperidin-4-yl)methoxy]pyridine dihydrochloride</t>
  </si>
  <si>
    <t>PK0-55611</t>
  </si>
  <si>
    <t>3-Fluoro-4-[(piperidin-4-yl)methoxy]pyridine dihydrochloride</t>
  </si>
  <si>
    <t>PK0-55621</t>
  </si>
  <si>
    <t>5-Fluoro-2-[(piperidin-4-yl)methoxy]pyrimidine hydrochloride</t>
  </si>
  <si>
    <t>C10H15ClFN3O</t>
  </si>
  <si>
    <t>PK0-55681</t>
  </si>
  <si>
    <t>N-[(piperidin-4-yl)methyl]pyrimidin-2-amine dihydrochloride</t>
  </si>
  <si>
    <t>PK0-55711</t>
  </si>
  <si>
    <t>2-methoxy-4-[(piperidin-4-yl)methoxy]pyridine dihydrochloride</t>
  </si>
  <si>
    <t>PK0-55761</t>
  </si>
  <si>
    <t>1-(piperidin-4-yl)-3-(2,2,2-trifluoroethyl)-2,3-dihydro-1H-1,3-benzodiazol-2-one hydrochloride</t>
  </si>
  <si>
    <t>C14H17ClF3N3O</t>
  </si>
  <si>
    <t>C10H8FN3O2</t>
  </si>
  <si>
    <t>PK0-55781</t>
  </si>
  <si>
    <t>1-[(3-fluorophenyl)methyl]-1H-1,2,3-triazole-4-carboxylic acid</t>
  </si>
  <si>
    <t>PK0-55791</t>
  </si>
  <si>
    <t>1-[(4-fluorophenyl)methyl]-1H-1,2,3-triazole-4-carboxylic acid</t>
  </si>
  <si>
    <t>PK0-55811</t>
  </si>
  <si>
    <t>1-[(tert-butoxy)carbonyl]-3-ethylpiperidine-3-carboxylic acid</t>
  </si>
  <si>
    <t>C8H10ClF2N</t>
  </si>
  <si>
    <t>PK0-55831</t>
  </si>
  <si>
    <t>2-(4-fluoro-2-methylphenyl)ethan-1-amine hydrochloride</t>
  </si>
  <si>
    <t>PK0-55841</t>
  </si>
  <si>
    <t>2-(3,4-difluorophenyl)ethan-1-amine hydrochloride</t>
  </si>
  <si>
    <t>PK0-55851</t>
  </si>
  <si>
    <t>2-(5-chloro-2-fluorophenyl)ethan-1-amine hydrochloride</t>
  </si>
  <si>
    <t>C8H10Cl2FN</t>
  </si>
  <si>
    <t>PK0-55861</t>
  </si>
  <si>
    <t>2-(2-fluoro-5-methoxyphenyl)ethan-1-amine hydrochloride</t>
  </si>
  <si>
    <t>C9H13ClFNO</t>
  </si>
  <si>
    <t>PK0-55871</t>
  </si>
  <si>
    <t>2-(3-fluoro-4-methoxyphenyl)ethan-1-amine hydrochloride</t>
  </si>
  <si>
    <t>PK0-55881</t>
  </si>
  <si>
    <t>2-(2,3-difluorophenyl)ethan-1-amine hydrochloride</t>
  </si>
  <si>
    <t>PK0-55901</t>
  </si>
  <si>
    <t>2-(3-fluoro-2-methylphenyl)ethan-1-amine hydrochloride</t>
  </si>
  <si>
    <t>PK0-55911</t>
  </si>
  <si>
    <t>2-(2,5-difluorophenyl)ethan-1-amine hydrochloride</t>
  </si>
  <si>
    <t>PK0-55921</t>
  </si>
  <si>
    <t>2-(5-fluoro-2-methylphenyl)ethan-1-amine hydrochloride</t>
  </si>
  <si>
    <t>PK0-55931</t>
  </si>
  <si>
    <t>2-(5-fluoro-2-methoxyphenyl)ethan-1-amine hydrochloride</t>
  </si>
  <si>
    <t>PK0-55971</t>
  </si>
  <si>
    <t>[(4-methoxypyridin-2-yl)methyl](methyl)amine dihydrochloride</t>
  </si>
  <si>
    <t>PK0-55981</t>
  </si>
  <si>
    <t>[(3-fluoropyridin-2-yl)methyl](methyl)amine dihydrochloride</t>
  </si>
  <si>
    <t>PK0-55991</t>
  </si>
  <si>
    <t>[(3-chloropyridin-2-yl)methyl](methyl)amine dihydrochloride</t>
  </si>
  <si>
    <t>C7H11Cl3N2</t>
  </si>
  <si>
    <t>PK0-56011</t>
  </si>
  <si>
    <t>methyl({[3-(trifluoromethyl)pyridin-2-yl]methyl})amine dihydrochloride</t>
  </si>
  <si>
    <t>PK0-56051</t>
  </si>
  <si>
    <t>methyl({[6-(trifluoromethyl)pyridin-3-yl]methyl})amine dihydrochloride</t>
  </si>
  <si>
    <t>PK0-56061</t>
  </si>
  <si>
    <t>[(6-methoxypyridin-3-yl)methyl](methyl)amine dihydrochloride</t>
  </si>
  <si>
    <t>PK0-56071</t>
  </si>
  <si>
    <t>[(5-fluoropyridin-3-yl)methyl](methyl)amine dihydrochloride</t>
  </si>
  <si>
    <t>PK0-56081</t>
  </si>
  <si>
    <t>[(5-chloropyridin-3-yl)methyl](methyl)amine dihydrochloride</t>
  </si>
  <si>
    <t>PK0-56091</t>
  </si>
  <si>
    <t>methyl[(5-methylpyridin-3-yl)methyl]amine dihydrochloride</t>
  </si>
  <si>
    <t>PK0-56101</t>
  </si>
  <si>
    <t>[(5-methoxypyridin-3-yl)methyl](methyl)amine dihydrochloride</t>
  </si>
  <si>
    <t>PK0-56111</t>
  </si>
  <si>
    <t>[(4-methoxypyridin-3-yl)methyl](methyl)amine dihydrochloride</t>
  </si>
  <si>
    <t>PK0-56131</t>
  </si>
  <si>
    <t>[(3-chloropyridin-4-yl)methyl](methyl)amine dihydrochloride</t>
  </si>
  <si>
    <t>PK0-56141</t>
  </si>
  <si>
    <t>[(2-methoxypyridin-4-yl)methyl](methyl)amine dihydrochloride</t>
  </si>
  <si>
    <t>PK0-56161</t>
  </si>
  <si>
    <t>2-(dimethylamino)-2-[3-(trifluoromethyl)phenyl]acetic acid hydrochloride</t>
  </si>
  <si>
    <t>C11H13ClF3NO2</t>
  </si>
  <si>
    <t>PK0-56171</t>
  </si>
  <si>
    <t>1-(2-fluorophenyl)-1H-1,2,3-triazole-4-carboxylic acid</t>
  </si>
  <si>
    <t>C9H6FN3O2</t>
  </si>
  <si>
    <t>C8H9ClFN.HCl</t>
  </si>
  <si>
    <t>PK0-56221</t>
  </si>
  <si>
    <t>2-(3-Chloro-4-fluorophenyl)ethan-1-amine hydrochloride</t>
  </si>
  <si>
    <t>PK0-56231</t>
  </si>
  <si>
    <t>2-(2,4,6-Trifluorophenyl)ethan-1-amine hydrochloride</t>
  </si>
  <si>
    <t>C8H8F3N.HCl</t>
  </si>
  <si>
    <t>PK0-56241</t>
  </si>
  <si>
    <t>2-(3,4,5-Trifluorophenyl)ethan-1-amine hydrochloride</t>
  </si>
  <si>
    <t>PK0-56251</t>
  </si>
  <si>
    <t>2-(2,6-Difluorophenyl)ethan-1-amine hydrochloride</t>
  </si>
  <si>
    <t>C8H9F2N.HCl</t>
  </si>
  <si>
    <t>PK0-56271</t>
  </si>
  <si>
    <t>Methyl({[4-(trifluoromethyl)pyridin-2-yl]methyl})amine dihydrochloride</t>
  </si>
  <si>
    <t>C8H9F3N2.2HCl</t>
  </si>
  <si>
    <t>PK0-56291</t>
  </si>
  <si>
    <t>Methyl({[2-(trifluoromethyl)pyridin-3-yl]methyl})amine dihydrochloride</t>
  </si>
  <si>
    <t>PK0-56301</t>
  </si>
  <si>
    <t>Methyl({[4-(trifluoromethyl)pyridin-3-yl]methyl})amine dihydrochloride</t>
  </si>
  <si>
    <t>PK0-56311</t>
  </si>
  <si>
    <t>Methyl({[3-(trifluoromethyl)pyridin-4-yl]methyl})amine dihydrochloride</t>
  </si>
  <si>
    <t>PK0-56321</t>
  </si>
  <si>
    <t>Methyl({[2-(trifluoromethyl)pyridin-4-yl]methyl})amine dihydrochloride</t>
  </si>
  <si>
    <t>PK0-56331</t>
  </si>
  <si>
    <t>2-(Dimethylamino)-2-(2-fluorophenyl)acetic acid hydrochloride</t>
  </si>
  <si>
    <t>C10H12FNO2.HCl</t>
  </si>
  <si>
    <t>C11H12F3NO2.HCl</t>
  </si>
  <si>
    <t>PK0-56361</t>
  </si>
  <si>
    <t>2-(Dimethylamino)-2-[4-(trifluoromethyl)phenyl]acetic acid hydrochloride</t>
  </si>
  <si>
    <t>PK0-56371</t>
  </si>
  <si>
    <t>1-[(2-Fluorophenyl)methyl]piperidine-4-carboxylic acid hydrochloride</t>
  </si>
  <si>
    <t>C13H16FNO2.HCl</t>
  </si>
  <si>
    <t>PK0-56401</t>
  </si>
  <si>
    <t>N-Methyl-N-[(3S)-piperidin-3-yl]acetamide hydrochloride</t>
  </si>
  <si>
    <t>C8H16N2O.HCl</t>
  </si>
  <si>
    <t>PK0-56411</t>
  </si>
  <si>
    <t>N-Ethyl-N-[(3S)-piperidin-3-yl]acetamide hydrochloride</t>
  </si>
  <si>
    <t>C9H18N2O.HCl</t>
  </si>
  <si>
    <t>PK0-56421</t>
  </si>
  <si>
    <t>N-Ethyl-N-[(3S)-piperidin-3-yl]propanamide hydrochloride</t>
  </si>
  <si>
    <t>C10H20N2O.HCl</t>
  </si>
  <si>
    <t>PK0-56431</t>
  </si>
  <si>
    <t>2-(2-Fluoro-4-methylphenyl)ethan-1-amine hydrochloride</t>
  </si>
  <si>
    <t>C9H12FN.HCl</t>
  </si>
  <si>
    <t>PK0-56461</t>
  </si>
  <si>
    <t>3,4-Dihydro-2H-spiro[isoquinoline-1,4'-piperidin]-3-one</t>
  </si>
  <si>
    <t>C12H15N3O.HCl</t>
  </si>
  <si>
    <t>PK0-56501</t>
  </si>
  <si>
    <t>1-[(3R)-Piperidin-3-yl]-2,3-dihydro-1H-1,3-benzodiazol-2-one hydrochloride</t>
  </si>
  <si>
    <t>PK0-56521</t>
  </si>
  <si>
    <t>3,4-Dihydro-2H-1-benzopyran-4-carboxylic acid</t>
  </si>
  <si>
    <t>C10H10O3</t>
  </si>
  <si>
    <t>PK0-56531</t>
  </si>
  <si>
    <t>2-Methyl-1-[(3S)-piperidin-3-yl]-1H-1,3-benzodiazole hydrochloride</t>
  </si>
  <si>
    <t>C13H17N3.HCl</t>
  </si>
  <si>
    <t>PK0-56541</t>
  </si>
  <si>
    <t>2-Methyl-1-[(3R)-piperidin-3-yl]-1H-1,3-benzodiazole hydrochloride</t>
  </si>
  <si>
    <t>PK0-56551</t>
  </si>
  <si>
    <t>N-Methyl-N-[(3R)-piperidin-3-yl]acetamide hydrochloride</t>
  </si>
  <si>
    <t>C8H16N2O.HCL</t>
  </si>
  <si>
    <t>PK0-56561</t>
  </si>
  <si>
    <t>N-Ethyl-N-[(3R)-piperidin-3-yl]acetamide hydrochloride</t>
  </si>
  <si>
    <t>C9H18N2O.HCL</t>
  </si>
  <si>
    <t>PK0-56571</t>
  </si>
  <si>
    <t>(3'S)-[1,3'-Bipiperidin]-2-one hydrochloride</t>
  </si>
  <si>
    <t>C10H18N2O.HCL</t>
  </si>
  <si>
    <t>PK0-56581</t>
  </si>
  <si>
    <t>4-[(3S)-Piperidin-3-yl]morpholin-3-one hydrochloride</t>
  </si>
  <si>
    <t>C9H16N2O2.HCL</t>
  </si>
  <si>
    <t>PK0-56601</t>
  </si>
  <si>
    <t>1-[(3S)-Piperidin-3-yl]-1,3-diazinan-2-one hydrochloride</t>
  </si>
  <si>
    <t>C9H17N3O.HCL</t>
  </si>
  <si>
    <t>PK0-56621</t>
  </si>
  <si>
    <t>1-(2,6-Dimethoxypyridin-3-yl)methanamine dihydrochloride</t>
  </si>
  <si>
    <t>C8H12N2O2.2HCL</t>
  </si>
  <si>
    <t>PK0-56631</t>
  </si>
  <si>
    <t>[(3-Methoxypyridin-4-yl)methyl](methyl)amine dihydrochloride</t>
  </si>
  <si>
    <t>C8H12N2O.2HCL</t>
  </si>
  <si>
    <t>PK0-56661</t>
  </si>
  <si>
    <t>1-[(3S)-Pyrrolidin-3-yl]-2,3-dihydro-1H-1,3-benzodiazol-2-one hydrochloride</t>
  </si>
  <si>
    <t>C11H13N3O.HCL</t>
  </si>
  <si>
    <t>PK0-56671</t>
  </si>
  <si>
    <t>1-Methyl-3-[(3S)-pyrrolidin-3-yl]-2,3-dihydro-1H-1,3-benzodiazol-2-one hydrochloride</t>
  </si>
  <si>
    <t>C12H15N3O.HCL</t>
  </si>
  <si>
    <t>PK0-56681</t>
  </si>
  <si>
    <t>1-[(3R)-Pyrrolidin-3-yl]-2,3-dihydro-1H-1,3-benzodiazol-2-one hydrochloride</t>
  </si>
  <si>
    <t>PK0-56691</t>
  </si>
  <si>
    <t>1-Methyl-3-[(3R)-pyrrolidin-3-yl]-2,3-dihydro-1H-1,3-benzodiazol-2-one hydrochloride</t>
  </si>
  <si>
    <t>PK0-56701</t>
  </si>
  <si>
    <t>2-Methyl-1-[(3S)-pyrrolidin-3-yl]-1H-1,3-benzodiazole hydrochloride</t>
  </si>
  <si>
    <t>C12H15N3.HCL</t>
  </si>
  <si>
    <t>PK0-56711</t>
  </si>
  <si>
    <t>2-Methyl-1-[(3R)-pyrrolidin-3-yl]-1H-1,3-benzodiazole hydrochloride</t>
  </si>
  <si>
    <t>PK0-56721</t>
  </si>
  <si>
    <t>4-{2-Methyl-3H-imidazo[4,5-b]pyridin-3-yl}piperidine dihydrochloride</t>
  </si>
  <si>
    <t>C12H16N4.2HCL</t>
  </si>
  <si>
    <t>PK0-56731</t>
  </si>
  <si>
    <t>4-Amino-1lambda6-thiane-1,1-dione hydrochloride</t>
  </si>
  <si>
    <t>C5H11NO2S.HCL</t>
  </si>
  <si>
    <t>PK0-56741</t>
  </si>
  <si>
    <t>4-(Aminomethyl)-1lambda6-thiane-1,1-dione hydrochloride</t>
  </si>
  <si>
    <t>C6H13NO2S.HCL</t>
  </si>
  <si>
    <t>PK0-56751</t>
  </si>
  <si>
    <t>3H-Spiro[1-benzofuran-2,4'-piperidine] hydrochloride</t>
  </si>
  <si>
    <t>C12H15NO.HCL</t>
  </si>
  <si>
    <t>PK0-56781</t>
  </si>
  <si>
    <t>N-Ethyl-N-[(3R)-piperidin-3-yl]propanamide hydrochloride</t>
  </si>
  <si>
    <t>C10H20N2OeHCl</t>
  </si>
  <si>
    <t>PK0-56791</t>
  </si>
  <si>
    <t>(3'R)-[1,3'-Bipiperidin]-2-one hydrochloride</t>
  </si>
  <si>
    <t>C10H18N2OeHCl</t>
  </si>
  <si>
    <t>PK0-56801</t>
  </si>
  <si>
    <t>4-[(3R)-Piperidin-3-yl]morpholin-3-one hydrochloride</t>
  </si>
  <si>
    <t>C9H16N2O2eHCl</t>
  </si>
  <si>
    <t>PK0-56821</t>
  </si>
  <si>
    <t>1-[(3R)-Piperidin-3-yl]-1,3-diazinan-2-one hydrochloride</t>
  </si>
  <si>
    <t>C9H17N3OeHCl</t>
  </si>
  <si>
    <t>PK0-56841</t>
  </si>
  <si>
    <t>1-[(3R)-Piperidin-3-yl]pyrrolidin-2-one hydrochloride</t>
  </si>
  <si>
    <t>C9H16N2OeHCl</t>
  </si>
  <si>
    <t>C13H17NOeHCl</t>
  </si>
  <si>
    <t>PK0-56891</t>
  </si>
  <si>
    <t>1-Methyl-3-(piperidin-4-yl)-1H,2H,3H-imidazo[4,5-b]pyridin-2-one dihydrochloride</t>
  </si>
  <si>
    <t>C12H16N4Oe2HCl</t>
  </si>
  <si>
    <t>PK0-56911</t>
  </si>
  <si>
    <t>4-Fluoro-3H-spiro[1-benzofuran-2,4'-piperidine] hydrochloride</t>
  </si>
  <si>
    <t>C12H14FNOeHCl</t>
  </si>
  <si>
    <t>PK0-56921</t>
  </si>
  <si>
    <t>6-Fluoro-3H-spiro[1-benzofuran-2,4'-piperidine] hydrochloride</t>
  </si>
  <si>
    <t>PK0-56931</t>
  </si>
  <si>
    <t>7-Fluoro-3H-spiro[1-benzofuran-2,4'-piperidine] hydrochloride</t>
  </si>
  <si>
    <t>PK0-56941</t>
  </si>
  <si>
    <t>(1R*,4R*)-N1-[(3-Fluorophenyl)methyl]cyclohexane-1,4-diamine hydrochloride</t>
  </si>
  <si>
    <t>C13H19FN2eHCl</t>
  </si>
  <si>
    <t>PK0-56981</t>
  </si>
  <si>
    <t>2-(1H-imidazol-1-yl)propanoic acid hydrochloride</t>
  </si>
  <si>
    <t>C6H8N2O2eHCl</t>
  </si>
  <si>
    <t>PK0-56991</t>
  </si>
  <si>
    <t>2-(1H-imidazol-1-yl)butanoic acid hydrochloride</t>
  </si>
  <si>
    <t>C7H10N2O2eHCl</t>
  </si>
  <si>
    <t>PK0-57001</t>
  </si>
  <si>
    <t>2-(1H-imidazol-1-yl)-3-methylbutanoic acid hydrochloride</t>
  </si>
  <si>
    <t>C8H12N2O2eHCl</t>
  </si>
  <si>
    <t>PK0-57011</t>
  </si>
  <si>
    <t>2-(1H-imidazol-1-yl)-3-phenylpropanoic acid hydrochloride</t>
  </si>
  <si>
    <t>C12H12N2O2eHCl</t>
  </si>
  <si>
    <t>PK0-57021</t>
  </si>
  <si>
    <t>2-(1H-imidazol-1-yl)-2-phenylacetic acid hydrochloride</t>
  </si>
  <si>
    <t>C11H10N2O2eHCl</t>
  </si>
  <si>
    <t>C11H9FN2O2eHCl</t>
  </si>
  <si>
    <t>PK0-57041</t>
  </si>
  <si>
    <t>2-(4-Fluorophenyl)-2-(1H-imidazol-1-yl)acetic acid hydrochloride</t>
  </si>
  <si>
    <t>PK0-57051</t>
  </si>
  <si>
    <t>(1R*,4R*)-4-(2-oxopyrrolidin-1-yl)cyclohexane-1-carboxylic acid</t>
  </si>
  <si>
    <t>PK0-57061</t>
  </si>
  <si>
    <t>(1R*,4R*)-4-(2-oxo-1,3-oxazolidin-3-yl)cyclohexane-1-carboxylic acid</t>
  </si>
  <si>
    <t>C10H15NO4</t>
  </si>
  <si>
    <t>PK0-57071</t>
  </si>
  <si>
    <t>1-{1-[(3-Fluorophenyl)methyl]cyclopropyl}methanamine hydrochloride</t>
  </si>
  <si>
    <t>C11H14FNeHCl</t>
  </si>
  <si>
    <t>PK0-57091</t>
  </si>
  <si>
    <t>1-Oxa-4-azaspiro[5.5]undecane</t>
  </si>
  <si>
    <t>C7H11N3eHCl</t>
  </si>
  <si>
    <t>PK0-57111</t>
  </si>
  <si>
    <t>4-(2-Oxoimidazolidin-1-yl)benzoic acid</t>
  </si>
  <si>
    <t>PK0-57131</t>
  </si>
  <si>
    <t>4-(2-Methyl-1H-imidazol-1-yl)benzoic acid</t>
  </si>
  <si>
    <t>PK0-57171</t>
  </si>
  <si>
    <t>1-[(tert-Butoxy)carbonyl]-3-methylazetidine-3-carboxylic acid</t>
  </si>
  <si>
    <t>C10H17NO4</t>
  </si>
  <si>
    <t>PK0-57181</t>
  </si>
  <si>
    <t>1-[(tert-Butoxy)carbonyl]-3-ethylazetidine-3-carboxylic acid</t>
  </si>
  <si>
    <t>C11H19NO4</t>
  </si>
  <si>
    <t>C12H15N3OeHCL</t>
  </si>
  <si>
    <t>PK0-57221</t>
  </si>
  <si>
    <t>1-{1-[(4-Methoxyphenyl)methyl]-1H-imidazol-2-yl}methanamine hydrochloride</t>
  </si>
  <si>
    <t>PK0-57231</t>
  </si>
  <si>
    <t>7-Fluoro-2-methyl-1-(piperidin-4-yl)-1H-1,3-benzodiazole hydrochloride</t>
  </si>
  <si>
    <t>C13H16FN3eHCL</t>
  </si>
  <si>
    <t>PK0-57241</t>
  </si>
  <si>
    <t>6-Fluoro-2-methyl-1-(piperidin-4-yl)-1H-1,3-benzodiazole hydrochloride</t>
  </si>
  <si>
    <t>PK0-57251</t>
  </si>
  <si>
    <t>5-Fluoro-2-methyl-1-(piperidin-4-yl)-1H-1,3-benzodiazole hydrochloride</t>
  </si>
  <si>
    <t>PK0-57261</t>
  </si>
  <si>
    <t>4-Fluoro-2-methyl-1-(piperidin-4-yl)-1H-1,3-benzodiazole hydrochloride</t>
  </si>
  <si>
    <t>PK0-57271</t>
  </si>
  <si>
    <t>2-(3-Fluorophenyl)-2-(1H-imidazol-1-yl)acetic acid hydrochloride</t>
  </si>
  <si>
    <t>C11H9FN2O2eHCL</t>
  </si>
  <si>
    <t>PK0-57291</t>
  </si>
  <si>
    <t>(1R*,4R*)-4-(2-oxo-1,3-oxazinan-3-yl)cyclohexane-1-carboxylic acid</t>
  </si>
  <si>
    <t>PK0-57311</t>
  </si>
  <si>
    <t>2-(5-Ethyl-1,2,4-oxadiazol-3-yl)benzoic acid</t>
  </si>
  <si>
    <t>PK0-57321</t>
  </si>
  <si>
    <t>4-(5-Ethyl-1,3,4-oxadiazol-2-yl)benzoic acid</t>
  </si>
  <si>
    <t>PK0-57341</t>
  </si>
  <si>
    <t>1-(1-Benzyl-1H-pyrazol-5-yl)methanamine hydrochloride</t>
  </si>
  <si>
    <t>C11H13N3eHCl</t>
  </si>
  <si>
    <t>PK0-57351</t>
  </si>
  <si>
    <t>1-{1-[(4-Fluorophenyl)methyl]-1H-pyrazol-5-yl}methanamine hydrochloride</t>
  </si>
  <si>
    <t>C11H12FN3eHCl</t>
  </si>
  <si>
    <t>PK0-57361</t>
  </si>
  <si>
    <t>1-(1-Phenyl-1H-pyrazol-5-yl)methanamine hydrochloride</t>
  </si>
  <si>
    <t>C10H11N3eHCl</t>
  </si>
  <si>
    <t>PK0-57371</t>
  </si>
  <si>
    <t>1-[1-(2-Fluorophenyl)-1H-pyrazol-5-yl]methanamine hydrochloride</t>
  </si>
  <si>
    <t>C10H10FN3eHCl</t>
  </si>
  <si>
    <t>PK0-57381</t>
  </si>
  <si>
    <t>1-[1-(3-Fluorophenyl)-1H-pyrazol-5-yl]methanamine hydrochloride</t>
  </si>
  <si>
    <t>PK0-57401</t>
  </si>
  <si>
    <t>1-{1-[(Pyridin-2-yl)methyl]-1H-imidazol-2-yl}methanamine dihydrochloride</t>
  </si>
  <si>
    <t>C10H12N4e2HCl</t>
  </si>
  <si>
    <t>PK0-57421</t>
  </si>
  <si>
    <t>1-{1-[(Pyridin-4-yl)methyl]-1H-imidazol-2-yl}methanamine dihydrochloride</t>
  </si>
  <si>
    <t>PK0-57451</t>
  </si>
  <si>
    <t>1-{1-[(2-Fluorophenyl)methyl]-1H-pyrazol-5-yl}methanamine hydrochloride</t>
  </si>
  <si>
    <t>PK0-57511</t>
  </si>
  <si>
    <t>6-Methoxy-3,4-dihydro-2H-1-benzopyran-4-carboxylic acid</t>
  </si>
  <si>
    <t>C11H12O4</t>
  </si>
  <si>
    <t>PK0-57521</t>
  </si>
  <si>
    <t>8-Methoxy-3,4-dihydro-2H-1-benzopyran-4-carboxylic acid</t>
  </si>
  <si>
    <t>C8H13N3eHCl</t>
  </si>
  <si>
    <t>PK0-57541</t>
  </si>
  <si>
    <t>1-(2,2,2-Trifluoroethyl)-1H,4H,5H,6H,7H-pyrazolo[4,3-c]pyridine hydrochloride</t>
  </si>
  <si>
    <t>C8H10F3N3eHCl</t>
  </si>
  <si>
    <t>PK0-57551</t>
  </si>
  <si>
    <t>5-Methyl-1,2,4-oxadiazol-3-amine</t>
  </si>
  <si>
    <t>C3H5N3O</t>
  </si>
  <si>
    <t>PK0-57581</t>
  </si>
  <si>
    <t>5-Cyclopropyl-1,2,4-oxadiazol-3-amine</t>
  </si>
  <si>
    <t>PK0-57671</t>
  </si>
  <si>
    <t>2-(3-Chlorophenyl)butanoic acid</t>
  </si>
  <si>
    <t>PK0-57681</t>
  </si>
  <si>
    <t>2,3-Dihydrospiro[1-benzopyran-4,3'-piperidine] hydrochloride</t>
  </si>
  <si>
    <t>PK0-57721</t>
  </si>
  <si>
    <t>tert-Butyl (3R)-3-(2-oxo-1,2,3,4-tetrahydroquinoxalin-1-yl)piperidine-1-carboxylate</t>
  </si>
  <si>
    <t>PK0-57751</t>
  </si>
  <si>
    <t>3-Phenyl-1,2,4-oxadiazol-5-amine</t>
  </si>
  <si>
    <t>C8H7N3O</t>
  </si>
  <si>
    <t>PK0-57781</t>
  </si>
  <si>
    <t>N-(2-Fluorophenyl)piperidin-4-amine dihydrochloride</t>
  </si>
  <si>
    <t>C11H15FN2e2HCl</t>
  </si>
  <si>
    <t>PK0-57791</t>
  </si>
  <si>
    <t>N-(3-Fluorophenyl)piperidin-4-amine dihydrochloride</t>
  </si>
  <si>
    <t>PK0-57801</t>
  </si>
  <si>
    <t>N-(4-Fluorophenyl)piperidin-4-amine dihydrochloride</t>
  </si>
  <si>
    <t>PK0-57811</t>
  </si>
  <si>
    <t>N-[(2-Fluorophenyl)methyl]piperidin-4-amine dihydrochloride</t>
  </si>
  <si>
    <t>C12H17FN2e2HCl</t>
  </si>
  <si>
    <t>PK0-57821</t>
  </si>
  <si>
    <t>N-[(3-Fluorophenyl)methyl]piperidin-4-amine dihydrochloride</t>
  </si>
  <si>
    <t>PK0-57831</t>
  </si>
  <si>
    <t>1-{1-[(3-Fluorophenyl)methyl]-1H-pyrazol-5-yl}methanamine hydrochloride</t>
  </si>
  <si>
    <t>PK0-57891</t>
  </si>
  <si>
    <t>2',3'-Dihydro-1'H-spiro[piperidine-4,4'-quinazolin]-2'-one hydrochloride</t>
  </si>
  <si>
    <t>C12H15N3OeHCl</t>
  </si>
  <si>
    <t>PK0-57991</t>
  </si>
  <si>
    <t>N-(Oxan-4-yl)piperidin-4-amine dihydrochloride</t>
  </si>
  <si>
    <t>C10H20N2Oe2HCl</t>
  </si>
  <si>
    <t>PK0-58011</t>
  </si>
  <si>
    <t>N-[(4-Fluorophenyl)methyl]piperidin-4-amine dihydrochloride</t>
  </si>
  <si>
    <t>PK0-58021</t>
  </si>
  <si>
    <t>tert-Butyl N-{4-[(2-fluorophenyl)methyl]piperidin-4-yl}carbamate</t>
  </si>
  <si>
    <t>PK0-58031</t>
  </si>
  <si>
    <t>4-(1H-Imidazol-1-yl)piperidine dihydrochloride</t>
  </si>
  <si>
    <t>C8H13N3e2HCl</t>
  </si>
  <si>
    <t>PK0-58061</t>
  </si>
  <si>
    <t>1-Benzyl-1H-pyrazole-5-carboxylic acid</t>
  </si>
  <si>
    <t>PK0-58071</t>
  </si>
  <si>
    <t>1-[(2-Fluorophenyl)methyl]-1H-pyrazole-5-carboxylic acid</t>
  </si>
  <si>
    <t>PK0-58081</t>
  </si>
  <si>
    <t>1-[(3-Fluorophenyl)methyl]-1H-pyrazole-5-carboxylic acid</t>
  </si>
  <si>
    <t>PK0-58091</t>
  </si>
  <si>
    <t>1-[(4-Fluorophenyl)methyl]-1H-pyrazole-5-carboxylic acid</t>
  </si>
  <si>
    <t>PK0-58101</t>
  </si>
  <si>
    <t>1-(4-Fluorophenyl)-1H-pyrazole-5-carboxylic acid</t>
  </si>
  <si>
    <t>PK0-58111</t>
  </si>
  <si>
    <t>1-Benzyl-1H-pyrazole-3-carboxylic acid</t>
  </si>
  <si>
    <t>PK0-58121</t>
  </si>
  <si>
    <t>1-[(2-Fluorophenyl)methyl]-1H-pyrazole-3-carboxylic acid</t>
  </si>
  <si>
    <t>PK0-58131</t>
  </si>
  <si>
    <t>1-[(3-Fluorophenyl)methyl]-1H-pyrazole-3-carboxylic acid</t>
  </si>
  <si>
    <t>PK0-58141</t>
  </si>
  <si>
    <t>1-[(4-Fluorophenyl)methyl]-1H-pyrazole-3-carboxylic acid</t>
  </si>
  <si>
    <t>PK0-58151</t>
  </si>
  <si>
    <t>1-(4-Fluorophenyl)-1H-pyrazole-3-carboxylic acid</t>
  </si>
  <si>
    <t>PK0-58181</t>
  </si>
  <si>
    <t>tert-Butyl N-{4-[(3-fluorophenyl)methyl]piperidin-4-yl}carbamate</t>
  </si>
  <si>
    <t>PK0-58191</t>
  </si>
  <si>
    <t>4-(1H-1,2,3-Triazol-1-yl)piperidine hydrochloride</t>
  </si>
  <si>
    <t>C7H12N4eHCl</t>
  </si>
  <si>
    <t>PK0-58201</t>
  </si>
  <si>
    <t>N-(2-Methoxyethyl)piperazine-1-carboxamide hydrochloride</t>
  </si>
  <si>
    <t>C8H17N3O2eHCl</t>
  </si>
  <si>
    <t>PK0-58211</t>
  </si>
  <si>
    <t>N-(Cyclobutylmethyl)piperazine-1-carboxamide hydrochloride</t>
  </si>
  <si>
    <t>C10H19N3OeHCl</t>
  </si>
  <si>
    <t>PK0-58221</t>
  </si>
  <si>
    <t>N-[(2-Fluorophenyl)methyl]piperazine-1-carboxamide hydrochloride</t>
  </si>
  <si>
    <t>C12H16FN3OeHCl</t>
  </si>
  <si>
    <t>PK0-58231</t>
  </si>
  <si>
    <t>N-[(3-Fluorophenyl)methyl]piperazine-1-carboxamide hydrochloride</t>
  </si>
  <si>
    <t>PK0-58241</t>
  </si>
  <si>
    <t>N-[(4-Fluorophenyl)methyl]piperazine-1-carboxamide hydrochloride</t>
  </si>
  <si>
    <t>PK0-58251</t>
  </si>
  <si>
    <t>3-(2-Fluorophenyl)-5H,6H,7H,8H-imidazo[1,5-a]pyrazine dihydrochloride</t>
  </si>
  <si>
    <t>C12H12FN3e2HCl</t>
  </si>
  <si>
    <t>PK0-58261</t>
  </si>
  <si>
    <t>3-(3-Fluorophenyl)-5H,6H,7H,8H-imidazo[1,5-a]pyrazine dihydrochloride</t>
  </si>
  <si>
    <t>PK0-58271</t>
  </si>
  <si>
    <t>3-(4-Fluorophenyl)-5H,6H,7H,8H-imidazo[1,5-a]pyrazine dihydrochloride</t>
  </si>
  <si>
    <t>PK0-58281</t>
  </si>
  <si>
    <t>1-(2-Fluorophenyl)-1H-pyrazole-5-carboxylic acid</t>
  </si>
  <si>
    <t>PK0-58291</t>
  </si>
  <si>
    <t>1-(3-Fluorophenyl)-1H-pyrazole-5-carboxylic acid</t>
  </si>
  <si>
    <t>PK0-58301</t>
  </si>
  <si>
    <t>1-(2-Fluorophenyl)-1H-pyrazole-3-carboxylic acid</t>
  </si>
  <si>
    <t>PK0-58341</t>
  </si>
  <si>
    <t>tert-Butyl N-{4-[(4-fluorophenyl)methyl]piperidin-4-yl}carbamate</t>
  </si>
  <si>
    <t>PK0-58351</t>
  </si>
  <si>
    <t>4-(1H-Pyrazol-1-yl)piperidine hydrochloride</t>
  </si>
  <si>
    <t>PK0-58361</t>
  </si>
  <si>
    <t>4-(4H-1,2,4-Triazol-4-yl)piperidine hydrochloride</t>
  </si>
  <si>
    <t>PK0-58371</t>
  </si>
  <si>
    <t>4-(2-Cyclopropyl-1H-imidazol-1-yl)piperidine dihydrochloride</t>
  </si>
  <si>
    <t>C11H17N3e2HCl</t>
  </si>
  <si>
    <t>PK0-58381</t>
  </si>
  <si>
    <t>3-(3-Fluorophenyl)-5H,6H,7H,8H-[1,2,4]triazolo[4,3-a]pyrazine hydrochloride</t>
  </si>
  <si>
    <t>C11H11FN4eHCl</t>
  </si>
  <si>
    <t>PK0-58391</t>
  </si>
  <si>
    <t>3-(4-Fluorophenyl)-5H,6H,7H,8H-[1,2,4]triazolo[4,3-a]pyrazine hydrochloride</t>
  </si>
  <si>
    <t>PK0-58401</t>
  </si>
  <si>
    <t>3-(2-Fluorophenyl)morpholine hydrochloride</t>
  </si>
  <si>
    <t>C10H12FNOeHCl</t>
  </si>
  <si>
    <t>PK0-58411</t>
  </si>
  <si>
    <t>3-(3-Fluorophenyl)morpholine hydrochloride</t>
  </si>
  <si>
    <t>PK0-58421</t>
  </si>
  <si>
    <t>3-(4-Fluorophenyl)morpholine hydrochloride</t>
  </si>
  <si>
    <t>PK0-58441</t>
  </si>
  <si>
    <t>2-(2-Fluorophenyl)morpholine hydrochloride</t>
  </si>
  <si>
    <t>PK0-58451</t>
  </si>
  <si>
    <t>2-(4-Fluorophenyl)morpholine hydrochloride</t>
  </si>
  <si>
    <t>PK0-58461</t>
  </si>
  <si>
    <t>Sodium 5-fluoroimidazo[1,5-a]pyridine-3-carboxylate</t>
  </si>
  <si>
    <t>C8H4FN2O2-eNa+</t>
  </si>
  <si>
    <t>PK0-58471</t>
  </si>
  <si>
    <t>Sodium 6-fluoroimidazo[1,5-a]pyridine-3-carboxylate</t>
  </si>
  <si>
    <t>PK0-58491</t>
  </si>
  <si>
    <t>1-Methyl-1H,4H,5H,6H,7H-pyrazolo[4,3-c]pyridine hydrochloride</t>
  </si>
  <si>
    <t>PK0-58501</t>
  </si>
  <si>
    <t>4-(2-Methyl-1H-imidazol-1-yl)piperidine dihydrochloride</t>
  </si>
  <si>
    <t>C9H15N3e2HCl</t>
  </si>
  <si>
    <t>PK0-58511</t>
  </si>
  <si>
    <t>4-(2-Ethyl-1H-imidazol-1-yl)piperidine dihydrochloride</t>
  </si>
  <si>
    <t>C10H17N3e2HCl</t>
  </si>
  <si>
    <t>PK0-58521</t>
  </si>
  <si>
    <t>2-(2-Fluorophenyl)-5H,6H,7H,8H-[1,2,4]triazolo[1,5-a]pyrazine hydrochloride</t>
  </si>
  <si>
    <t>PK0-58531</t>
  </si>
  <si>
    <t>2-(3-Fluorophenyl)-5H,6H,7H,8H-[1,2,4]triazolo[1,5-a]pyrazine hydrochloride</t>
  </si>
  <si>
    <t>PK0-58541</t>
  </si>
  <si>
    <t>2-(4-Fluorophenyl)-5H,6H,7H,8H-[1,2,4]triazolo[1,5-a]pyrazine hydrochloride</t>
  </si>
  <si>
    <t>PK0-58551</t>
  </si>
  <si>
    <t>2-(3-Fluorophenyl)morpholine hydrochloride</t>
  </si>
  <si>
    <t>PK0-58651</t>
  </si>
  <si>
    <t>1-(Oxan-4-yl)-1H,4H,5H,6H,7H-pyrazolo[4,3-c]pyridine hydrochloride</t>
  </si>
  <si>
    <t>C11H17N3OeHCl</t>
  </si>
  <si>
    <t>PK0-58691</t>
  </si>
  <si>
    <t>3-Phenyl-1H,4H,5H,6H,7H-pyrazolo[4,3-c]pyridine hydrochloride</t>
  </si>
  <si>
    <t>C12H13N3ûHCl</t>
  </si>
  <si>
    <t>C11H12N4û2HCl</t>
  </si>
  <si>
    <t>PK0-58711</t>
  </si>
  <si>
    <t>4-{1H,4H,5H,6H,7H-Pyrazolo[4,3-c]pyridin-3-yl}pyridine dihydrochloride</t>
  </si>
  <si>
    <t>PK0-58751</t>
  </si>
  <si>
    <t>1-Ethyl-1,4-diazepan-2-one hydrochloride</t>
  </si>
  <si>
    <t>C7H14N2OûHCl</t>
  </si>
  <si>
    <t>PK0-58761</t>
  </si>
  <si>
    <t>Sodium 8-fluoro-[1,2,4]triazolo[4,3-a]pyridine-3-carboxylate</t>
  </si>
  <si>
    <t>C7H3FN3O2ûNa</t>
  </si>
  <si>
    <t>PK0-58801</t>
  </si>
  <si>
    <t>Methyl[(2-methylpyridin-3-yl)methyl]amine dihydrochloride</t>
  </si>
  <si>
    <t>C8H12N2û2HCl</t>
  </si>
  <si>
    <t>PK0-58831</t>
  </si>
  <si>
    <t>2-{1H,4H,5H,6H,7H-Pyrazolo[4,3-c]pyridin-3-yl}pyridine dihydrochloride</t>
  </si>
  <si>
    <t>PK0-58841</t>
  </si>
  <si>
    <t>2',3'-Dihydro-1'H-spiro[piperidine-4,4'-quinolin]-2'-one hydrochloride</t>
  </si>
  <si>
    <t>C13H16N2OûHCl</t>
  </si>
  <si>
    <t>PK0-58861</t>
  </si>
  <si>
    <t>2-{1H,4H,5H,6H,7H-Pyrazolo[4,3-c]pyridin-1-yl}pyridine dihydrochloride</t>
  </si>
  <si>
    <t>C8H11FN2</t>
  </si>
  <si>
    <t>PK0-58941</t>
  </si>
  <si>
    <t>±,±,5-Trimethyl-2-pyridinemethanamine</t>
  </si>
  <si>
    <t>C9H14N2</t>
  </si>
  <si>
    <t>PK0-58961</t>
  </si>
  <si>
    <t>±,±,6-Trimethyl-2-pyridinemethanamine</t>
  </si>
  <si>
    <t>PK0-58971</t>
  </si>
  <si>
    <t>3-Fluoro-±,±-dimethyl-2-pyridinemethanamine</t>
  </si>
  <si>
    <t>PK0-58981</t>
  </si>
  <si>
    <t>Methyl[(6-methylpyridin-3-yl)methyl]amine dihydrochloride</t>
  </si>
  <si>
    <t>PK0-58991</t>
  </si>
  <si>
    <t>Methyl[(4-methylpyridin-3-yl)methyl]amine dihydrochloride</t>
  </si>
  <si>
    <t>PK0-59011</t>
  </si>
  <si>
    <t>2,2-Difluoro-1-oxa-4,9-diazaspiro[5.5]undecan-3-one hydrochloride</t>
  </si>
  <si>
    <t>C8H12F2N2O2ûHCl</t>
  </si>
  <si>
    <t>PK0-59041</t>
  </si>
  <si>
    <t>2-(3-Methylpyridin-2-yl)propan-2-amine</t>
  </si>
  <si>
    <t>PK0-59051</t>
  </si>
  <si>
    <t>2-(3-Methoxypyridin-2-yl)propan-2-amine</t>
  </si>
  <si>
    <t>PK0-59071</t>
  </si>
  <si>
    <t>4-{1H,4H,5H,6H,7H-Pyrazolo[4,3-c]pyridin-1-yl}pyridine dihydrochloride</t>
  </si>
  <si>
    <t>PK0-59121</t>
  </si>
  <si>
    <t>1-[(3-Methoxyphenyl)methyl]-5-methyl-1H-pyrazole-3-carboxylic acid</t>
  </si>
  <si>
    <t>PK0-59141</t>
  </si>
  <si>
    <t>1-[(3-Methoxyphenyl)methyl]-3-methyl-1H-pyrazole-5-carboxylic acid</t>
  </si>
  <si>
    <t>PK0-59161</t>
  </si>
  <si>
    <t>1-{Pyrazolo[1,5-a]pyrimidin-6-yl}methanamine hydrochloride</t>
  </si>
  <si>
    <t>C7H8N4ûHCl</t>
  </si>
  <si>
    <t>PK0-59171</t>
  </si>
  <si>
    <t>1-{3-Methylpyrazolo[1,5-a]pyrimidin-6-yl}methanamine hydrochloride</t>
  </si>
  <si>
    <t>C8H10N4ûHCl</t>
  </si>
  <si>
    <t>PK0-59191</t>
  </si>
  <si>
    <t>3-{1H,4H,5H,6H,7H-Pyrazolo[4,3-c]pyridin-1-yl}pyridine dihydrochloride</t>
  </si>
  <si>
    <t>PK0-59231</t>
  </si>
  <si>
    <t>5-(3-Methoxyphenyl)-1,2,4-oxadiazol-3-amine</t>
  </si>
  <si>
    <t>PK0-59241</t>
  </si>
  <si>
    <t>5-(4-Methoxyphenyl)-1,2,4-oxadiazol-3-amine</t>
  </si>
  <si>
    <t>PK0-59251</t>
  </si>
  <si>
    <t>2-[4-(2-Fluorophenyl)-1,1-dioxo-1lambda6-thian-4-yl]acetic acid</t>
  </si>
  <si>
    <t>PK0-59271</t>
  </si>
  <si>
    <t>1-[(2-Methoxyphenyl)methyl]-5-methyl-1H-pyrazole-3-carboxylic acid</t>
  </si>
  <si>
    <t>PK0-59281</t>
  </si>
  <si>
    <t>1-[(2-Methoxyphenyl)methyl]-3-methyl-1H-pyrazole-5-carboxylic acid</t>
  </si>
  <si>
    <t>PK0-59291</t>
  </si>
  <si>
    <t>5-(2-Methoxyphenyl)-1,2,4-oxadiazol-3-amine</t>
  </si>
  <si>
    <t>PK0-59301</t>
  </si>
  <si>
    <t>2-Methyl-2,8-diazaspiro[4.5]decane-1,3-dione hydrochloride</t>
  </si>
  <si>
    <t>C9H14N2O2ûHCl</t>
  </si>
  <si>
    <t>PK0-59311</t>
  </si>
  <si>
    <t>6-Cyclopropylpyrazine-2-carboxylic acid</t>
  </si>
  <si>
    <t>PK0-59321</t>
  </si>
  <si>
    <t>5-Ethyl-1-(3-fluorophenyl)-1H-pyrazole-3-carboxylic acid</t>
  </si>
  <si>
    <t>PK0-59331</t>
  </si>
  <si>
    <t>5-Ethyl-1-(4-fluorophenyl)-1H-pyrazole-3-carboxylic acid</t>
  </si>
  <si>
    <t>PK0-59341</t>
  </si>
  <si>
    <t>3-Ethyl-1-(3-fluorophenyl)-1H-pyrazole-5-carboxylic acid</t>
  </si>
  <si>
    <t>PK0-59351</t>
  </si>
  <si>
    <t>3-Ethyl-1-(4-fluorophenyl)-1H-pyrazole-5-carboxylic acid</t>
  </si>
  <si>
    <t>PK0-59381</t>
  </si>
  <si>
    <t>3-(2-Chlorophenyl)-2,2-dimethylpropan-1-amine hydrochloride</t>
  </si>
  <si>
    <t>C11H16ClNûHCl</t>
  </si>
  <si>
    <t>PK0-59391</t>
  </si>
  <si>
    <t>3-(4-Chlorophenyl)-2,2-dimethylpropan-1-amine hydrochloride</t>
  </si>
  <si>
    <t>PK0-59411</t>
  </si>
  <si>
    <t>5-Ethyl-1-(2-fluorophenyl)-1H-pyrazole-3-carboxylic acid</t>
  </si>
  <si>
    <t>PK0-59421</t>
  </si>
  <si>
    <t>3-Ethyl-1-(2-fluorophenyl)-1H-pyrazole-5-carboxylic acid</t>
  </si>
  <si>
    <t>PK0-59441</t>
  </si>
  <si>
    <t>3-(3-Chlorophenyl)-2,2-dimethylpropan-1-amine hydrochloride</t>
  </si>
  <si>
    <t>PK0-59451</t>
  </si>
  <si>
    <t>1-{4-[(2-Chlorophenyl)methyl]oxan-4-yl}methanamine hydrochloride</t>
  </si>
  <si>
    <t>C13H18ClNOûHCl</t>
  </si>
  <si>
    <t>PK0-59461</t>
  </si>
  <si>
    <t>1-{4-[(3-Chlorophenyl)methyl]oxan-4-yl}methanamine hydrochloride</t>
  </si>
  <si>
    <t>PK0-59471</t>
  </si>
  <si>
    <t>1-{4-[(4-Chlorophenyl)methyl]oxan-4-yl}methanamine hydrochloride</t>
  </si>
  <si>
    <t>PK0-59501</t>
  </si>
  <si>
    <t>2-Cyclobutyl-5-pyrimidinecarboxylic acid</t>
  </si>
  <si>
    <t>PK0-59511</t>
  </si>
  <si>
    <t>1-{2-Methylpyrazolo[1,5-a]pyrimidin-6-yl}methanamine hydrochloride</t>
  </si>
  <si>
    <t>PK0-59521</t>
  </si>
  <si>
    <t>tert-Butyl 4-(1-aminopropyl)piperidine-1-carboxylate</t>
  </si>
  <si>
    <t>PK0-59531</t>
  </si>
  <si>
    <t>1-{1-[(Pyridin-3-yl)methyl]cyclopentyl}methanamine dihydrochloride</t>
  </si>
  <si>
    <t>C12H18N2û2HCl</t>
  </si>
  <si>
    <t>PK0-59551</t>
  </si>
  <si>
    <t>1-(4-{[2-(Trifluoromethyl)phenyl]methyl}oxan-4-yl)methanamine hydrochloride</t>
  </si>
  <si>
    <t>C14H18F3NOûHCl</t>
  </si>
  <si>
    <t>PK0-59561</t>
  </si>
  <si>
    <t>3-Cyclopentyl-1H,4H,5H,6H,7H-pyrazolo[4,3-c]pyridine hydrochloride</t>
  </si>
  <si>
    <t>C11H17N3ûHCl</t>
  </si>
  <si>
    <t>PK0-59571</t>
  </si>
  <si>
    <t>3-(Oxan-4-yl)-1H,4H,5H,6H,7H-pyrazolo[4,3-c]pyridine hydrochloride</t>
  </si>
  <si>
    <t>C11H17N3OûHCl</t>
  </si>
  <si>
    <t>PK0-59611</t>
  </si>
  <si>
    <t>4-Cyclopropyl-5-pyrimidinecarboxylic acid</t>
  </si>
  <si>
    <t>PK0-59621</t>
  </si>
  <si>
    <t>6-Cyclopropyl-3-pyridazinecarboxylic acid</t>
  </si>
  <si>
    <t>PK0-59631</t>
  </si>
  <si>
    <t>1-[1-(4-Chlorophenyl)-1H-pyrazol-5-yl]methanamine hydrochloride</t>
  </si>
  <si>
    <t>C10H10ClN3ûHCl</t>
  </si>
  <si>
    <t>PK0-59641</t>
  </si>
  <si>
    <t>1-[1-(4-Methoxyphenyl)-1H-pyrazol-5-yl]methanamine hydrochloride</t>
  </si>
  <si>
    <t>C11H13N3OûHCl</t>
  </si>
  <si>
    <t>PK0-59651</t>
  </si>
  <si>
    <t>3-Cyclopentyl-1H,4H,5H,6H,7H-pyrazolo[3,4-b]pyridine hydrochloride</t>
  </si>
  <si>
    <t>PK0-59661</t>
  </si>
  <si>
    <t>3-(Oxan-4-yl)-1H,4H,5H,6H,7H-pyrazolo[3,4-b]pyridine hydrochloride</t>
  </si>
  <si>
    <t>100mg通常価格価格</t>
    <rPh sb="5" eb="7">
      <t>ツウジョウ</t>
    </rPh>
    <rPh sb="7" eb="9">
      <t>カカク</t>
    </rPh>
    <rPh sb="9" eb="11">
      <t>カカク</t>
    </rPh>
    <phoneticPr fontId="1"/>
  </si>
  <si>
    <t>キャンペーン販売価格</t>
    <rPh sb="6" eb="8">
      <t>ハンバイ</t>
    </rPh>
    <rPh sb="8" eb="10">
      <t>カカク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</si>
</sst>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¥&quot;#,##0;[Red]&quot;¥&quot;\-#,##0"/>
  </numFmts>
  <fonts count="5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indexed="81"/>
      <name val="MS P ゴシック"/>
      <family val="3"/>
      <charset val="128"/>
    </font>
    <font>
      <sz val="11"/>
      <color indexed="12"/>
      <name val="游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3">
    <xf numFmtId="0" fontId="0" fillId="0" borderId="0" xfId="0">
      <alignment vertical="center"/>
    </xf>
    <xf numFmtId="0" fontId="4" fillId="0" borderId="0" xfId="0" applyFont="1" applyAlignment="1"/>
    <xf numFmtId="6" fontId="0" fillId="0" borderId="0" xfId="0" applyNumberForma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522" Type="http://schemas.openxmlformats.org/officeDocument/2006/relationships/image" Target="../media/image1522.tmp"/><Relationship Id="rId1827" Type="http://schemas.openxmlformats.org/officeDocument/2006/relationships/image" Target="../media/image1827.tmp"/><Relationship Id="rId21" Type="http://schemas.openxmlformats.org/officeDocument/2006/relationships/image" Target="../media/image21.tmp"/><Relationship Id="rId170" Type="http://schemas.openxmlformats.org/officeDocument/2006/relationships/image" Target="../media/image170.tmp"/><Relationship Id="rId268" Type="http://schemas.openxmlformats.org/officeDocument/2006/relationships/image" Target="../media/image268.tmp"/><Relationship Id="rId475" Type="http://schemas.openxmlformats.org/officeDocument/2006/relationships/image" Target="../media/image475.tmp"/><Relationship Id="rId682" Type="http://schemas.openxmlformats.org/officeDocument/2006/relationships/image" Target="../media/image682.tmp"/><Relationship Id="rId128" Type="http://schemas.openxmlformats.org/officeDocument/2006/relationships/image" Target="../media/image128.tmp"/><Relationship Id="rId335" Type="http://schemas.openxmlformats.org/officeDocument/2006/relationships/image" Target="../media/image335.tmp"/><Relationship Id="rId542" Type="http://schemas.openxmlformats.org/officeDocument/2006/relationships/image" Target="../media/image542.tmp"/><Relationship Id="rId987" Type="http://schemas.openxmlformats.org/officeDocument/2006/relationships/image" Target="../media/image987.tmp"/><Relationship Id="rId1172" Type="http://schemas.openxmlformats.org/officeDocument/2006/relationships/image" Target="../media/image1172.tmp"/><Relationship Id="rId402" Type="http://schemas.openxmlformats.org/officeDocument/2006/relationships/image" Target="../media/image402.tmp"/><Relationship Id="rId847" Type="http://schemas.openxmlformats.org/officeDocument/2006/relationships/image" Target="../media/image847.tmp"/><Relationship Id="rId1032" Type="http://schemas.openxmlformats.org/officeDocument/2006/relationships/image" Target="../media/image1032.tmp"/><Relationship Id="rId1477" Type="http://schemas.openxmlformats.org/officeDocument/2006/relationships/image" Target="../media/image1477.tmp"/><Relationship Id="rId1684" Type="http://schemas.openxmlformats.org/officeDocument/2006/relationships/image" Target="../media/image1684.tmp"/><Relationship Id="rId1891" Type="http://schemas.openxmlformats.org/officeDocument/2006/relationships/image" Target="../media/image1891.tmp"/><Relationship Id="rId707" Type="http://schemas.openxmlformats.org/officeDocument/2006/relationships/image" Target="../media/image707.tmp"/><Relationship Id="rId914" Type="http://schemas.openxmlformats.org/officeDocument/2006/relationships/image" Target="../media/image914.tmp"/><Relationship Id="rId1337" Type="http://schemas.openxmlformats.org/officeDocument/2006/relationships/image" Target="../media/image1337.tmp"/><Relationship Id="rId1544" Type="http://schemas.openxmlformats.org/officeDocument/2006/relationships/image" Target="../media/image1544.tmp"/><Relationship Id="rId1751" Type="http://schemas.openxmlformats.org/officeDocument/2006/relationships/image" Target="../media/image1751.tmp"/><Relationship Id="rId43" Type="http://schemas.openxmlformats.org/officeDocument/2006/relationships/image" Target="../media/image43.tmp"/><Relationship Id="rId1404" Type="http://schemas.openxmlformats.org/officeDocument/2006/relationships/image" Target="../media/image1404.tmp"/><Relationship Id="rId1611" Type="http://schemas.openxmlformats.org/officeDocument/2006/relationships/image" Target="../media/image1611.tmp"/><Relationship Id="rId1849" Type="http://schemas.openxmlformats.org/officeDocument/2006/relationships/image" Target="../media/image1849.tmp"/><Relationship Id="rId192" Type="http://schemas.openxmlformats.org/officeDocument/2006/relationships/image" Target="../media/image192.tmp"/><Relationship Id="rId1709" Type="http://schemas.openxmlformats.org/officeDocument/2006/relationships/image" Target="../media/image1709.tmp"/><Relationship Id="rId1916" Type="http://schemas.openxmlformats.org/officeDocument/2006/relationships/image" Target="../media/image1916.tmp"/><Relationship Id="rId497" Type="http://schemas.openxmlformats.org/officeDocument/2006/relationships/image" Target="../media/image497.tmp"/><Relationship Id="rId357" Type="http://schemas.openxmlformats.org/officeDocument/2006/relationships/image" Target="../media/image357.tmp"/><Relationship Id="rId1194" Type="http://schemas.openxmlformats.org/officeDocument/2006/relationships/image" Target="../media/image1194.tmp"/><Relationship Id="rId217" Type="http://schemas.openxmlformats.org/officeDocument/2006/relationships/image" Target="../media/image217.tmp"/><Relationship Id="rId564" Type="http://schemas.openxmlformats.org/officeDocument/2006/relationships/image" Target="../media/image564.tmp"/><Relationship Id="rId771" Type="http://schemas.openxmlformats.org/officeDocument/2006/relationships/image" Target="../media/image771.tmp"/><Relationship Id="rId869" Type="http://schemas.openxmlformats.org/officeDocument/2006/relationships/image" Target="../media/image869.tmp"/><Relationship Id="rId1499" Type="http://schemas.openxmlformats.org/officeDocument/2006/relationships/image" Target="../media/image1499.tmp"/><Relationship Id="rId424" Type="http://schemas.openxmlformats.org/officeDocument/2006/relationships/image" Target="../media/image424.tmp"/><Relationship Id="rId631" Type="http://schemas.openxmlformats.org/officeDocument/2006/relationships/image" Target="../media/image631.tmp"/><Relationship Id="rId729" Type="http://schemas.openxmlformats.org/officeDocument/2006/relationships/image" Target="../media/image729.tmp"/><Relationship Id="rId1054" Type="http://schemas.openxmlformats.org/officeDocument/2006/relationships/image" Target="../media/image1054.tmp"/><Relationship Id="rId1261" Type="http://schemas.openxmlformats.org/officeDocument/2006/relationships/image" Target="../media/image1261.tmp"/><Relationship Id="rId1359" Type="http://schemas.openxmlformats.org/officeDocument/2006/relationships/image" Target="../media/image1359.tmp"/><Relationship Id="rId936" Type="http://schemas.openxmlformats.org/officeDocument/2006/relationships/image" Target="../media/image936.tmp"/><Relationship Id="rId1121" Type="http://schemas.openxmlformats.org/officeDocument/2006/relationships/image" Target="../media/image1121.tmp"/><Relationship Id="rId1219" Type="http://schemas.openxmlformats.org/officeDocument/2006/relationships/image" Target="../media/image1219.tmp"/><Relationship Id="rId1566" Type="http://schemas.openxmlformats.org/officeDocument/2006/relationships/image" Target="../media/image1566.tmp"/><Relationship Id="rId1773" Type="http://schemas.openxmlformats.org/officeDocument/2006/relationships/image" Target="../media/image1773.tmp"/><Relationship Id="rId65" Type="http://schemas.openxmlformats.org/officeDocument/2006/relationships/image" Target="../media/image65.tmp"/><Relationship Id="rId1426" Type="http://schemas.openxmlformats.org/officeDocument/2006/relationships/image" Target="../media/image1426.tmp"/><Relationship Id="rId1633" Type="http://schemas.openxmlformats.org/officeDocument/2006/relationships/image" Target="../media/image1633.tmp"/><Relationship Id="rId1840" Type="http://schemas.openxmlformats.org/officeDocument/2006/relationships/image" Target="../media/image1840.tmp"/><Relationship Id="rId1700" Type="http://schemas.openxmlformats.org/officeDocument/2006/relationships/image" Target="../media/image1700.tmp"/><Relationship Id="rId1938" Type="http://schemas.openxmlformats.org/officeDocument/2006/relationships/image" Target="../media/image1938.tmp"/><Relationship Id="rId281" Type="http://schemas.openxmlformats.org/officeDocument/2006/relationships/image" Target="../media/image281.tmp"/><Relationship Id="rId141" Type="http://schemas.openxmlformats.org/officeDocument/2006/relationships/image" Target="../media/image141.tmp"/><Relationship Id="rId379" Type="http://schemas.openxmlformats.org/officeDocument/2006/relationships/image" Target="../media/image379.tmp"/><Relationship Id="rId586" Type="http://schemas.openxmlformats.org/officeDocument/2006/relationships/image" Target="../media/image586.tmp"/><Relationship Id="rId793" Type="http://schemas.openxmlformats.org/officeDocument/2006/relationships/image" Target="../media/image793.tmp"/><Relationship Id="rId7" Type="http://schemas.openxmlformats.org/officeDocument/2006/relationships/image" Target="../media/image7.tmp"/><Relationship Id="rId239" Type="http://schemas.openxmlformats.org/officeDocument/2006/relationships/image" Target="../media/image239.tmp"/><Relationship Id="rId446" Type="http://schemas.openxmlformats.org/officeDocument/2006/relationships/image" Target="../media/image446.tmp"/><Relationship Id="rId653" Type="http://schemas.openxmlformats.org/officeDocument/2006/relationships/image" Target="../media/image653.tmp"/><Relationship Id="rId1076" Type="http://schemas.openxmlformats.org/officeDocument/2006/relationships/image" Target="../media/image1076.tmp"/><Relationship Id="rId1283" Type="http://schemas.openxmlformats.org/officeDocument/2006/relationships/image" Target="../media/image1283.tmp"/><Relationship Id="rId1490" Type="http://schemas.openxmlformats.org/officeDocument/2006/relationships/image" Target="../media/image1490.tmp"/><Relationship Id="rId306" Type="http://schemas.openxmlformats.org/officeDocument/2006/relationships/image" Target="../media/image306.tmp"/><Relationship Id="rId860" Type="http://schemas.openxmlformats.org/officeDocument/2006/relationships/image" Target="../media/image860.tmp"/><Relationship Id="rId958" Type="http://schemas.openxmlformats.org/officeDocument/2006/relationships/image" Target="../media/image958.tmp"/><Relationship Id="rId1143" Type="http://schemas.openxmlformats.org/officeDocument/2006/relationships/image" Target="../media/image1143.tmp"/><Relationship Id="rId1588" Type="http://schemas.openxmlformats.org/officeDocument/2006/relationships/image" Target="../media/image1588.tmp"/><Relationship Id="rId1795" Type="http://schemas.openxmlformats.org/officeDocument/2006/relationships/image" Target="../media/image1795.tmp"/><Relationship Id="rId87" Type="http://schemas.openxmlformats.org/officeDocument/2006/relationships/image" Target="../media/image87.tmp"/><Relationship Id="rId513" Type="http://schemas.openxmlformats.org/officeDocument/2006/relationships/image" Target="../media/image513.tmp"/><Relationship Id="rId720" Type="http://schemas.openxmlformats.org/officeDocument/2006/relationships/image" Target="../media/image720.tmp"/><Relationship Id="rId818" Type="http://schemas.openxmlformats.org/officeDocument/2006/relationships/image" Target="../media/image818.tmp"/><Relationship Id="rId1350" Type="http://schemas.openxmlformats.org/officeDocument/2006/relationships/image" Target="../media/image1350.tmp"/><Relationship Id="rId1448" Type="http://schemas.openxmlformats.org/officeDocument/2006/relationships/image" Target="../media/image1448.tmp"/><Relationship Id="rId1655" Type="http://schemas.openxmlformats.org/officeDocument/2006/relationships/image" Target="../media/image1655.tmp"/><Relationship Id="rId1003" Type="http://schemas.openxmlformats.org/officeDocument/2006/relationships/image" Target="../media/image1003.tmp"/><Relationship Id="rId1210" Type="http://schemas.openxmlformats.org/officeDocument/2006/relationships/image" Target="../media/image1210.tmp"/><Relationship Id="rId1308" Type="http://schemas.openxmlformats.org/officeDocument/2006/relationships/image" Target="../media/image1308.tmp"/><Relationship Id="rId1862" Type="http://schemas.openxmlformats.org/officeDocument/2006/relationships/image" Target="../media/image1862.tmp"/><Relationship Id="rId1515" Type="http://schemas.openxmlformats.org/officeDocument/2006/relationships/image" Target="../media/image1515.tmp"/><Relationship Id="rId1722" Type="http://schemas.openxmlformats.org/officeDocument/2006/relationships/image" Target="../media/image1722.tmp"/><Relationship Id="rId14" Type="http://schemas.openxmlformats.org/officeDocument/2006/relationships/image" Target="../media/image14.tmp"/><Relationship Id="rId163" Type="http://schemas.openxmlformats.org/officeDocument/2006/relationships/image" Target="../media/image163.tmp"/><Relationship Id="rId370" Type="http://schemas.openxmlformats.org/officeDocument/2006/relationships/image" Target="../media/image370.tmp"/><Relationship Id="rId230" Type="http://schemas.openxmlformats.org/officeDocument/2006/relationships/image" Target="../media/image230.tmp"/><Relationship Id="rId468" Type="http://schemas.openxmlformats.org/officeDocument/2006/relationships/image" Target="../media/image468.tmp"/><Relationship Id="rId675" Type="http://schemas.openxmlformats.org/officeDocument/2006/relationships/image" Target="../media/image675.tmp"/><Relationship Id="rId882" Type="http://schemas.openxmlformats.org/officeDocument/2006/relationships/image" Target="../media/image882.tmp"/><Relationship Id="rId1098" Type="http://schemas.openxmlformats.org/officeDocument/2006/relationships/image" Target="../media/image1098.tmp"/><Relationship Id="rId328" Type="http://schemas.openxmlformats.org/officeDocument/2006/relationships/image" Target="../media/image328.tmp"/><Relationship Id="rId535" Type="http://schemas.openxmlformats.org/officeDocument/2006/relationships/image" Target="../media/image535.tmp"/><Relationship Id="rId742" Type="http://schemas.openxmlformats.org/officeDocument/2006/relationships/image" Target="../media/image742.tmp"/><Relationship Id="rId1165" Type="http://schemas.openxmlformats.org/officeDocument/2006/relationships/image" Target="../media/image1165.tmp"/><Relationship Id="rId1372" Type="http://schemas.openxmlformats.org/officeDocument/2006/relationships/image" Target="../media/image1372.tmp"/><Relationship Id="rId602" Type="http://schemas.openxmlformats.org/officeDocument/2006/relationships/image" Target="../media/image602.tmp"/><Relationship Id="rId1025" Type="http://schemas.openxmlformats.org/officeDocument/2006/relationships/image" Target="../media/image1025.tmp"/><Relationship Id="rId1232" Type="http://schemas.openxmlformats.org/officeDocument/2006/relationships/image" Target="../media/image1232.tmp"/><Relationship Id="rId1677" Type="http://schemas.openxmlformats.org/officeDocument/2006/relationships/image" Target="../media/image1677.tmp"/><Relationship Id="rId1884" Type="http://schemas.openxmlformats.org/officeDocument/2006/relationships/image" Target="../media/image1884.tmp"/><Relationship Id="rId907" Type="http://schemas.openxmlformats.org/officeDocument/2006/relationships/image" Target="../media/image907.tmp"/><Relationship Id="rId1537" Type="http://schemas.openxmlformats.org/officeDocument/2006/relationships/image" Target="../media/image1537.tmp"/><Relationship Id="rId1744" Type="http://schemas.openxmlformats.org/officeDocument/2006/relationships/image" Target="../media/image1744.tmp"/><Relationship Id="rId1951" Type="http://schemas.openxmlformats.org/officeDocument/2006/relationships/image" Target="../media/image1951.tmp"/><Relationship Id="rId36" Type="http://schemas.openxmlformats.org/officeDocument/2006/relationships/image" Target="../media/image36.tmp"/><Relationship Id="rId1604" Type="http://schemas.openxmlformats.org/officeDocument/2006/relationships/image" Target="../media/image1604.tmp"/><Relationship Id="rId185" Type="http://schemas.openxmlformats.org/officeDocument/2006/relationships/image" Target="../media/image185.tmp"/><Relationship Id="rId1811" Type="http://schemas.openxmlformats.org/officeDocument/2006/relationships/image" Target="../media/image1811.tmp"/><Relationship Id="rId1909" Type="http://schemas.openxmlformats.org/officeDocument/2006/relationships/image" Target="../media/image1909.tmp"/><Relationship Id="rId392" Type="http://schemas.openxmlformats.org/officeDocument/2006/relationships/image" Target="../media/image392.tmp"/><Relationship Id="rId697" Type="http://schemas.openxmlformats.org/officeDocument/2006/relationships/image" Target="../media/image697.tmp"/><Relationship Id="rId252" Type="http://schemas.openxmlformats.org/officeDocument/2006/relationships/image" Target="../media/image252.tmp"/><Relationship Id="rId1187" Type="http://schemas.openxmlformats.org/officeDocument/2006/relationships/image" Target="../media/image1187.tmp"/><Relationship Id="rId112" Type="http://schemas.openxmlformats.org/officeDocument/2006/relationships/image" Target="../media/image112.tmp"/><Relationship Id="rId557" Type="http://schemas.openxmlformats.org/officeDocument/2006/relationships/image" Target="../media/image557.tmp"/><Relationship Id="rId764" Type="http://schemas.openxmlformats.org/officeDocument/2006/relationships/image" Target="../media/image764.tmp"/><Relationship Id="rId971" Type="http://schemas.openxmlformats.org/officeDocument/2006/relationships/image" Target="../media/image971.tmp"/><Relationship Id="rId1394" Type="http://schemas.openxmlformats.org/officeDocument/2006/relationships/image" Target="../media/image1394.tmp"/><Relationship Id="rId1699" Type="http://schemas.openxmlformats.org/officeDocument/2006/relationships/image" Target="../media/image1699.tmp"/><Relationship Id="rId417" Type="http://schemas.openxmlformats.org/officeDocument/2006/relationships/image" Target="../media/image417.tmp"/><Relationship Id="rId624" Type="http://schemas.openxmlformats.org/officeDocument/2006/relationships/image" Target="../media/image624.tmp"/><Relationship Id="rId831" Type="http://schemas.openxmlformats.org/officeDocument/2006/relationships/image" Target="../media/image831.tmp"/><Relationship Id="rId1047" Type="http://schemas.openxmlformats.org/officeDocument/2006/relationships/image" Target="../media/image1047.tmp"/><Relationship Id="rId1254" Type="http://schemas.openxmlformats.org/officeDocument/2006/relationships/image" Target="../media/image1254.tmp"/><Relationship Id="rId1461" Type="http://schemas.openxmlformats.org/officeDocument/2006/relationships/image" Target="../media/image1461.tmp"/><Relationship Id="rId929" Type="http://schemas.openxmlformats.org/officeDocument/2006/relationships/image" Target="../media/image929.tmp"/><Relationship Id="rId1114" Type="http://schemas.openxmlformats.org/officeDocument/2006/relationships/image" Target="../media/image1114.tmp"/><Relationship Id="rId1321" Type="http://schemas.openxmlformats.org/officeDocument/2006/relationships/image" Target="../media/image1321.tmp"/><Relationship Id="rId1559" Type="http://schemas.openxmlformats.org/officeDocument/2006/relationships/image" Target="../media/image1559.tmp"/><Relationship Id="rId1766" Type="http://schemas.openxmlformats.org/officeDocument/2006/relationships/image" Target="../media/image1766.tmp"/><Relationship Id="rId1973" Type="http://schemas.openxmlformats.org/officeDocument/2006/relationships/image" Target="../media/image1973.tmp"/><Relationship Id="rId58" Type="http://schemas.openxmlformats.org/officeDocument/2006/relationships/image" Target="../media/image58.tmp"/><Relationship Id="rId1419" Type="http://schemas.openxmlformats.org/officeDocument/2006/relationships/image" Target="../media/image1419.tmp"/><Relationship Id="rId1626" Type="http://schemas.openxmlformats.org/officeDocument/2006/relationships/image" Target="../media/image1626.tmp"/><Relationship Id="rId1833" Type="http://schemas.openxmlformats.org/officeDocument/2006/relationships/image" Target="../media/image1833.tmp"/><Relationship Id="rId1900" Type="http://schemas.openxmlformats.org/officeDocument/2006/relationships/image" Target="../media/image1900.tmp"/><Relationship Id="rId274" Type="http://schemas.openxmlformats.org/officeDocument/2006/relationships/image" Target="../media/image274.tmp"/><Relationship Id="rId481" Type="http://schemas.openxmlformats.org/officeDocument/2006/relationships/image" Target="../media/image481.tmp"/><Relationship Id="rId134" Type="http://schemas.openxmlformats.org/officeDocument/2006/relationships/image" Target="../media/image134.tmp"/><Relationship Id="rId579" Type="http://schemas.openxmlformats.org/officeDocument/2006/relationships/image" Target="../media/image579.tmp"/><Relationship Id="rId786" Type="http://schemas.openxmlformats.org/officeDocument/2006/relationships/image" Target="../media/image786.tmp"/><Relationship Id="rId993" Type="http://schemas.openxmlformats.org/officeDocument/2006/relationships/image" Target="../media/image993.tmp"/><Relationship Id="rId341" Type="http://schemas.openxmlformats.org/officeDocument/2006/relationships/image" Target="../media/image341.tmp"/><Relationship Id="rId439" Type="http://schemas.openxmlformats.org/officeDocument/2006/relationships/image" Target="../media/image439.tmp"/><Relationship Id="rId646" Type="http://schemas.openxmlformats.org/officeDocument/2006/relationships/image" Target="../media/image646.tmp"/><Relationship Id="rId1069" Type="http://schemas.openxmlformats.org/officeDocument/2006/relationships/image" Target="../media/image1069.tmp"/><Relationship Id="rId1276" Type="http://schemas.openxmlformats.org/officeDocument/2006/relationships/image" Target="../media/image1276.tmp"/><Relationship Id="rId1483" Type="http://schemas.openxmlformats.org/officeDocument/2006/relationships/image" Target="../media/image1483.tmp"/><Relationship Id="rId201" Type="http://schemas.openxmlformats.org/officeDocument/2006/relationships/image" Target="../media/image201.tmp"/><Relationship Id="rId506" Type="http://schemas.openxmlformats.org/officeDocument/2006/relationships/image" Target="../media/image506.tmp"/><Relationship Id="rId853" Type="http://schemas.openxmlformats.org/officeDocument/2006/relationships/image" Target="../media/image853.tmp"/><Relationship Id="rId1136" Type="http://schemas.openxmlformats.org/officeDocument/2006/relationships/image" Target="../media/image1136.tmp"/><Relationship Id="rId1690" Type="http://schemas.openxmlformats.org/officeDocument/2006/relationships/image" Target="../media/image1690.tmp"/><Relationship Id="rId1788" Type="http://schemas.openxmlformats.org/officeDocument/2006/relationships/image" Target="../media/image1788.tmp"/><Relationship Id="rId713" Type="http://schemas.openxmlformats.org/officeDocument/2006/relationships/image" Target="../media/image713.tmp"/><Relationship Id="rId920" Type="http://schemas.openxmlformats.org/officeDocument/2006/relationships/image" Target="../media/image920.tmp"/><Relationship Id="rId1343" Type="http://schemas.openxmlformats.org/officeDocument/2006/relationships/image" Target="../media/image1343.tmp"/><Relationship Id="rId1550" Type="http://schemas.openxmlformats.org/officeDocument/2006/relationships/image" Target="../media/image1550.tmp"/><Relationship Id="rId1648" Type="http://schemas.openxmlformats.org/officeDocument/2006/relationships/image" Target="../media/image1648.tmp"/><Relationship Id="rId1203" Type="http://schemas.openxmlformats.org/officeDocument/2006/relationships/image" Target="../media/image1203.tmp"/><Relationship Id="rId1410" Type="http://schemas.openxmlformats.org/officeDocument/2006/relationships/image" Target="../media/image1410.tmp"/><Relationship Id="rId1508" Type="http://schemas.openxmlformats.org/officeDocument/2006/relationships/image" Target="../media/image1508.tmp"/><Relationship Id="rId1855" Type="http://schemas.openxmlformats.org/officeDocument/2006/relationships/image" Target="../media/image1855.tmp"/><Relationship Id="rId1715" Type="http://schemas.openxmlformats.org/officeDocument/2006/relationships/image" Target="../media/image1715.tmp"/><Relationship Id="rId1922" Type="http://schemas.openxmlformats.org/officeDocument/2006/relationships/image" Target="../media/image1922.tmp"/><Relationship Id="rId296" Type="http://schemas.openxmlformats.org/officeDocument/2006/relationships/image" Target="../media/image296.tmp"/><Relationship Id="rId156" Type="http://schemas.openxmlformats.org/officeDocument/2006/relationships/image" Target="../media/image156.tmp"/><Relationship Id="rId363" Type="http://schemas.openxmlformats.org/officeDocument/2006/relationships/image" Target="../media/image363.tmp"/><Relationship Id="rId570" Type="http://schemas.openxmlformats.org/officeDocument/2006/relationships/image" Target="../media/image570.tmp"/><Relationship Id="rId223" Type="http://schemas.openxmlformats.org/officeDocument/2006/relationships/image" Target="../media/image223.tmp"/><Relationship Id="rId430" Type="http://schemas.openxmlformats.org/officeDocument/2006/relationships/image" Target="../media/image430.tmp"/><Relationship Id="rId668" Type="http://schemas.openxmlformats.org/officeDocument/2006/relationships/image" Target="../media/image668.tmp"/><Relationship Id="rId875" Type="http://schemas.openxmlformats.org/officeDocument/2006/relationships/image" Target="../media/image875.tmp"/><Relationship Id="rId1060" Type="http://schemas.openxmlformats.org/officeDocument/2006/relationships/image" Target="../media/image1060.tmp"/><Relationship Id="rId1298" Type="http://schemas.openxmlformats.org/officeDocument/2006/relationships/image" Target="../media/image1298.tmp"/><Relationship Id="rId528" Type="http://schemas.openxmlformats.org/officeDocument/2006/relationships/image" Target="../media/image528.tmp"/><Relationship Id="rId735" Type="http://schemas.openxmlformats.org/officeDocument/2006/relationships/image" Target="../media/image735.tmp"/><Relationship Id="rId942" Type="http://schemas.openxmlformats.org/officeDocument/2006/relationships/image" Target="../media/image942.tmp"/><Relationship Id="rId1158" Type="http://schemas.openxmlformats.org/officeDocument/2006/relationships/image" Target="../media/image1158.tmp"/><Relationship Id="rId1365" Type="http://schemas.openxmlformats.org/officeDocument/2006/relationships/image" Target="../media/image1365.tmp"/><Relationship Id="rId1572" Type="http://schemas.openxmlformats.org/officeDocument/2006/relationships/image" Target="../media/image1572.tmp"/><Relationship Id="rId1018" Type="http://schemas.openxmlformats.org/officeDocument/2006/relationships/image" Target="../media/image1018.tmp"/><Relationship Id="rId1225" Type="http://schemas.openxmlformats.org/officeDocument/2006/relationships/image" Target="../media/image1225.tmp"/><Relationship Id="rId1432" Type="http://schemas.openxmlformats.org/officeDocument/2006/relationships/image" Target="../media/image1432.tmp"/><Relationship Id="rId1877" Type="http://schemas.openxmlformats.org/officeDocument/2006/relationships/image" Target="../media/image1877.tmp"/><Relationship Id="rId71" Type="http://schemas.openxmlformats.org/officeDocument/2006/relationships/image" Target="../media/image71.tmp"/><Relationship Id="rId802" Type="http://schemas.openxmlformats.org/officeDocument/2006/relationships/image" Target="../media/image802.tmp"/><Relationship Id="rId1737" Type="http://schemas.openxmlformats.org/officeDocument/2006/relationships/image" Target="../media/image1737.tmp"/><Relationship Id="rId1944" Type="http://schemas.openxmlformats.org/officeDocument/2006/relationships/image" Target="../media/image1944.tmp"/><Relationship Id="rId29" Type="http://schemas.openxmlformats.org/officeDocument/2006/relationships/image" Target="../media/image29.tmp"/><Relationship Id="rId178" Type="http://schemas.openxmlformats.org/officeDocument/2006/relationships/image" Target="../media/image178.tmp"/><Relationship Id="rId1804" Type="http://schemas.openxmlformats.org/officeDocument/2006/relationships/image" Target="../media/image1804.tmp"/><Relationship Id="rId385" Type="http://schemas.openxmlformats.org/officeDocument/2006/relationships/image" Target="../media/image385.tmp"/><Relationship Id="rId592" Type="http://schemas.openxmlformats.org/officeDocument/2006/relationships/image" Target="../media/image592.tmp"/><Relationship Id="rId245" Type="http://schemas.openxmlformats.org/officeDocument/2006/relationships/image" Target="../media/image245.tmp"/><Relationship Id="rId452" Type="http://schemas.openxmlformats.org/officeDocument/2006/relationships/image" Target="../media/image452.tmp"/><Relationship Id="rId897" Type="http://schemas.openxmlformats.org/officeDocument/2006/relationships/image" Target="../media/image897.tmp"/><Relationship Id="rId1082" Type="http://schemas.openxmlformats.org/officeDocument/2006/relationships/image" Target="../media/image1082.tmp"/><Relationship Id="rId105" Type="http://schemas.openxmlformats.org/officeDocument/2006/relationships/image" Target="../media/image105.tmp"/><Relationship Id="rId312" Type="http://schemas.openxmlformats.org/officeDocument/2006/relationships/image" Target="../media/image312.tmp"/><Relationship Id="rId757" Type="http://schemas.openxmlformats.org/officeDocument/2006/relationships/image" Target="../media/image757.tmp"/><Relationship Id="rId964" Type="http://schemas.openxmlformats.org/officeDocument/2006/relationships/image" Target="../media/image964.tmp"/><Relationship Id="rId1387" Type="http://schemas.openxmlformats.org/officeDocument/2006/relationships/image" Target="../media/image1387.tmp"/><Relationship Id="rId1594" Type="http://schemas.openxmlformats.org/officeDocument/2006/relationships/image" Target="../media/image1594.tmp"/><Relationship Id="rId93" Type="http://schemas.openxmlformats.org/officeDocument/2006/relationships/image" Target="../media/image93.tmp"/><Relationship Id="rId617" Type="http://schemas.openxmlformats.org/officeDocument/2006/relationships/image" Target="../media/image617.tmp"/><Relationship Id="rId824" Type="http://schemas.openxmlformats.org/officeDocument/2006/relationships/image" Target="../media/image824.tmp"/><Relationship Id="rId1247" Type="http://schemas.openxmlformats.org/officeDocument/2006/relationships/image" Target="../media/image1247.tmp"/><Relationship Id="rId1454" Type="http://schemas.openxmlformats.org/officeDocument/2006/relationships/image" Target="../media/image1454.tmp"/><Relationship Id="rId1661" Type="http://schemas.openxmlformats.org/officeDocument/2006/relationships/image" Target="../media/image1661.tmp"/><Relationship Id="rId1899" Type="http://schemas.openxmlformats.org/officeDocument/2006/relationships/image" Target="../media/image1899.tmp"/><Relationship Id="rId1107" Type="http://schemas.openxmlformats.org/officeDocument/2006/relationships/image" Target="../media/image1107.tmp"/><Relationship Id="rId1314" Type="http://schemas.openxmlformats.org/officeDocument/2006/relationships/image" Target="../media/image1314.tmp"/><Relationship Id="rId1521" Type="http://schemas.openxmlformats.org/officeDocument/2006/relationships/image" Target="../media/image1521.tmp"/><Relationship Id="rId1759" Type="http://schemas.openxmlformats.org/officeDocument/2006/relationships/image" Target="../media/image1759.tmp"/><Relationship Id="rId1966" Type="http://schemas.openxmlformats.org/officeDocument/2006/relationships/image" Target="../media/image1966.tmp"/><Relationship Id="rId1619" Type="http://schemas.openxmlformats.org/officeDocument/2006/relationships/image" Target="../media/image1619.tmp"/><Relationship Id="rId1826" Type="http://schemas.openxmlformats.org/officeDocument/2006/relationships/image" Target="../media/image1826.tmp"/><Relationship Id="rId20" Type="http://schemas.openxmlformats.org/officeDocument/2006/relationships/image" Target="../media/image20.tmp"/><Relationship Id="rId267" Type="http://schemas.openxmlformats.org/officeDocument/2006/relationships/image" Target="../media/image267.tmp"/><Relationship Id="rId474" Type="http://schemas.openxmlformats.org/officeDocument/2006/relationships/image" Target="../media/image474.tmp"/><Relationship Id="rId127" Type="http://schemas.openxmlformats.org/officeDocument/2006/relationships/image" Target="../media/image127.tmp"/><Relationship Id="rId681" Type="http://schemas.openxmlformats.org/officeDocument/2006/relationships/image" Target="../media/image681.tmp"/><Relationship Id="rId779" Type="http://schemas.openxmlformats.org/officeDocument/2006/relationships/image" Target="../media/image779.tmp"/><Relationship Id="rId986" Type="http://schemas.openxmlformats.org/officeDocument/2006/relationships/image" Target="../media/image986.tmp"/><Relationship Id="rId334" Type="http://schemas.openxmlformats.org/officeDocument/2006/relationships/image" Target="../media/image334.tmp"/><Relationship Id="rId541" Type="http://schemas.openxmlformats.org/officeDocument/2006/relationships/image" Target="../media/image541.tmp"/><Relationship Id="rId639" Type="http://schemas.openxmlformats.org/officeDocument/2006/relationships/image" Target="../media/image639.tmp"/><Relationship Id="rId1171" Type="http://schemas.openxmlformats.org/officeDocument/2006/relationships/image" Target="../media/image1171.tmp"/><Relationship Id="rId1269" Type="http://schemas.openxmlformats.org/officeDocument/2006/relationships/image" Target="../media/image1269.tmp"/><Relationship Id="rId1476" Type="http://schemas.openxmlformats.org/officeDocument/2006/relationships/image" Target="../media/image1476.tmp"/><Relationship Id="rId401" Type="http://schemas.openxmlformats.org/officeDocument/2006/relationships/image" Target="../media/image401.tmp"/><Relationship Id="rId846" Type="http://schemas.openxmlformats.org/officeDocument/2006/relationships/image" Target="../media/image846.tmp"/><Relationship Id="rId1031" Type="http://schemas.openxmlformats.org/officeDocument/2006/relationships/image" Target="../media/image1031.tmp"/><Relationship Id="rId1129" Type="http://schemas.openxmlformats.org/officeDocument/2006/relationships/image" Target="../media/image1129.tmp"/><Relationship Id="rId1683" Type="http://schemas.openxmlformats.org/officeDocument/2006/relationships/image" Target="../media/image1683.tmp"/><Relationship Id="rId1890" Type="http://schemas.openxmlformats.org/officeDocument/2006/relationships/image" Target="../media/image1890.tmp"/><Relationship Id="rId706" Type="http://schemas.openxmlformats.org/officeDocument/2006/relationships/image" Target="../media/image706.tmp"/><Relationship Id="rId913" Type="http://schemas.openxmlformats.org/officeDocument/2006/relationships/image" Target="../media/image913.tmp"/><Relationship Id="rId1336" Type="http://schemas.openxmlformats.org/officeDocument/2006/relationships/image" Target="../media/image1336.tmp"/><Relationship Id="rId1543" Type="http://schemas.openxmlformats.org/officeDocument/2006/relationships/image" Target="../media/image1543.tmp"/><Relationship Id="rId1750" Type="http://schemas.openxmlformats.org/officeDocument/2006/relationships/image" Target="../media/image1750.tmp"/><Relationship Id="rId42" Type="http://schemas.openxmlformats.org/officeDocument/2006/relationships/image" Target="../media/image42.tmp"/><Relationship Id="rId1403" Type="http://schemas.openxmlformats.org/officeDocument/2006/relationships/image" Target="../media/image1403.tmp"/><Relationship Id="rId1610" Type="http://schemas.openxmlformats.org/officeDocument/2006/relationships/image" Target="../media/image1610.tmp"/><Relationship Id="rId1848" Type="http://schemas.openxmlformats.org/officeDocument/2006/relationships/image" Target="../media/image1848.tmp"/><Relationship Id="rId191" Type="http://schemas.openxmlformats.org/officeDocument/2006/relationships/image" Target="../media/image191.tmp"/><Relationship Id="rId1708" Type="http://schemas.openxmlformats.org/officeDocument/2006/relationships/image" Target="../media/image1708.tmp"/><Relationship Id="rId1915" Type="http://schemas.openxmlformats.org/officeDocument/2006/relationships/image" Target="../media/image1915.tmp"/><Relationship Id="rId289" Type="http://schemas.openxmlformats.org/officeDocument/2006/relationships/image" Target="../media/image289.tmp"/><Relationship Id="rId496" Type="http://schemas.openxmlformats.org/officeDocument/2006/relationships/image" Target="../media/image496.tmp"/><Relationship Id="rId149" Type="http://schemas.openxmlformats.org/officeDocument/2006/relationships/image" Target="../media/image149.tmp"/><Relationship Id="rId356" Type="http://schemas.openxmlformats.org/officeDocument/2006/relationships/image" Target="../media/image356.tmp"/><Relationship Id="rId563" Type="http://schemas.openxmlformats.org/officeDocument/2006/relationships/image" Target="../media/image563.tmp"/><Relationship Id="rId770" Type="http://schemas.openxmlformats.org/officeDocument/2006/relationships/image" Target="../media/image770.tmp"/><Relationship Id="rId1193" Type="http://schemas.openxmlformats.org/officeDocument/2006/relationships/image" Target="../media/image1193.tmp"/><Relationship Id="rId216" Type="http://schemas.openxmlformats.org/officeDocument/2006/relationships/image" Target="../media/image216.tmp"/><Relationship Id="rId423" Type="http://schemas.openxmlformats.org/officeDocument/2006/relationships/image" Target="../media/image423.tmp"/><Relationship Id="rId868" Type="http://schemas.openxmlformats.org/officeDocument/2006/relationships/image" Target="../media/image868.tmp"/><Relationship Id="rId1053" Type="http://schemas.openxmlformats.org/officeDocument/2006/relationships/image" Target="../media/image1053.tmp"/><Relationship Id="rId1260" Type="http://schemas.openxmlformats.org/officeDocument/2006/relationships/image" Target="../media/image1260.tmp"/><Relationship Id="rId1498" Type="http://schemas.openxmlformats.org/officeDocument/2006/relationships/image" Target="../media/image1498.tmp"/><Relationship Id="rId630" Type="http://schemas.openxmlformats.org/officeDocument/2006/relationships/image" Target="../media/image630.tmp"/><Relationship Id="rId728" Type="http://schemas.openxmlformats.org/officeDocument/2006/relationships/image" Target="../media/image728.tmp"/><Relationship Id="rId935" Type="http://schemas.openxmlformats.org/officeDocument/2006/relationships/image" Target="../media/image935.tmp"/><Relationship Id="rId1358" Type="http://schemas.openxmlformats.org/officeDocument/2006/relationships/image" Target="../media/image1358.tmp"/><Relationship Id="rId1565" Type="http://schemas.openxmlformats.org/officeDocument/2006/relationships/image" Target="../media/image1565.tmp"/><Relationship Id="rId1772" Type="http://schemas.openxmlformats.org/officeDocument/2006/relationships/image" Target="../media/image1772.tmp"/><Relationship Id="rId64" Type="http://schemas.openxmlformats.org/officeDocument/2006/relationships/image" Target="../media/image64.tmp"/><Relationship Id="rId1120" Type="http://schemas.openxmlformats.org/officeDocument/2006/relationships/image" Target="../media/image1120.tmp"/><Relationship Id="rId1218" Type="http://schemas.openxmlformats.org/officeDocument/2006/relationships/image" Target="../media/image1218.tmp"/><Relationship Id="rId1425" Type="http://schemas.openxmlformats.org/officeDocument/2006/relationships/image" Target="../media/image1425.tmp"/><Relationship Id="rId1632" Type="http://schemas.openxmlformats.org/officeDocument/2006/relationships/image" Target="../media/image1632.tmp"/><Relationship Id="rId1937" Type="http://schemas.openxmlformats.org/officeDocument/2006/relationships/image" Target="../media/image1937.tmp"/><Relationship Id="rId280" Type="http://schemas.openxmlformats.org/officeDocument/2006/relationships/image" Target="../media/image280.tmp"/><Relationship Id="rId140" Type="http://schemas.openxmlformats.org/officeDocument/2006/relationships/image" Target="../media/image140.tmp"/><Relationship Id="rId378" Type="http://schemas.openxmlformats.org/officeDocument/2006/relationships/image" Target="../media/image378.tmp"/><Relationship Id="rId585" Type="http://schemas.openxmlformats.org/officeDocument/2006/relationships/image" Target="../media/image585.tmp"/><Relationship Id="rId792" Type="http://schemas.openxmlformats.org/officeDocument/2006/relationships/image" Target="../media/image792.tmp"/><Relationship Id="rId6" Type="http://schemas.openxmlformats.org/officeDocument/2006/relationships/image" Target="../media/image6.tmp"/><Relationship Id="rId238" Type="http://schemas.openxmlformats.org/officeDocument/2006/relationships/image" Target="../media/image238.tmp"/><Relationship Id="rId445" Type="http://schemas.openxmlformats.org/officeDocument/2006/relationships/image" Target="../media/image445.tmp"/><Relationship Id="rId652" Type="http://schemas.openxmlformats.org/officeDocument/2006/relationships/image" Target="../media/image652.tmp"/><Relationship Id="rId1075" Type="http://schemas.openxmlformats.org/officeDocument/2006/relationships/image" Target="../media/image1075.tmp"/><Relationship Id="rId1282" Type="http://schemas.openxmlformats.org/officeDocument/2006/relationships/image" Target="../media/image1282.tmp"/><Relationship Id="rId305" Type="http://schemas.openxmlformats.org/officeDocument/2006/relationships/image" Target="../media/image305.tmp"/><Relationship Id="rId512" Type="http://schemas.openxmlformats.org/officeDocument/2006/relationships/image" Target="../media/image512.tmp"/><Relationship Id="rId957" Type="http://schemas.openxmlformats.org/officeDocument/2006/relationships/image" Target="../media/image957.tmp"/><Relationship Id="rId1142" Type="http://schemas.openxmlformats.org/officeDocument/2006/relationships/image" Target="../media/image1142.tmp"/><Relationship Id="rId1587" Type="http://schemas.openxmlformats.org/officeDocument/2006/relationships/image" Target="../media/image1587.tmp"/><Relationship Id="rId1794" Type="http://schemas.openxmlformats.org/officeDocument/2006/relationships/image" Target="../media/image1794.tmp"/><Relationship Id="rId86" Type="http://schemas.openxmlformats.org/officeDocument/2006/relationships/image" Target="../media/image86.tmp"/><Relationship Id="rId817" Type="http://schemas.openxmlformats.org/officeDocument/2006/relationships/image" Target="../media/image817.tmp"/><Relationship Id="rId1002" Type="http://schemas.openxmlformats.org/officeDocument/2006/relationships/image" Target="../media/image1002.tmp"/><Relationship Id="rId1447" Type="http://schemas.openxmlformats.org/officeDocument/2006/relationships/image" Target="../media/image1447.tmp"/><Relationship Id="rId1654" Type="http://schemas.openxmlformats.org/officeDocument/2006/relationships/image" Target="../media/image1654.tmp"/><Relationship Id="rId1861" Type="http://schemas.openxmlformats.org/officeDocument/2006/relationships/image" Target="../media/image1861.tmp"/><Relationship Id="rId1307" Type="http://schemas.openxmlformats.org/officeDocument/2006/relationships/image" Target="../media/image1307.tmp"/><Relationship Id="rId1514" Type="http://schemas.openxmlformats.org/officeDocument/2006/relationships/image" Target="../media/image1514.tmp"/><Relationship Id="rId1721" Type="http://schemas.openxmlformats.org/officeDocument/2006/relationships/image" Target="../media/image1721.tmp"/><Relationship Id="rId1959" Type="http://schemas.openxmlformats.org/officeDocument/2006/relationships/image" Target="../media/image1959.tmp"/><Relationship Id="rId13" Type="http://schemas.openxmlformats.org/officeDocument/2006/relationships/image" Target="../media/image13.tmp"/><Relationship Id="rId1819" Type="http://schemas.openxmlformats.org/officeDocument/2006/relationships/image" Target="../media/image1819.tmp"/><Relationship Id="rId162" Type="http://schemas.openxmlformats.org/officeDocument/2006/relationships/image" Target="../media/image162.tmp"/><Relationship Id="rId467" Type="http://schemas.openxmlformats.org/officeDocument/2006/relationships/image" Target="../media/image467.tmp"/><Relationship Id="rId1097" Type="http://schemas.openxmlformats.org/officeDocument/2006/relationships/image" Target="../media/image1097.tmp"/><Relationship Id="rId674" Type="http://schemas.openxmlformats.org/officeDocument/2006/relationships/image" Target="../media/image674.tmp"/><Relationship Id="rId881" Type="http://schemas.openxmlformats.org/officeDocument/2006/relationships/image" Target="../media/image881.tmp"/><Relationship Id="rId979" Type="http://schemas.openxmlformats.org/officeDocument/2006/relationships/image" Target="../media/image979.tmp"/><Relationship Id="rId327" Type="http://schemas.openxmlformats.org/officeDocument/2006/relationships/image" Target="../media/image327.tmp"/><Relationship Id="rId534" Type="http://schemas.openxmlformats.org/officeDocument/2006/relationships/image" Target="../media/image534.tmp"/><Relationship Id="rId741" Type="http://schemas.openxmlformats.org/officeDocument/2006/relationships/image" Target="../media/image741.tmp"/><Relationship Id="rId839" Type="http://schemas.openxmlformats.org/officeDocument/2006/relationships/image" Target="../media/image839.tmp"/><Relationship Id="rId1164" Type="http://schemas.openxmlformats.org/officeDocument/2006/relationships/image" Target="../media/image1164.tmp"/><Relationship Id="rId1371" Type="http://schemas.openxmlformats.org/officeDocument/2006/relationships/image" Target="../media/image1371.tmp"/><Relationship Id="rId1469" Type="http://schemas.openxmlformats.org/officeDocument/2006/relationships/image" Target="../media/image1469.tmp"/><Relationship Id="rId601" Type="http://schemas.openxmlformats.org/officeDocument/2006/relationships/image" Target="../media/image601.tmp"/><Relationship Id="rId1024" Type="http://schemas.openxmlformats.org/officeDocument/2006/relationships/image" Target="../media/image1024.tmp"/><Relationship Id="rId1231" Type="http://schemas.openxmlformats.org/officeDocument/2006/relationships/image" Target="../media/image1231.tmp"/><Relationship Id="rId1676" Type="http://schemas.openxmlformats.org/officeDocument/2006/relationships/image" Target="../media/image1676.tmp"/><Relationship Id="rId1883" Type="http://schemas.openxmlformats.org/officeDocument/2006/relationships/image" Target="../media/image1883.tmp"/><Relationship Id="rId906" Type="http://schemas.openxmlformats.org/officeDocument/2006/relationships/image" Target="../media/image906.tmp"/><Relationship Id="rId1329" Type="http://schemas.openxmlformats.org/officeDocument/2006/relationships/image" Target="../media/image1329.tmp"/><Relationship Id="rId1536" Type="http://schemas.openxmlformats.org/officeDocument/2006/relationships/image" Target="../media/image1536.tmp"/><Relationship Id="rId1743" Type="http://schemas.openxmlformats.org/officeDocument/2006/relationships/image" Target="../media/image1743.tmp"/><Relationship Id="rId1950" Type="http://schemas.openxmlformats.org/officeDocument/2006/relationships/image" Target="../media/image1950.tmp"/><Relationship Id="rId35" Type="http://schemas.openxmlformats.org/officeDocument/2006/relationships/image" Target="../media/image35.tmp"/><Relationship Id="rId1603" Type="http://schemas.openxmlformats.org/officeDocument/2006/relationships/image" Target="../media/image1603.tmp"/><Relationship Id="rId1810" Type="http://schemas.openxmlformats.org/officeDocument/2006/relationships/image" Target="../media/image1810.tmp"/><Relationship Id="rId184" Type="http://schemas.openxmlformats.org/officeDocument/2006/relationships/image" Target="../media/image184.tmp"/><Relationship Id="rId391" Type="http://schemas.openxmlformats.org/officeDocument/2006/relationships/image" Target="../media/image391.tmp"/><Relationship Id="rId1908" Type="http://schemas.openxmlformats.org/officeDocument/2006/relationships/image" Target="../media/image1908.tmp"/><Relationship Id="rId251" Type="http://schemas.openxmlformats.org/officeDocument/2006/relationships/image" Target="../media/image251.tmp"/><Relationship Id="rId489" Type="http://schemas.openxmlformats.org/officeDocument/2006/relationships/image" Target="../media/image489.tmp"/><Relationship Id="rId696" Type="http://schemas.openxmlformats.org/officeDocument/2006/relationships/image" Target="../media/image696.tmp"/><Relationship Id="rId349" Type="http://schemas.openxmlformats.org/officeDocument/2006/relationships/image" Target="../media/image349.tmp"/><Relationship Id="rId556" Type="http://schemas.openxmlformats.org/officeDocument/2006/relationships/image" Target="../media/image556.tmp"/><Relationship Id="rId763" Type="http://schemas.openxmlformats.org/officeDocument/2006/relationships/image" Target="../media/image763.tmp"/><Relationship Id="rId1186" Type="http://schemas.openxmlformats.org/officeDocument/2006/relationships/image" Target="../media/image1186.tmp"/><Relationship Id="rId1393" Type="http://schemas.openxmlformats.org/officeDocument/2006/relationships/image" Target="../media/image1393.tmp"/><Relationship Id="rId111" Type="http://schemas.openxmlformats.org/officeDocument/2006/relationships/image" Target="../media/image111.tmp"/><Relationship Id="rId209" Type="http://schemas.openxmlformats.org/officeDocument/2006/relationships/image" Target="../media/image209.tmp"/><Relationship Id="rId416" Type="http://schemas.openxmlformats.org/officeDocument/2006/relationships/image" Target="../media/image416.tmp"/><Relationship Id="rId970" Type="http://schemas.openxmlformats.org/officeDocument/2006/relationships/image" Target="../media/image970.tmp"/><Relationship Id="rId1046" Type="http://schemas.openxmlformats.org/officeDocument/2006/relationships/image" Target="../media/image1046.tmp"/><Relationship Id="rId1253" Type="http://schemas.openxmlformats.org/officeDocument/2006/relationships/image" Target="../media/image1253.tmp"/><Relationship Id="rId1698" Type="http://schemas.openxmlformats.org/officeDocument/2006/relationships/image" Target="../media/image1698.tmp"/><Relationship Id="rId623" Type="http://schemas.openxmlformats.org/officeDocument/2006/relationships/image" Target="../media/image623.tmp"/><Relationship Id="rId830" Type="http://schemas.openxmlformats.org/officeDocument/2006/relationships/image" Target="../media/image830.tmp"/><Relationship Id="rId928" Type="http://schemas.openxmlformats.org/officeDocument/2006/relationships/image" Target="../media/image928.tmp"/><Relationship Id="rId1460" Type="http://schemas.openxmlformats.org/officeDocument/2006/relationships/image" Target="../media/image1460.tmp"/><Relationship Id="rId1558" Type="http://schemas.openxmlformats.org/officeDocument/2006/relationships/image" Target="../media/image1558.tmp"/><Relationship Id="rId1765" Type="http://schemas.openxmlformats.org/officeDocument/2006/relationships/image" Target="../media/image1765.tmp"/><Relationship Id="rId57" Type="http://schemas.openxmlformats.org/officeDocument/2006/relationships/image" Target="../media/image57.tmp"/><Relationship Id="rId1113" Type="http://schemas.openxmlformats.org/officeDocument/2006/relationships/image" Target="../media/image1113.tmp"/><Relationship Id="rId1320" Type="http://schemas.openxmlformats.org/officeDocument/2006/relationships/image" Target="../media/image1320.tmp"/><Relationship Id="rId1418" Type="http://schemas.openxmlformats.org/officeDocument/2006/relationships/image" Target="../media/image1418.tmp"/><Relationship Id="rId1972" Type="http://schemas.openxmlformats.org/officeDocument/2006/relationships/image" Target="../media/image1972.tmp"/><Relationship Id="rId1625" Type="http://schemas.openxmlformats.org/officeDocument/2006/relationships/image" Target="../media/image1625.tmp"/><Relationship Id="rId1832" Type="http://schemas.openxmlformats.org/officeDocument/2006/relationships/image" Target="../media/image1832.tmp"/><Relationship Id="rId273" Type="http://schemas.openxmlformats.org/officeDocument/2006/relationships/image" Target="../media/image273.tmp"/><Relationship Id="rId480" Type="http://schemas.openxmlformats.org/officeDocument/2006/relationships/image" Target="../media/image480.tmp"/><Relationship Id="rId133" Type="http://schemas.openxmlformats.org/officeDocument/2006/relationships/image" Target="../media/image133.tmp"/><Relationship Id="rId340" Type="http://schemas.openxmlformats.org/officeDocument/2006/relationships/image" Target="../media/image340.tmp"/><Relationship Id="rId578" Type="http://schemas.openxmlformats.org/officeDocument/2006/relationships/image" Target="../media/image578.tmp"/><Relationship Id="rId785" Type="http://schemas.openxmlformats.org/officeDocument/2006/relationships/image" Target="../media/image785.tmp"/><Relationship Id="rId992" Type="http://schemas.openxmlformats.org/officeDocument/2006/relationships/image" Target="../media/image992.tmp"/><Relationship Id="rId200" Type="http://schemas.openxmlformats.org/officeDocument/2006/relationships/image" Target="../media/image200.tmp"/><Relationship Id="rId438" Type="http://schemas.openxmlformats.org/officeDocument/2006/relationships/image" Target="../media/image438.tmp"/><Relationship Id="rId645" Type="http://schemas.openxmlformats.org/officeDocument/2006/relationships/image" Target="../media/image645.tmp"/><Relationship Id="rId852" Type="http://schemas.openxmlformats.org/officeDocument/2006/relationships/image" Target="../media/image852.tmp"/><Relationship Id="rId1068" Type="http://schemas.openxmlformats.org/officeDocument/2006/relationships/image" Target="../media/image1068.tmp"/><Relationship Id="rId1275" Type="http://schemas.openxmlformats.org/officeDocument/2006/relationships/image" Target="../media/image1275.tmp"/><Relationship Id="rId1482" Type="http://schemas.openxmlformats.org/officeDocument/2006/relationships/image" Target="../media/image1482.tmp"/><Relationship Id="rId505" Type="http://schemas.openxmlformats.org/officeDocument/2006/relationships/image" Target="../media/image505.tmp"/><Relationship Id="rId712" Type="http://schemas.openxmlformats.org/officeDocument/2006/relationships/image" Target="../media/image712.tmp"/><Relationship Id="rId1135" Type="http://schemas.openxmlformats.org/officeDocument/2006/relationships/image" Target="../media/image1135.tmp"/><Relationship Id="rId1342" Type="http://schemas.openxmlformats.org/officeDocument/2006/relationships/image" Target="../media/image1342.tmp"/><Relationship Id="rId1787" Type="http://schemas.openxmlformats.org/officeDocument/2006/relationships/image" Target="../media/image1787.tmp"/><Relationship Id="rId79" Type="http://schemas.openxmlformats.org/officeDocument/2006/relationships/image" Target="../media/image79.tmp"/><Relationship Id="rId1202" Type="http://schemas.openxmlformats.org/officeDocument/2006/relationships/image" Target="../media/image1202.tmp"/><Relationship Id="rId1647" Type="http://schemas.openxmlformats.org/officeDocument/2006/relationships/image" Target="../media/image1647.tmp"/><Relationship Id="rId1854" Type="http://schemas.openxmlformats.org/officeDocument/2006/relationships/image" Target="../media/image1854.tmp"/><Relationship Id="rId1507" Type="http://schemas.openxmlformats.org/officeDocument/2006/relationships/image" Target="../media/image1507.tmp"/><Relationship Id="rId1714" Type="http://schemas.openxmlformats.org/officeDocument/2006/relationships/image" Target="../media/image1714.tmp"/><Relationship Id="rId295" Type="http://schemas.openxmlformats.org/officeDocument/2006/relationships/image" Target="../media/image295.tmp"/><Relationship Id="rId1921" Type="http://schemas.openxmlformats.org/officeDocument/2006/relationships/image" Target="../media/image1921.tmp"/><Relationship Id="rId155" Type="http://schemas.openxmlformats.org/officeDocument/2006/relationships/image" Target="../media/image155.tmp"/><Relationship Id="rId362" Type="http://schemas.openxmlformats.org/officeDocument/2006/relationships/image" Target="../media/image362.tmp"/><Relationship Id="rId1297" Type="http://schemas.openxmlformats.org/officeDocument/2006/relationships/image" Target="../media/image1297.tmp"/><Relationship Id="rId222" Type="http://schemas.openxmlformats.org/officeDocument/2006/relationships/image" Target="../media/image222.tmp"/><Relationship Id="rId667" Type="http://schemas.openxmlformats.org/officeDocument/2006/relationships/image" Target="../media/image667.tmp"/><Relationship Id="rId874" Type="http://schemas.openxmlformats.org/officeDocument/2006/relationships/image" Target="../media/image874.tmp"/><Relationship Id="rId527" Type="http://schemas.openxmlformats.org/officeDocument/2006/relationships/image" Target="../media/image527.tmp"/><Relationship Id="rId734" Type="http://schemas.openxmlformats.org/officeDocument/2006/relationships/image" Target="../media/image734.tmp"/><Relationship Id="rId941" Type="http://schemas.openxmlformats.org/officeDocument/2006/relationships/image" Target="../media/image941.tmp"/><Relationship Id="rId1157" Type="http://schemas.openxmlformats.org/officeDocument/2006/relationships/image" Target="../media/image1157.tmp"/><Relationship Id="rId1364" Type="http://schemas.openxmlformats.org/officeDocument/2006/relationships/image" Target="../media/image1364.tmp"/><Relationship Id="rId1571" Type="http://schemas.openxmlformats.org/officeDocument/2006/relationships/image" Target="../media/image1571.tmp"/><Relationship Id="rId70" Type="http://schemas.openxmlformats.org/officeDocument/2006/relationships/image" Target="../media/image70.tmp"/><Relationship Id="rId801" Type="http://schemas.openxmlformats.org/officeDocument/2006/relationships/image" Target="../media/image801.tmp"/><Relationship Id="rId1017" Type="http://schemas.openxmlformats.org/officeDocument/2006/relationships/image" Target="../media/image1017.tmp"/><Relationship Id="rId1224" Type="http://schemas.openxmlformats.org/officeDocument/2006/relationships/image" Target="../media/image1224.tmp"/><Relationship Id="rId1431" Type="http://schemas.openxmlformats.org/officeDocument/2006/relationships/image" Target="../media/image1431.tmp"/><Relationship Id="rId1669" Type="http://schemas.openxmlformats.org/officeDocument/2006/relationships/image" Target="../media/image1669.tmp"/><Relationship Id="rId1876" Type="http://schemas.openxmlformats.org/officeDocument/2006/relationships/image" Target="../media/image1876.tmp"/><Relationship Id="rId1529" Type="http://schemas.openxmlformats.org/officeDocument/2006/relationships/image" Target="../media/image1529.tmp"/><Relationship Id="rId1736" Type="http://schemas.openxmlformats.org/officeDocument/2006/relationships/image" Target="../media/image1736.tmp"/><Relationship Id="rId1943" Type="http://schemas.openxmlformats.org/officeDocument/2006/relationships/image" Target="../media/image1943.tmp"/><Relationship Id="rId28" Type="http://schemas.openxmlformats.org/officeDocument/2006/relationships/image" Target="../media/image28.tmp"/><Relationship Id="rId1803" Type="http://schemas.openxmlformats.org/officeDocument/2006/relationships/image" Target="../media/image1803.tmp"/><Relationship Id="rId177" Type="http://schemas.openxmlformats.org/officeDocument/2006/relationships/image" Target="../media/image177.tmp"/><Relationship Id="rId384" Type="http://schemas.openxmlformats.org/officeDocument/2006/relationships/image" Target="../media/image384.tmp"/><Relationship Id="rId591" Type="http://schemas.openxmlformats.org/officeDocument/2006/relationships/image" Target="../media/image591.tmp"/><Relationship Id="rId244" Type="http://schemas.openxmlformats.org/officeDocument/2006/relationships/image" Target="../media/image244.tmp"/><Relationship Id="rId689" Type="http://schemas.openxmlformats.org/officeDocument/2006/relationships/image" Target="../media/image689.tmp"/><Relationship Id="rId896" Type="http://schemas.openxmlformats.org/officeDocument/2006/relationships/image" Target="../media/image896.tmp"/><Relationship Id="rId1081" Type="http://schemas.openxmlformats.org/officeDocument/2006/relationships/image" Target="../media/image1081.tmp"/><Relationship Id="rId451" Type="http://schemas.openxmlformats.org/officeDocument/2006/relationships/image" Target="../media/image451.tmp"/><Relationship Id="rId549" Type="http://schemas.openxmlformats.org/officeDocument/2006/relationships/image" Target="../media/image549.tmp"/><Relationship Id="rId756" Type="http://schemas.openxmlformats.org/officeDocument/2006/relationships/image" Target="../media/image756.tmp"/><Relationship Id="rId1179" Type="http://schemas.openxmlformats.org/officeDocument/2006/relationships/image" Target="../media/image1179.tmp"/><Relationship Id="rId1386" Type="http://schemas.openxmlformats.org/officeDocument/2006/relationships/image" Target="../media/image1386.tmp"/><Relationship Id="rId1593" Type="http://schemas.openxmlformats.org/officeDocument/2006/relationships/image" Target="../media/image1593.tmp"/><Relationship Id="rId104" Type="http://schemas.openxmlformats.org/officeDocument/2006/relationships/image" Target="../media/image104.tmp"/><Relationship Id="rId311" Type="http://schemas.openxmlformats.org/officeDocument/2006/relationships/image" Target="../media/image311.tmp"/><Relationship Id="rId409" Type="http://schemas.openxmlformats.org/officeDocument/2006/relationships/image" Target="../media/image409.tmp"/><Relationship Id="rId963" Type="http://schemas.openxmlformats.org/officeDocument/2006/relationships/image" Target="../media/image963.tmp"/><Relationship Id="rId1039" Type="http://schemas.openxmlformats.org/officeDocument/2006/relationships/image" Target="../media/image1039.tmp"/><Relationship Id="rId1246" Type="http://schemas.openxmlformats.org/officeDocument/2006/relationships/image" Target="../media/image1246.tmp"/><Relationship Id="rId1898" Type="http://schemas.openxmlformats.org/officeDocument/2006/relationships/image" Target="../media/image1898.tmp"/><Relationship Id="rId92" Type="http://schemas.openxmlformats.org/officeDocument/2006/relationships/image" Target="../media/image92.tmp"/><Relationship Id="rId616" Type="http://schemas.openxmlformats.org/officeDocument/2006/relationships/image" Target="../media/image616.tmp"/><Relationship Id="rId823" Type="http://schemas.openxmlformats.org/officeDocument/2006/relationships/image" Target="../media/image823.tmp"/><Relationship Id="rId1453" Type="http://schemas.openxmlformats.org/officeDocument/2006/relationships/image" Target="../media/image1453.tmp"/><Relationship Id="rId1660" Type="http://schemas.openxmlformats.org/officeDocument/2006/relationships/image" Target="../media/image1660.tmp"/><Relationship Id="rId1758" Type="http://schemas.openxmlformats.org/officeDocument/2006/relationships/image" Target="../media/image1758.tmp"/><Relationship Id="rId1106" Type="http://schemas.openxmlformats.org/officeDocument/2006/relationships/image" Target="../media/image1106.tmp"/><Relationship Id="rId1313" Type="http://schemas.openxmlformats.org/officeDocument/2006/relationships/image" Target="../media/image1313.tmp"/><Relationship Id="rId1520" Type="http://schemas.openxmlformats.org/officeDocument/2006/relationships/image" Target="../media/image1520.tmp"/><Relationship Id="rId1965" Type="http://schemas.openxmlformats.org/officeDocument/2006/relationships/image" Target="../media/image1965.tmp"/><Relationship Id="rId1618" Type="http://schemas.openxmlformats.org/officeDocument/2006/relationships/image" Target="../media/image1618.tmp"/><Relationship Id="rId1825" Type="http://schemas.openxmlformats.org/officeDocument/2006/relationships/image" Target="../media/image1825.tmp"/><Relationship Id="rId199" Type="http://schemas.openxmlformats.org/officeDocument/2006/relationships/image" Target="../media/image199.tmp"/><Relationship Id="rId266" Type="http://schemas.openxmlformats.org/officeDocument/2006/relationships/image" Target="../media/image266.tmp"/><Relationship Id="rId473" Type="http://schemas.openxmlformats.org/officeDocument/2006/relationships/image" Target="../media/image473.tmp"/><Relationship Id="rId680" Type="http://schemas.openxmlformats.org/officeDocument/2006/relationships/image" Target="../media/image680.tmp"/><Relationship Id="rId126" Type="http://schemas.openxmlformats.org/officeDocument/2006/relationships/image" Target="../media/image126.tmp"/><Relationship Id="rId333" Type="http://schemas.openxmlformats.org/officeDocument/2006/relationships/image" Target="../media/image333.tmp"/><Relationship Id="rId540" Type="http://schemas.openxmlformats.org/officeDocument/2006/relationships/image" Target="../media/image540.tmp"/><Relationship Id="rId778" Type="http://schemas.openxmlformats.org/officeDocument/2006/relationships/image" Target="../media/image778.tmp"/><Relationship Id="rId985" Type="http://schemas.openxmlformats.org/officeDocument/2006/relationships/image" Target="../media/image985.tmp"/><Relationship Id="rId1170" Type="http://schemas.openxmlformats.org/officeDocument/2006/relationships/image" Target="../media/image1170.tmp"/><Relationship Id="rId638" Type="http://schemas.openxmlformats.org/officeDocument/2006/relationships/image" Target="../media/image638.tmp"/><Relationship Id="rId845" Type="http://schemas.openxmlformats.org/officeDocument/2006/relationships/image" Target="../media/image845.tmp"/><Relationship Id="rId1030" Type="http://schemas.openxmlformats.org/officeDocument/2006/relationships/image" Target="../media/image1030.tmp"/><Relationship Id="rId1268" Type="http://schemas.openxmlformats.org/officeDocument/2006/relationships/image" Target="../media/image1268.tmp"/><Relationship Id="rId1475" Type="http://schemas.openxmlformats.org/officeDocument/2006/relationships/image" Target="../media/image1475.tmp"/><Relationship Id="rId1682" Type="http://schemas.openxmlformats.org/officeDocument/2006/relationships/image" Target="../media/image1682.tmp"/><Relationship Id="rId400" Type="http://schemas.openxmlformats.org/officeDocument/2006/relationships/image" Target="../media/image400.tmp"/><Relationship Id="rId705" Type="http://schemas.openxmlformats.org/officeDocument/2006/relationships/image" Target="../media/image705.tmp"/><Relationship Id="rId1128" Type="http://schemas.openxmlformats.org/officeDocument/2006/relationships/image" Target="../media/image1128.tmp"/><Relationship Id="rId1335" Type="http://schemas.openxmlformats.org/officeDocument/2006/relationships/image" Target="../media/image1335.tmp"/><Relationship Id="rId1542" Type="http://schemas.openxmlformats.org/officeDocument/2006/relationships/image" Target="../media/image1542.tmp"/><Relationship Id="rId912" Type="http://schemas.openxmlformats.org/officeDocument/2006/relationships/image" Target="../media/image912.tmp"/><Relationship Id="rId1847" Type="http://schemas.openxmlformats.org/officeDocument/2006/relationships/image" Target="../media/image1847.tmp"/><Relationship Id="rId41" Type="http://schemas.openxmlformats.org/officeDocument/2006/relationships/image" Target="../media/image41.tmp"/><Relationship Id="rId1402" Type="http://schemas.openxmlformats.org/officeDocument/2006/relationships/image" Target="../media/image1402.tmp"/><Relationship Id="rId1707" Type="http://schemas.openxmlformats.org/officeDocument/2006/relationships/image" Target="../media/image1707.tmp"/><Relationship Id="rId190" Type="http://schemas.openxmlformats.org/officeDocument/2006/relationships/image" Target="../media/image190.tmp"/><Relationship Id="rId288" Type="http://schemas.openxmlformats.org/officeDocument/2006/relationships/image" Target="../media/image288.tmp"/><Relationship Id="rId1914" Type="http://schemas.openxmlformats.org/officeDocument/2006/relationships/image" Target="../media/image1914.tmp"/><Relationship Id="rId495" Type="http://schemas.openxmlformats.org/officeDocument/2006/relationships/image" Target="../media/image495.tmp"/><Relationship Id="rId148" Type="http://schemas.openxmlformats.org/officeDocument/2006/relationships/image" Target="../media/image148.tmp"/><Relationship Id="rId355" Type="http://schemas.openxmlformats.org/officeDocument/2006/relationships/image" Target="../media/image355.tmp"/><Relationship Id="rId562" Type="http://schemas.openxmlformats.org/officeDocument/2006/relationships/image" Target="../media/image562.tmp"/><Relationship Id="rId1192" Type="http://schemas.openxmlformats.org/officeDocument/2006/relationships/image" Target="../media/image1192.tmp"/><Relationship Id="rId215" Type="http://schemas.openxmlformats.org/officeDocument/2006/relationships/image" Target="../media/image215.tmp"/><Relationship Id="rId422" Type="http://schemas.openxmlformats.org/officeDocument/2006/relationships/image" Target="../media/image422.tmp"/><Relationship Id="rId867" Type="http://schemas.openxmlformats.org/officeDocument/2006/relationships/image" Target="../media/image867.tmp"/><Relationship Id="rId1052" Type="http://schemas.openxmlformats.org/officeDocument/2006/relationships/image" Target="../media/image1052.tmp"/><Relationship Id="rId1497" Type="http://schemas.openxmlformats.org/officeDocument/2006/relationships/image" Target="../media/image1497.tmp"/><Relationship Id="rId727" Type="http://schemas.openxmlformats.org/officeDocument/2006/relationships/image" Target="../media/image727.tmp"/><Relationship Id="rId934" Type="http://schemas.openxmlformats.org/officeDocument/2006/relationships/image" Target="../media/image934.tmp"/><Relationship Id="rId1357" Type="http://schemas.openxmlformats.org/officeDocument/2006/relationships/image" Target="../media/image1357.tmp"/><Relationship Id="rId1564" Type="http://schemas.openxmlformats.org/officeDocument/2006/relationships/image" Target="../media/image1564.tmp"/><Relationship Id="rId1771" Type="http://schemas.openxmlformats.org/officeDocument/2006/relationships/image" Target="../media/image1771.tmp"/><Relationship Id="rId63" Type="http://schemas.openxmlformats.org/officeDocument/2006/relationships/image" Target="../media/image63.tmp"/><Relationship Id="rId1217" Type="http://schemas.openxmlformats.org/officeDocument/2006/relationships/image" Target="../media/image1217.tmp"/><Relationship Id="rId1424" Type="http://schemas.openxmlformats.org/officeDocument/2006/relationships/image" Target="../media/image1424.tmp"/><Relationship Id="rId1631" Type="http://schemas.openxmlformats.org/officeDocument/2006/relationships/image" Target="../media/image1631.tmp"/><Relationship Id="rId1869" Type="http://schemas.openxmlformats.org/officeDocument/2006/relationships/image" Target="../media/image1869.tmp"/><Relationship Id="rId1729" Type="http://schemas.openxmlformats.org/officeDocument/2006/relationships/image" Target="../media/image1729.tmp"/><Relationship Id="rId1936" Type="http://schemas.openxmlformats.org/officeDocument/2006/relationships/image" Target="../media/image1936.tmp"/><Relationship Id="rId377" Type="http://schemas.openxmlformats.org/officeDocument/2006/relationships/image" Target="../media/image377.tmp"/><Relationship Id="rId584" Type="http://schemas.openxmlformats.org/officeDocument/2006/relationships/image" Target="../media/image584.tmp"/><Relationship Id="rId5" Type="http://schemas.openxmlformats.org/officeDocument/2006/relationships/image" Target="../media/image5.tmp"/><Relationship Id="rId237" Type="http://schemas.openxmlformats.org/officeDocument/2006/relationships/image" Target="../media/image237.tmp"/><Relationship Id="rId791" Type="http://schemas.openxmlformats.org/officeDocument/2006/relationships/image" Target="../media/image791.tmp"/><Relationship Id="rId889" Type="http://schemas.openxmlformats.org/officeDocument/2006/relationships/image" Target="../media/image889.tmp"/><Relationship Id="rId1074" Type="http://schemas.openxmlformats.org/officeDocument/2006/relationships/image" Target="../media/image1074.tmp"/><Relationship Id="rId444" Type="http://schemas.openxmlformats.org/officeDocument/2006/relationships/image" Target="../media/image444.tmp"/><Relationship Id="rId651" Type="http://schemas.openxmlformats.org/officeDocument/2006/relationships/image" Target="../media/image651.tmp"/><Relationship Id="rId749" Type="http://schemas.openxmlformats.org/officeDocument/2006/relationships/image" Target="../media/image749.tmp"/><Relationship Id="rId1281" Type="http://schemas.openxmlformats.org/officeDocument/2006/relationships/image" Target="../media/image1281.tmp"/><Relationship Id="rId1379" Type="http://schemas.openxmlformats.org/officeDocument/2006/relationships/image" Target="../media/image1379.tmp"/><Relationship Id="rId1586" Type="http://schemas.openxmlformats.org/officeDocument/2006/relationships/image" Target="../media/image1586.tmp"/><Relationship Id="rId304" Type="http://schemas.openxmlformats.org/officeDocument/2006/relationships/image" Target="../media/image304.tmp"/><Relationship Id="rId511" Type="http://schemas.openxmlformats.org/officeDocument/2006/relationships/image" Target="../media/image511.tmp"/><Relationship Id="rId609" Type="http://schemas.openxmlformats.org/officeDocument/2006/relationships/image" Target="../media/image609.tmp"/><Relationship Id="rId956" Type="http://schemas.openxmlformats.org/officeDocument/2006/relationships/image" Target="../media/image956.tmp"/><Relationship Id="rId1141" Type="http://schemas.openxmlformats.org/officeDocument/2006/relationships/image" Target="../media/image1141.tmp"/><Relationship Id="rId1239" Type="http://schemas.openxmlformats.org/officeDocument/2006/relationships/image" Target="../media/image1239.tmp"/><Relationship Id="rId1793" Type="http://schemas.openxmlformats.org/officeDocument/2006/relationships/image" Target="../media/image1793.tmp"/><Relationship Id="rId85" Type="http://schemas.openxmlformats.org/officeDocument/2006/relationships/image" Target="../media/image85.tmp"/><Relationship Id="rId816" Type="http://schemas.openxmlformats.org/officeDocument/2006/relationships/image" Target="../media/image816.tmp"/><Relationship Id="rId1001" Type="http://schemas.openxmlformats.org/officeDocument/2006/relationships/image" Target="../media/image1001.tmp"/><Relationship Id="rId1446" Type="http://schemas.openxmlformats.org/officeDocument/2006/relationships/image" Target="../media/image1446.tmp"/><Relationship Id="rId1653" Type="http://schemas.openxmlformats.org/officeDocument/2006/relationships/image" Target="../media/image1653.tmp"/><Relationship Id="rId1860" Type="http://schemas.openxmlformats.org/officeDocument/2006/relationships/image" Target="../media/image1860.tmp"/><Relationship Id="rId1306" Type="http://schemas.openxmlformats.org/officeDocument/2006/relationships/image" Target="../media/image1306.tmp"/><Relationship Id="rId1513" Type="http://schemas.openxmlformats.org/officeDocument/2006/relationships/image" Target="../media/image1513.tmp"/><Relationship Id="rId1720" Type="http://schemas.openxmlformats.org/officeDocument/2006/relationships/image" Target="../media/image1720.tmp"/><Relationship Id="rId1958" Type="http://schemas.openxmlformats.org/officeDocument/2006/relationships/image" Target="../media/image1958.tmp"/><Relationship Id="rId12" Type="http://schemas.openxmlformats.org/officeDocument/2006/relationships/image" Target="../media/image12.tmp"/><Relationship Id="rId1818" Type="http://schemas.openxmlformats.org/officeDocument/2006/relationships/image" Target="../media/image1818.tmp"/><Relationship Id="rId161" Type="http://schemas.openxmlformats.org/officeDocument/2006/relationships/image" Target="../media/image161.tmp"/><Relationship Id="rId399" Type="http://schemas.openxmlformats.org/officeDocument/2006/relationships/image" Target="../media/image399.tmp"/><Relationship Id="rId259" Type="http://schemas.openxmlformats.org/officeDocument/2006/relationships/image" Target="../media/image259.tmp"/><Relationship Id="rId466" Type="http://schemas.openxmlformats.org/officeDocument/2006/relationships/image" Target="../media/image466.tmp"/><Relationship Id="rId673" Type="http://schemas.openxmlformats.org/officeDocument/2006/relationships/image" Target="../media/image673.tmp"/><Relationship Id="rId880" Type="http://schemas.openxmlformats.org/officeDocument/2006/relationships/image" Target="../media/image880.tmp"/><Relationship Id="rId1096" Type="http://schemas.openxmlformats.org/officeDocument/2006/relationships/image" Target="../media/image1096.tmp"/><Relationship Id="rId119" Type="http://schemas.openxmlformats.org/officeDocument/2006/relationships/image" Target="../media/image119.tmp"/><Relationship Id="rId326" Type="http://schemas.openxmlformats.org/officeDocument/2006/relationships/image" Target="../media/image326.tmp"/><Relationship Id="rId533" Type="http://schemas.openxmlformats.org/officeDocument/2006/relationships/image" Target="../media/image533.tmp"/><Relationship Id="rId978" Type="http://schemas.openxmlformats.org/officeDocument/2006/relationships/image" Target="../media/image978.tmp"/><Relationship Id="rId1163" Type="http://schemas.openxmlformats.org/officeDocument/2006/relationships/image" Target="../media/image1163.tmp"/><Relationship Id="rId1370" Type="http://schemas.openxmlformats.org/officeDocument/2006/relationships/image" Target="../media/image1370.tmp"/><Relationship Id="rId740" Type="http://schemas.openxmlformats.org/officeDocument/2006/relationships/image" Target="../media/image740.tmp"/><Relationship Id="rId838" Type="http://schemas.openxmlformats.org/officeDocument/2006/relationships/image" Target="../media/image838.tmp"/><Relationship Id="rId1023" Type="http://schemas.openxmlformats.org/officeDocument/2006/relationships/image" Target="../media/image1023.tmp"/><Relationship Id="rId1468" Type="http://schemas.openxmlformats.org/officeDocument/2006/relationships/image" Target="../media/image1468.tmp"/><Relationship Id="rId1675" Type="http://schemas.openxmlformats.org/officeDocument/2006/relationships/image" Target="../media/image1675.tmp"/><Relationship Id="rId1882" Type="http://schemas.openxmlformats.org/officeDocument/2006/relationships/image" Target="../media/image1882.tmp"/><Relationship Id="rId600" Type="http://schemas.openxmlformats.org/officeDocument/2006/relationships/image" Target="../media/image600.tmp"/><Relationship Id="rId1230" Type="http://schemas.openxmlformats.org/officeDocument/2006/relationships/image" Target="../media/image1230.tmp"/><Relationship Id="rId1328" Type="http://schemas.openxmlformats.org/officeDocument/2006/relationships/image" Target="../media/image1328.tmp"/><Relationship Id="rId1535" Type="http://schemas.openxmlformats.org/officeDocument/2006/relationships/image" Target="../media/image1535.tmp"/><Relationship Id="rId905" Type="http://schemas.openxmlformats.org/officeDocument/2006/relationships/image" Target="../media/image905.tmp"/><Relationship Id="rId1742" Type="http://schemas.openxmlformats.org/officeDocument/2006/relationships/image" Target="../media/image1742.tmp"/><Relationship Id="rId34" Type="http://schemas.openxmlformats.org/officeDocument/2006/relationships/image" Target="../media/image34.tmp"/><Relationship Id="rId1602" Type="http://schemas.openxmlformats.org/officeDocument/2006/relationships/image" Target="../media/image1602.tmp"/><Relationship Id="rId183" Type="http://schemas.openxmlformats.org/officeDocument/2006/relationships/image" Target="../media/image183.tmp"/><Relationship Id="rId390" Type="http://schemas.openxmlformats.org/officeDocument/2006/relationships/image" Target="../media/image390.tmp"/><Relationship Id="rId1907" Type="http://schemas.openxmlformats.org/officeDocument/2006/relationships/image" Target="../media/image1907.tmp"/><Relationship Id="rId250" Type="http://schemas.openxmlformats.org/officeDocument/2006/relationships/image" Target="../media/image250.tmp"/><Relationship Id="rId488" Type="http://schemas.openxmlformats.org/officeDocument/2006/relationships/image" Target="../media/image488.tmp"/><Relationship Id="rId695" Type="http://schemas.openxmlformats.org/officeDocument/2006/relationships/image" Target="../media/image695.tmp"/><Relationship Id="rId110" Type="http://schemas.openxmlformats.org/officeDocument/2006/relationships/image" Target="../media/image110.tmp"/><Relationship Id="rId348" Type="http://schemas.openxmlformats.org/officeDocument/2006/relationships/image" Target="../media/image348.tmp"/><Relationship Id="rId555" Type="http://schemas.openxmlformats.org/officeDocument/2006/relationships/image" Target="../media/image555.tmp"/><Relationship Id="rId762" Type="http://schemas.openxmlformats.org/officeDocument/2006/relationships/image" Target="../media/image762.tmp"/><Relationship Id="rId1185" Type="http://schemas.openxmlformats.org/officeDocument/2006/relationships/image" Target="../media/image1185.tmp"/><Relationship Id="rId1392" Type="http://schemas.openxmlformats.org/officeDocument/2006/relationships/image" Target="../media/image1392.tmp"/><Relationship Id="rId208" Type="http://schemas.openxmlformats.org/officeDocument/2006/relationships/image" Target="../media/image208.tmp"/><Relationship Id="rId415" Type="http://schemas.openxmlformats.org/officeDocument/2006/relationships/image" Target="../media/image415.tmp"/><Relationship Id="rId622" Type="http://schemas.openxmlformats.org/officeDocument/2006/relationships/image" Target="../media/image622.tmp"/><Relationship Id="rId1045" Type="http://schemas.openxmlformats.org/officeDocument/2006/relationships/image" Target="../media/image1045.tmp"/><Relationship Id="rId1252" Type="http://schemas.openxmlformats.org/officeDocument/2006/relationships/image" Target="../media/image1252.tmp"/><Relationship Id="rId1697" Type="http://schemas.openxmlformats.org/officeDocument/2006/relationships/image" Target="../media/image1697.tmp"/><Relationship Id="rId927" Type="http://schemas.openxmlformats.org/officeDocument/2006/relationships/image" Target="../media/image927.tmp"/><Relationship Id="rId1112" Type="http://schemas.openxmlformats.org/officeDocument/2006/relationships/image" Target="../media/image1112.tmp"/><Relationship Id="rId1557" Type="http://schemas.openxmlformats.org/officeDocument/2006/relationships/image" Target="../media/image1557.tmp"/><Relationship Id="rId1764" Type="http://schemas.openxmlformats.org/officeDocument/2006/relationships/image" Target="../media/image1764.tmp"/><Relationship Id="rId1971" Type="http://schemas.openxmlformats.org/officeDocument/2006/relationships/image" Target="../media/image1971.tmp"/><Relationship Id="rId56" Type="http://schemas.openxmlformats.org/officeDocument/2006/relationships/image" Target="../media/image56.tmp"/><Relationship Id="rId1417" Type="http://schemas.openxmlformats.org/officeDocument/2006/relationships/image" Target="../media/image1417.tmp"/><Relationship Id="rId1624" Type="http://schemas.openxmlformats.org/officeDocument/2006/relationships/image" Target="../media/image1624.tmp"/><Relationship Id="rId1831" Type="http://schemas.openxmlformats.org/officeDocument/2006/relationships/image" Target="../media/image1831.tmp"/><Relationship Id="rId1929" Type="http://schemas.openxmlformats.org/officeDocument/2006/relationships/image" Target="../media/image1929.tmp"/><Relationship Id="rId272" Type="http://schemas.openxmlformats.org/officeDocument/2006/relationships/image" Target="../media/image272.tmp"/><Relationship Id="rId577" Type="http://schemas.openxmlformats.org/officeDocument/2006/relationships/image" Target="../media/image577.tmp"/><Relationship Id="rId132" Type="http://schemas.openxmlformats.org/officeDocument/2006/relationships/image" Target="../media/image132.tmp"/><Relationship Id="rId784" Type="http://schemas.openxmlformats.org/officeDocument/2006/relationships/image" Target="../media/image784.tmp"/><Relationship Id="rId991" Type="http://schemas.openxmlformats.org/officeDocument/2006/relationships/image" Target="../media/image991.tmp"/><Relationship Id="rId1067" Type="http://schemas.openxmlformats.org/officeDocument/2006/relationships/image" Target="../media/image1067.tmp"/><Relationship Id="rId437" Type="http://schemas.openxmlformats.org/officeDocument/2006/relationships/image" Target="../media/image437.tmp"/><Relationship Id="rId644" Type="http://schemas.openxmlformats.org/officeDocument/2006/relationships/image" Target="../media/image644.tmp"/><Relationship Id="rId851" Type="http://schemas.openxmlformats.org/officeDocument/2006/relationships/image" Target="../media/image851.tmp"/><Relationship Id="rId1274" Type="http://schemas.openxmlformats.org/officeDocument/2006/relationships/image" Target="../media/image1274.tmp"/><Relationship Id="rId1481" Type="http://schemas.openxmlformats.org/officeDocument/2006/relationships/image" Target="../media/image1481.tmp"/><Relationship Id="rId1579" Type="http://schemas.openxmlformats.org/officeDocument/2006/relationships/image" Target="../media/image1579.tmp"/><Relationship Id="rId504" Type="http://schemas.openxmlformats.org/officeDocument/2006/relationships/image" Target="../media/image504.tmp"/><Relationship Id="rId711" Type="http://schemas.openxmlformats.org/officeDocument/2006/relationships/image" Target="../media/image711.tmp"/><Relationship Id="rId949" Type="http://schemas.openxmlformats.org/officeDocument/2006/relationships/image" Target="../media/image949.tmp"/><Relationship Id="rId1134" Type="http://schemas.openxmlformats.org/officeDocument/2006/relationships/image" Target="../media/image1134.tmp"/><Relationship Id="rId1341" Type="http://schemas.openxmlformats.org/officeDocument/2006/relationships/image" Target="../media/image1341.tmp"/><Relationship Id="rId1786" Type="http://schemas.openxmlformats.org/officeDocument/2006/relationships/image" Target="../media/image1786.tmp"/><Relationship Id="rId78" Type="http://schemas.openxmlformats.org/officeDocument/2006/relationships/image" Target="../media/image78.tmp"/><Relationship Id="rId809" Type="http://schemas.openxmlformats.org/officeDocument/2006/relationships/image" Target="../media/image809.tmp"/><Relationship Id="rId1201" Type="http://schemas.openxmlformats.org/officeDocument/2006/relationships/image" Target="../media/image1201.tmp"/><Relationship Id="rId1439" Type="http://schemas.openxmlformats.org/officeDocument/2006/relationships/image" Target="../media/image1439.tmp"/><Relationship Id="rId1646" Type="http://schemas.openxmlformats.org/officeDocument/2006/relationships/image" Target="../media/image1646.tmp"/><Relationship Id="rId1853" Type="http://schemas.openxmlformats.org/officeDocument/2006/relationships/image" Target="../media/image1853.tmp"/><Relationship Id="rId1506" Type="http://schemas.openxmlformats.org/officeDocument/2006/relationships/image" Target="../media/image1506.tmp"/><Relationship Id="rId1713" Type="http://schemas.openxmlformats.org/officeDocument/2006/relationships/image" Target="../media/image1713.tmp"/><Relationship Id="rId1920" Type="http://schemas.openxmlformats.org/officeDocument/2006/relationships/image" Target="../media/image1920.tmp"/><Relationship Id="rId294" Type="http://schemas.openxmlformats.org/officeDocument/2006/relationships/image" Target="../media/image294.tmp"/><Relationship Id="rId154" Type="http://schemas.openxmlformats.org/officeDocument/2006/relationships/image" Target="../media/image154.tmp"/><Relationship Id="rId361" Type="http://schemas.openxmlformats.org/officeDocument/2006/relationships/image" Target="../media/image361.tmp"/><Relationship Id="rId599" Type="http://schemas.openxmlformats.org/officeDocument/2006/relationships/image" Target="../media/image599.tmp"/><Relationship Id="rId459" Type="http://schemas.openxmlformats.org/officeDocument/2006/relationships/image" Target="../media/image459.tmp"/><Relationship Id="rId666" Type="http://schemas.openxmlformats.org/officeDocument/2006/relationships/image" Target="../media/image666.tmp"/><Relationship Id="rId873" Type="http://schemas.openxmlformats.org/officeDocument/2006/relationships/image" Target="../media/image873.tmp"/><Relationship Id="rId1089" Type="http://schemas.openxmlformats.org/officeDocument/2006/relationships/image" Target="../media/image1089.tmp"/><Relationship Id="rId1296" Type="http://schemas.openxmlformats.org/officeDocument/2006/relationships/image" Target="../media/image1296.tmp"/><Relationship Id="rId221" Type="http://schemas.openxmlformats.org/officeDocument/2006/relationships/image" Target="../media/image221.tmp"/><Relationship Id="rId319" Type="http://schemas.openxmlformats.org/officeDocument/2006/relationships/image" Target="../media/image319.tmp"/><Relationship Id="rId526" Type="http://schemas.openxmlformats.org/officeDocument/2006/relationships/image" Target="../media/image526.tmp"/><Relationship Id="rId1156" Type="http://schemas.openxmlformats.org/officeDocument/2006/relationships/image" Target="../media/image1156.tmp"/><Relationship Id="rId1363" Type="http://schemas.openxmlformats.org/officeDocument/2006/relationships/image" Target="../media/image1363.tmp"/><Relationship Id="rId733" Type="http://schemas.openxmlformats.org/officeDocument/2006/relationships/image" Target="../media/image733.tmp"/><Relationship Id="rId940" Type="http://schemas.openxmlformats.org/officeDocument/2006/relationships/image" Target="../media/image940.tmp"/><Relationship Id="rId1016" Type="http://schemas.openxmlformats.org/officeDocument/2006/relationships/image" Target="../media/image1016.tmp"/><Relationship Id="rId1570" Type="http://schemas.openxmlformats.org/officeDocument/2006/relationships/image" Target="../media/image1570.tmp"/><Relationship Id="rId1668" Type="http://schemas.openxmlformats.org/officeDocument/2006/relationships/image" Target="../media/image1668.tmp"/><Relationship Id="rId1875" Type="http://schemas.openxmlformats.org/officeDocument/2006/relationships/image" Target="../media/image1875.tmp"/><Relationship Id="rId800" Type="http://schemas.openxmlformats.org/officeDocument/2006/relationships/image" Target="../media/image800.tmp"/><Relationship Id="rId1223" Type="http://schemas.openxmlformats.org/officeDocument/2006/relationships/image" Target="../media/image1223.tmp"/><Relationship Id="rId1430" Type="http://schemas.openxmlformats.org/officeDocument/2006/relationships/image" Target="../media/image1430.tmp"/><Relationship Id="rId1528" Type="http://schemas.openxmlformats.org/officeDocument/2006/relationships/image" Target="../media/image1528.tmp"/><Relationship Id="rId1735" Type="http://schemas.openxmlformats.org/officeDocument/2006/relationships/image" Target="../media/image1735.tmp"/><Relationship Id="rId1942" Type="http://schemas.openxmlformats.org/officeDocument/2006/relationships/image" Target="../media/image1942.tmp"/><Relationship Id="rId27" Type="http://schemas.openxmlformats.org/officeDocument/2006/relationships/image" Target="../media/image27.tmp"/><Relationship Id="rId1802" Type="http://schemas.openxmlformats.org/officeDocument/2006/relationships/image" Target="../media/image1802.tmp"/><Relationship Id="rId176" Type="http://schemas.openxmlformats.org/officeDocument/2006/relationships/image" Target="../media/image176.tmp"/><Relationship Id="rId383" Type="http://schemas.openxmlformats.org/officeDocument/2006/relationships/image" Target="../media/image383.tmp"/><Relationship Id="rId590" Type="http://schemas.openxmlformats.org/officeDocument/2006/relationships/image" Target="../media/image590.tmp"/><Relationship Id="rId243" Type="http://schemas.openxmlformats.org/officeDocument/2006/relationships/image" Target="../media/image243.tmp"/><Relationship Id="rId450" Type="http://schemas.openxmlformats.org/officeDocument/2006/relationships/image" Target="../media/image450.tmp"/><Relationship Id="rId688" Type="http://schemas.openxmlformats.org/officeDocument/2006/relationships/image" Target="../media/image688.tmp"/><Relationship Id="rId895" Type="http://schemas.openxmlformats.org/officeDocument/2006/relationships/image" Target="../media/image895.tmp"/><Relationship Id="rId1080" Type="http://schemas.openxmlformats.org/officeDocument/2006/relationships/image" Target="../media/image1080.tmp"/><Relationship Id="rId103" Type="http://schemas.openxmlformats.org/officeDocument/2006/relationships/image" Target="../media/image103.tmp"/><Relationship Id="rId310" Type="http://schemas.openxmlformats.org/officeDocument/2006/relationships/image" Target="../media/image310.tmp"/><Relationship Id="rId548" Type="http://schemas.openxmlformats.org/officeDocument/2006/relationships/image" Target="../media/image548.tmp"/><Relationship Id="rId755" Type="http://schemas.openxmlformats.org/officeDocument/2006/relationships/image" Target="../media/image755.tmp"/><Relationship Id="rId962" Type="http://schemas.openxmlformats.org/officeDocument/2006/relationships/image" Target="../media/image962.tmp"/><Relationship Id="rId1178" Type="http://schemas.openxmlformats.org/officeDocument/2006/relationships/image" Target="../media/image1178.tmp"/><Relationship Id="rId1385" Type="http://schemas.openxmlformats.org/officeDocument/2006/relationships/image" Target="../media/image1385.tmp"/><Relationship Id="rId1592" Type="http://schemas.openxmlformats.org/officeDocument/2006/relationships/image" Target="../media/image1592.tmp"/><Relationship Id="rId91" Type="http://schemas.openxmlformats.org/officeDocument/2006/relationships/image" Target="../media/image91.tmp"/><Relationship Id="rId408" Type="http://schemas.openxmlformats.org/officeDocument/2006/relationships/image" Target="../media/image408.tmp"/><Relationship Id="rId615" Type="http://schemas.openxmlformats.org/officeDocument/2006/relationships/image" Target="../media/image615.tmp"/><Relationship Id="rId822" Type="http://schemas.openxmlformats.org/officeDocument/2006/relationships/image" Target="../media/image822.tmp"/><Relationship Id="rId1038" Type="http://schemas.openxmlformats.org/officeDocument/2006/relationships/image" Target="../media/image1038.tmp"/><Relationship Id="rId1245" Type="http://schemas.openxmlformats.org/officeDocument/2006/relationships/image" Target="../media/image1245.tmp"/><Relationship Id="rId1452" Type="http://schemas.openxmlformats.org/officeDocument/2006/relationships/image" Target="../media/image1452.tmp"/><Relationship Id="rId1897" Type="http://schemas.openxmlformats.org/officeDocument/2006/relationships/image" Target="../media/image1897.tmp"/><Relationship Id="rId1105" Type="http://schemas.openxmlformats.org/officeDocument/2006/relationships/image" Target="../media/image1105.tmp"/><Relationship Id="rId1312" Type="http://schemas.openxmlformats.org/officeDocument/2006/relationships/image" Target="../media/image1312.tmp"/><Relationship Id="rId1757" Type="http://schemas.openxmlformats.org/officeDocument/2006/relationships/image" Target="../media/image1757.tmp"/><Relationship Id="rId1964" Type="http://schemas.openxmlformats.org/officeDocument/2006/relationships/image" Target="../media/image1964.tmp"/><Relationship Id="rId49" Type="http://schemas.openxmlformats.org/officeDocument/2006/relationships/image" Target="../media/image49.tmp"/><Relationship Id="rId1617" Type="http://schemas.openxmlformats.org/officeDocument/2006/relationships/image" Target="../media/image1617.tmp"/><Relationship Id="rId1824" Type="http://schemas.openxmlformats.org/officeDocument/2006/relationships/image" Target="../media/image1824.tmp"/><Relationship Id="rId198" Type="http://schemas.openxmlformats.org/officeDocument/2006/relationships/image" Target="../media/image198.tmp"/><Relationship Id="rId265" Type="http://schemas.openxmlformats.org/officeDocument/2006/relationships/image" Target="../media/image265.tmp"/><Relationship Id="rId472" Type="http://schemas.openxmlformats.org/officeDocument/2006/relationships/image" Target="../media/image472.tmp"/><Relationship Id="rId125" Type="http://schemas.openxmlformats.org/officeDocument/2006/relationships/image" Target="../media/image125.tmp"/><Relationship Id="rId332" Type="http://schemas.openxmlformats.org/officeDocument/2006/relationships/image" Target="../media/image332.tmp"/><Relationship Id="rId777" Type="http://schemas.openxmlformats.org/officeDocument/2006/relationships/image" Target="../media/image777.tmp"/><Relationship Id="rId984" Type="http://schemas.openxmlformats.org/officeDocument/2006/relationships/image" Target="../media/image984.tmp"/><Relationship Id="rId637" Type="http://schemas.openxmlformats.org/officeDocument/2006/relationships/image" Target="../media/image637.tmp"/><Relationship Id="rId844" Type="http://schemas.openxmlformats.org/officeDocument/2006/relationships/image" Target="../media/image844.tmp"/><Relationship Id="rId1267" Type="http://schemas.openxmlformats.org/officeDocument/2006/relationships/image" Target="../media/image1267.tmp"/><Relationship Id="rId1474" Type="http://schemas.openxmlformats.org/officeDocument/2006/relationships/image" Target="../media/image1474.tmp"/><Relationship Id="rId1681" Type="http://schemas.openxmlformats.org/officeDocument/2006/relationships/image" Target="../media/image1681.tmp"/><Relationship Id="rId704" Type="http://schemas.openxmlformats.org/officeDocument/2006/relationships/image" Target="../media/image704.tmp"/><Relationship Id="rId911" Type="http://schemas.openxmlformats.org/officeDocument/2006/relationships/image" Target="../media/image911.tmp"/><Relationship Id="rId1127" Type="http://schemas.openxmlformats.org/officeDocument/2006/relationships/image" Target="../media/image1127.tmp"/><Relationship Id="rId1334" Type="http://schemas.openxmlformats.org/officeDocument/2006/relationships/image" Target="../media/image1334.tmp"/><Relationship Id="rId1541" Type="http://schemas.openxmlformats.org/officeDocument/2006/relationships/image" Target="../media/image1541.tmp"/><Relationship Id="rId1779" Type="http://schemas.openxmlformats.org/officeDocument/2006/relationships/image" Target="../media/image1779.tmp"/><Relationship Id="rId40" Type="http://schemas.openxmlformats.org/officeDocument/2006/relationships/image" Target="../media/image40.tmp"/><Relationship Id="rId1401" Type="http://schemas.openxmlformats.org/officeDocument/2006/relationships/image" Target="../media/image1401.tmp"/><Relationship Id="rId1639" Type="http://schemas.openxmlformats.org/officeDocument/2006/relationships/image" Target="../media/image1639.tmp"/><Relationship Id="rId1846" Type="http://schemas.openxmlformats.org/officeDocument/2006/relationships/image" Target="../media/image1846.tmp"/><Relationship Id="rId1706" Type="http://schemas.openxmlformats.org/officeDocument/2006/relationships/image" Target="../media/image1706.tmp"/><Relationship Id="rId1913" Type="http://schemas.openxmlformats.org/officeDocument/2006/relationships/image" Target="../media/image1913.tmp"/><Relationship Id="rId287" Type="http://schemas.openxmlformats.org/officeDocument/2006/relationships/image" Target="../media/image287.tmp"/><Relationship Id="rId494" Type="http://schemas.openxmlformats.org/officeDocument/2006/relationships/image" Target="../media/image494.tmp"/><Relationship Id="rId147" Type="http://schemas.openxmlformats.org/officeDocument/2006/relationships/image" Target="../media/image147.tmp"/><Relationship Id="rId354" Type="http://schemas.openxmlformats.org/officeDocument/2006/relationships/image" Target="../media/image354.tmp"/><Relationship Id="rId799" Type="http://schemas.openxmlformats.org/officeDocument/2006/relationships/image" Target="../media/image799.tmp"/><Relationship Id="rId1191" Type="http://schemas.openxmlformats.org/officeDocument/2006/relationships/image" Target="../media/image1191.tmp"/><Relationship Id="rId561" Type="http://schemas.openxmlformats.org/officeDocument/2006/relationships/image" Target="../media/image561.tmp"/><Relationship Id="rId659" Type="http://schemas.openxmlformats.org/officeDocument/2006/relationships/image" Target="../media/image659.tmp"/><Relationship Id="rId866" Type="http://schemas.openxmlformats.org/officeDocument/2006/relationships/image" Target="../media/image866.tmp"/><Relationship Id="rId1289" Type="http://schemas.openxmlformats.org/officeDocument/2006/relationships/image" Target="../media/image1289.tmp"/><Relationship Id="rId1496" Type="http://schemas.openxmlformats.org/officeDocument/2006/relationships/image" Target="../media/image1496.tmp"/><Relationship Id="rId214" Type="http://schemas.openxmlformats.org/officeDocument/2006/relationships/image" Target="../media/image214.tmp"/><Relationship Id="rId421" Type="http://schemas.openxmlformats.org/officeDocument/2006/relationships/image" Target="../media/image421.tmp"/><Relationship Id="rId519" Type="http://schemas.openxmlformats.org/officeDocument/2006/relationships/image" Target="../media/image519.tmp"/><Relationship Id="rId1051" Type="http://schemas.openxmlformats.org/officeDocument/2006/relationships/image" Target="../media/image1051.tmp"/><Relationship Id="rId1149" Type="http://schemas.openxmlformats.org/officeDocument/2006/relationships/image" Target="../media/image1149.tmp"/><Relationship Id="rId1356" Type="http://schemas.openxmlformats.org/officeDocument/2006/relationships/image" Target="../media/image1356.tmp"/><Relationship Id="rId726" Type="http://schemas.openxmlformats.org/officeDocument/2006/relationships/image" Target="../media/image726.tmp"/><Relationship Id="rId933" Type="http://schemas.openxmlformats.org/officeDocument/2006/relationships/image" Target="../media/image933.tmp"/><Relationship Id="rId1009" Type="http://schemas.openxmlformats.org/officeDocument/2006/relationships/image" Target="../media/image1009.tmp"/><Relationship Id="rId1563" Type="http://schemas.openxmlformats.org/officeDocument/2006/relationships/image" Target="../media/image1563.tmp"/><Relationship Id="rId1770" Type="http://schemas.openxmlformats.org/officeDocument/2006/relationships/image" Target="../media/image1770.tmp"/><Relationship Id="rId1868" Type="http://schemas.openxmlformats.org/officeDocument/2006/relationships/image" Target="../media/image1868.tmp"/><Relationship Id="rId62" Type="http://schemas.openxmlformats.org/officeDocument/2006/relationships/image" Target="../media/image62.tmp"/><Relationship Id="rId1216" Type="http://schemas.openxmlformats.org/officeDocument/2006/relationships/image" Target="../media/image1216.tmp"/><Relationship Id="rId1423" Type="http://schemas.openxmlformats.org/officeDocument/2006/relationships/image" Target="../media/image1423.tmp"/><Relationship Id="rId1630" Type="http://schemas.openxmlformats.org/officeDocument/2006/relationships/image" Target="../media/image1630.tmp"/><Relationship Id="rId1728" Type="http://schemas.openxmlformats.org/officeDocument/2006/relationships/image" Target="../media/image1728.tmp"/><Relationship Id="rId1935" Type="http://schemas.openxmlformats.org/officeDocument/2006/relationships/image" Target="../media/image1935.tmp"/><Relationship Id="rId169" Type="http://schemas.openxmlformats.org/officeDocument/2006/relationships/image" Target="../media/image169.tmp"/><Relationship Id="rId376" Type="http://schemas.openxmlformats.org/officeDocument/2006/relationships/image" Target="../media/image376.tmp"/><Relationship Id="rId583" Type="http://schemas.openxmlformats.org/officeDocument/2006/relationships/image" Target="../media/image583.tmp"/><Relationship Id="rId790" Type="http://schemas.openxmlformats.org/officeDocument/2006/relationships/image" Target="../media/image790.tmp"/><Relationship Id="rId4" Type="http://schemas.openxmlformats.org/officeDocument/2006/relationships/image" Target="../media/image4.tmp"/><Relationship Id="rId236" Type="http://schemas.openxmlformats.org/officeDocument/2006/relationships/image" Target="../media/image236.tmp"/><Relationship Id="rId443" Type="http://schemas.openxmlformats.org/officeDocument/2006/relationships/image" Target="../media/image443.tmp"/><Relationship Id="rId650" Type="http://schemas.openxmlformats.org/officeDocument/2006/relationships/image" Target="../media/image650.tmp"/><Relationship Id="rId888" Type="http://schemas.openxmlformats.org/officeDocument/2006/relationships/image" Target="../media/image888.tmp"/><Relationship Id="rId1073" Type="http://schemas.openxmlformats.org/officeDocument/2006/relationships/image" Target="../media/image1073.tmp"/><Relationship Id="rId1280" Type="http://schemas.openxmlformats.org/officeDocument/2006/relationships/image" Target="../media/image1280.tmp"/><Relationship Id="rId303" Type="http://schemas.openxmlformats.org/officeDocument/2006/relationships/image" Target="../media/image303.tmp"/><Relationship Id="rId748" Type="http://schemas.openxmlformats.org/officeDocument/2006/relationships/image" Target="../media/image748.tmp"/><Relationship Id="rId955" Type="http://schemas.openxmlformats.org/officeDocument/2006/relationships/image" Target="../media/image955.tmp"/><Relationship Id="rId1140" Type="http://schemas.openxmlformats.org/officeDocument/2006/relationships/image" Target="../media/image1140.tmp"/><Relationship Id="rId1378" Type="http://schemas.openxmlformats.org/officeDocument/2006/relationships/image" Target="../media/image1378.tmp"/><Relationship Id="rId1585" Type="http://schemas.openxmlformats.org/officeDocument/2006/relationships/image" Target="../media/image1585.tmp"/><Relationship Id="rId1792" Type="http://schemas.openxmlformats.org/officeDocument/2006/relationships/image" Target="../media/image1792.tmp"/><Relationship Id="rId84" Type="http://schemas.openxmlformats.org/officeDocument/2006/relationships/image" Target="../media/image84.tmp"/><Relationship Id="rId510" Type="http://schemas.openxmlformats.org/officeDocument/2006/relationships/image" Target="../media/image510.tmp"/><Relationship Id="rId608" Type="http://schemas.openxmlformats.org/officeDocument/2006/relationships/image" Target="../media/image608.tmp"/><Relationship Id="rId815" Type="http://schemas.openxmlformats.org/officeDocument/2006/relationships/image" Target="../media/image815.tmp"/><Relationship Id="rId1238" Type="http://schemas.openxmlformats.org/officeDocument/2006/relationships/image" Target="../media/image1238.tmp"/><Relationship Id="rId1445" Type="http://schemas.openxmlformats.org/officeDocument/2006/relationships/image" Target="../media/image1445.tmp"/><Relationship Id="rId1652" Type="http://schemas.openxmlformats.org/officeDocument/2006/relationships/image" Target="../media/image1652.tmp"/><Relationship Id="rId1000" Type="http://schemas.openxmlformats.org/officeDocument/2006/relationships/image" Target="../media/image1000.tmp"/><Relationship Id="rId1305" Type="http://schemas.openxmlformats.org/officeDocument/2006/relationships/image" Target="../media/image1305.tmp"/><Relationship Id="rId1957" Type="http://schemas.openxmlformats.org/officeDocument/2006/relationships/image" Target="../media/image1957.tmp"/><Relationship Id="rId1512" Type="http://schemas.openxmlformats.org/officeDocument/2006/relationships/image" Target="../media/image1512.tmp"/><Relationship Id="rId1817" Type="http://schemas.openxmlformats.org/officeDocument/2006/relationships/image" Target="../media/image1817.tmp"/><Relationship Id="rId11" Type="http://schemas.openxmlformats.org/officeDocument/2006/relationships/image" Target="../media/image11.tmp"/><Relationship Id="rId398" Type="http://schemas.openxmlformats.org/officeDocument/2006/relationships/image" Target="../media/image398.tmp"/><Relationship Id="rId160" Type="http://schemas.openxmlformats.org/officeDocument/2006/relationships/image" Target="../media/image160.tmp"/><Relationship Id="rId258" Type="http://schemas.openxmlformats.org/officeDocument/2006/relationships/image" Target="../media/image258.tmp"/><Relationship Id="rId465" Type="http://schemas.openxmlformats.org/officeDocument/2006/relationships/image" Target="../media/image465.tmp"/><Relationship Id="rId672" Type="http://schemas.openxmlformats.org/officeDocument/2006/relationships/image" Target="../media/image672.tmp"/><Relationship Id="rId1095" Type="http://schemas.openxmlformats.org/officeDocument/2006/relationships/image" Target="../media/image1095.tmp"/><Relationship Id="rId118" Type="http://schemas.openxmlformats.org/officeDocument/2006/relationships/image" Target="../media/image118.tmp"/><Relationship Id="rId325" Type="http://schemas.openxmlformats.org/officeDocument/2006/relationships/image" Target="../media/image325.tmp"/><Relationship Id="rId532" Type="http://schemas.openxmlformats.org/officeDocument/2006/relationships/image" Target="../media/image532.tmp"/><Relationship Id="rId977" Type="http://schemas.openxmlformats.org/officeDocument/2006/relationships/image" Target="../media/image977.tmp"/><Relationship Id="rId1162" Type="http://schemas.openxmlformats.org/officeDocument/2006/relationships/image" Target="../media/image1162.tmp"/><Relationship Id="rId837" Type="http://schemas.openxmlformats.org/officeDocument/2006/relationships/image" Target="../media/image837.tmp"/><Relationship Id="rId1022" Type="http://schemas.openxmlformats.org/officeDocument/2006/relationships/image" Target="../media/image1022.tmp"/><Relationship Id="rId1467" Type="http://schemas.openxmlformats.org/officeDocument/2006/relationships/image" Target="../media/image1467.tmp"/><Relationship Id="rId1674" Type="http://schemas.openxmlformats.org/officeDocument/2006/relationships/image" Target="../media/image1674.tmp"/><Relationship Id="rId1881" Type="http://schemas.openxmlformats.org/officeDocument/2006/relationships/image" Target="../media/image1881.tmp"/><Relationship Id="rId904" Type="http://schemas.openxmlformats.org/officeDocument/2006/relationships/image" Target="../media/image904.tmp"/><Relationship Id="rId1327" Type="http://schemas.openxmlformats.org/officeDocument/2006/relationships/image" Target="../media/image1327.tmp"/><Relationship Id="rId1534" Type="http://schemas.openxmlformats.org/officeDocument/2006/relationships/image" Target="../media/image1534.tmp"/><Relationship Id="rId1741" Type="http://schemas.openxmlformats.org/officeDocument/2006/relationships/image" Target="../media/image1741.tmp"/><Relationship Id="rId33" Type="http://schemas.openxmlformats.org/officeDocument/2006/relationships/image" Target="../media/image33.tmp"/><Relationship Id="rId1601" Type="http://schemas.openxmlformats.org/officeDocument/2006/relationships/image" Target="../media/image1601.tmp"/><Relationship Id="rId1839" Type="http://schemas.openxmlformats.org/officeDocument/2006/relationships/image" Target="../media/image1839.tmp"/><Relationship Id="rId182" Type="http://schemas.openxmlformats.org/officeDocument/2006/relationships/image" Target="../media/image182.tmp"/><Relationship Id="rId1906" Type="http://schemas.openxmlformats.org/officeDocument/2006/relationships/image" Target="../media/image1906.tmp"/><Relationship Id="rId487" Type="http://schemas.openxmlformats.org/officeDocument/2006/relationships/image" Target="../media/image487.tmp"/><Relationship Id="rId694" Type="http://schemas.openxmlformats.org/officeDocument/2006/relationships/image" Target="../media/image694.tmp"/><Relationship Id="rId347" Type="http://schemas.openxmlformats.org/officeDocument/2006/relationships/image" Target="../media/image347.tmp"/><Relationship Id="rId999" Type="http://schemas.openxmlformats.org/officeDocument/2006/relationships/image" Target="../media/image999.tmp"/><Relationship Id="rId1184" Type="http://schemas.openxmlformats.org/officeDocument/2006/relationships/image" Target="../media/image1184.tmp"/><Relationship Id="rId554" Type="http://schemas.openxmlformats.org/officeDocument/2006/relationships/image" Target="../media/image554.tmp"/><Relationship Id="rId761" Type="http://schemas.openxmlformats.org/officeDocument/2006/relationships/image" Target="../media/image761.tmp"/><Relationship Id="rId859" Type="http://schemas.openxmlformats.org/officeDocument/2006/relationships/image" Target="../media/image859.tmp"/><Relationship Id="rId1391" Type="http://schemas.openxmlformats.org/officeDocument/2006/relationships/image" Target="../media/image1391.tmp"/><Relationship Id="rId1489" Type="http://schemas.openxmlformats.org/officeDocument/2006/relationships/image" Target="../media/image1489.tmp"/><Relationship Id="rId1696" Type="http://schemas.openxmlformats.org/officeDocument/2006/relationships/image" Target="../media/image1696.tmp"/><Relationship Id="rId207" Type="http://schemas.openxmlformats.org/officeDocument/2006/relationships/image" Target="../media/image207.tmp"/><Relationship Id="rId414" Type="http://schemas.openxmlformats.org/officeDocument/2006/relationships/image" Target="../media/image414.tmp"/><Relationship Id="rId621" Type="http://schemas.openxmlformats.org/officeDocument/2006/relationships/image" Target="../media/image621.tmp"/><Relationship Id="rId1044" Type="http://schemas.openxmlformats.org/officeDocument/2006/relationships/image" Target="../media/image1044.tmp"/><Relationship Id="rId1251" Type="http://schemas.openxmlformats.org/officeDocument/2006/relationships/image" Target="../media/image1251.tmp"/><Relationship Id="rId1349" Type="http://schemas.openxmlformats.org/officeDocument/2006/relationships/image" Target="../media/image1349.tmp"/><Relationship Id="rId719" Type="http://schemas.openxmlformats.org/officeDocument/2006/relationships/image" Target="../media/image719.tmp"/><Relationship Id="rId926" Type="http://schemas.openxmlformats.org/officeDocument/2006/relationships/image" Target="../media/image926.tmp"/><Relationship Id="rId1111" Type="http://schemas.openxmlformats.org/officeDocument/2006/relationships/image" Target="../media/image1111.tmp"/><Relationship Id="rId1556" Type="http://schemas.openxmlformats.org/officeDocument/2006/relationships/image" Target="../media/image1556.tmp"/><Relationship Id="rId1763" Type="http://schemas.openxmlformats.org/officeDocument/2006/relationships/image" Target="../media/image1763.tmp"/><Relationship Id="rId1970" Type="http://schemas.openxmlformats.org/officeDocument/2006/relationships/image" Target="../media/image1970.tmp"/><Relationship Id="rId55" Type="http://schemas.openxmlformats.org/officeDocument/2006/relationships/image" Target="../media/image55.tmp"/><Relationship Id="rId1209" Type="http://schemas.openxmlformats.org/officeDocument/2006/relationships/image" Target="../media/image1209.tmp"/><Relationship Id="rId1416" Type="http://schemas.openxmlformats.org/officeDocument/2006/relationships/image" Target="../media/image1416.tmp"/><Relationship Id="rId1623" Type="http://schemas.openxmlformats.org/officeDocument/2006/relationships/image" Target="../media/image1623.tmp"/><Relationship Id="rId1830" Type="http://schemas.openxmlformats.org/officeDocument/2006/relationships/image" Target="../media/image1830.tmp"/><Relationship Id="rId1928" Type="http://schemas.openxmlformats.org/officeDocument/2006/relationships/image" Target="../media/image1928.tmp"/><Relationship Id="rId271" Type="http://schemas.openxmlformats.org/officeDocument/2006/relationships/image" Target="../media/image271.tmp"/><Relationship Id="rId131" Type="http://schemas.openxmlformats.org/officeDocument/2006/relationships/image" Target="../media/image131.tmp"/><Relationship Id="rId369" Type="http://schemas.openxmlformats.org/officeDocument/2006/relationships/image" Target="../media/image369.tmp"/><Relationship Id="rId576" Type="http://schemas.openxmlformats.org/officeDocument/2006/relationships/image" Target="../media/image576.tmp"/><Relationship Id="rId783" Type="http://schemas.openxmlformats.org/officeDocument/2006/relationships/image" Target="../media/image783.tmp"/><Relationship Id="rId990" Type="http://schemas.openxmlformats.org/officeDocument/2006/relationships/image" Target="../media/image990.tmp"/><Relationship Id="rId229" Type="http://schemas.openxmlformats.org/officeDocument/2006/relationships/image" Target="../media/image229.tmp"/><Relationship Id="rId436" Type="http://schemas.openxmlformats.org/officeDocument/2006/relationships/image" Target="../media/image436.tmp"/><Relationship Id="rId643" Type="http://schemas.openxmlformats.org/officeDocument/2006/relationships/image" Target="../media/image643.tmp"/><Relationship Id="rId1066" Type="http://schemas.openxmlformats.org/officeDocument/2006/relationships/image" Target="../media/image1066.tmp"/><Relationship Id="rId1273" Type="http://schemas.openxmlformats.org/officeDocument/2006/relationships/image" Target="../media/image1273.tmp"/><Relationship Id="rId1480" Type="http://schemas.openxmlformats.org/officeDocument/2006/relationships/image" Target="../media/image1480.tmp"/><Relationship Id="rId850" Type="http://schemas.openxmlformats.org/officeDocument/2006/relationships/image" Target="../media/image850.tmp"/><Relationship Id="rId948" Type="http://schemas.openxmlformats.org/officeDocument/2006/relationships/image" Target="../media/image948.tmp"/><Relationship Id="rId1133" Type="http://schemas.openxmlformats.org/officeDocument/2006/relationships/image" Target="../media/image1133.tmp"/><Relationship Id="rId1578" Type="http://schemas.openxmlformats.org/officeDocument/2006/relationships/image" Target="../media/image1578.tmp"/><Relationship Id="rId1785" Type="http://schemas.openxmlformats.org/officeDocument/2006/relationships/image" Target="../media/image1785.tmp"/><Relationship Id="rId77" Type="http://schemas.openxmlformats.org/officeDocument/2006/relationships/image" Target="../media/image77.tmp"/><Relationship Id="rId503" Type="http://schemas.openxmlformats.org/officeDocument/2006/relationships/image" Target="../media/image503.tmp"/><Relationship Id="rId710" Type="http://schemas.openxmlformats.org/officeDocument/2006/relationships/image" Target="../media/image710.tmp"/><Relationship Id="rId808" Type="http://schemas.openxmlformats.org/officeDocument/2006/relationships/image" Target="../media/image808.tmp"/><Relationship Id="rId1340" Type="http://schemas.openxmlformats.org/officeDocument/2006/relationships/image" Target="../media/image1340.tmp"/><Relationship Id="rId1438" Type="http://schemas.openxmlformats.org/officeDocument/2006/relationships/image" Target="../media/image1438.tmp"/><Relationship Id="rId1645" Type="http://schemas.openxmlformats.org/officeDocument/2006/relationships/image" Target="../media/image1645.tmp"/><Relationship Id="rId1200" Type="http://schemas.openxmlformats.org/officeDocument/2006/relationships/image" Target="../media/image1200.tmp"/><Relationship Id="rId1852" Type="http://schemas.openxmlformats.org/officeDocument/2006/relationships/image" Target="../media/image1852.tmp"/><Relationship Id="rId1505" Type="http://schemas.openxmlformats.org/officeDocument/2006/relationships/image" Target="../media/image1505.tmp"/><Relationship Id="rId1712" Type="http://schemas.openxmlformats.org/officeDocument/2006/relationships/image" Target="../media/image1712.tmp"/><Relationship Id="rId293" Type="http://schemas.openxmlformats.org/officeDocument/2006/relationships/image" Target="../media/image293.tmp"/><Relationship Id="rId153" Type="http://schemas.openxmlformats.org/officeDocument/2006/relationships/image" Target="../media/image153.tmp"/><Relationship Id="rId360" Type="http://schemas.openxmlformats.org/officeDocument/2006/relationships/image" Target="../media/image360.tmp"/><Relationship Id="rId598" Type="http://schemas.openxmlformats.org/officeDocument/2006/relationships/image" Target="../media/image598.tmp"/><Relationship Id="rId220" Type="http://schemas.openxmlformats.org/officeDocument/2006/relationships/image" Target="../media/image220.tmp"/><Relationship Id="rId458" Type="http://schemas.openxmlformats.org/officeDocument/2006/relationships/image" Target="../media/image458.tmp"/><Relationship Id="rId665" Type="http://schemas.openxmlformats.org/officeDocument/2006/relationships/image" Target="../media/image665.tmp"/><Relationship Id="rId872" Type="http://schemas.openxmlformats.org/officeDocument/2006/relationships/image" Target="../media/image872.tmp"/><Relationship Id="rId1088" Type="http://schemas.openxmlformats.org/officeDocument/2006/relationships/image" Target="../media/image1088.tmp"/><Relationship Id="rId1295" Type="http://schemas.openxmlformats.org/officeDocument/2006/relationships/image" Target="../media/image1295.tmp"/><Relationship Id="rId318" Type="http://schemas.openxmlformats.org/officeDocument/2006/relationships/image" Target="../media/image318.tmp"/><Relationship Id="rId525" Type="http://schemas.openxmlformats.org/officeDocument/2006/relationships/image" Target="../media/image525.tmp"/><Relationship Id="rId732" Type="http://schemas.openxmlformats.org/officeDocument/2006/relationships/image" Target="../media/image732.tmp"/><Relationship Id="rId1155" Type="http://schemas.openxmlformats.org/officeDocument/2006/relationships/image" Target="../media/image1155.tmp"/><Relationship Id="rId1362" Type="http://schemas.openxmlformats.org/officeDocument/2006/relationships/image" Target="../media/image1362.tmp"/><Relationship Id="rId99" Type="http://schemas.openxmlformats.org/officeDocument/2006/relationships/image" Target="../media/image99.tmp"/><Relationship Id="rId1015" Type="http://schemas.openxmlformats.org/officeDocument/2006/relationships/image" Target="../media/image1015.tmp"/><Relationship Id="rId1222" Type="http://schemas.openxmlformats.org/officeDocument/2006/relationships/image" Target="../media/image1222.tmp"/><Relationship Id="rId1667" Type="http://schemas.openxmlformats.org/officeDocument/2006/relationships/image" Target="../media/image1667.tmp"/><Relationship Id="rId1874" Type="http://schemas.openxmlformats.org/officeDocument/2006/relationships/image" Target="../media/image1874.tmp"/><Relationship Id="rId1527" Type="http://schemas.openxmlformats.org/officeDocument/2006/relationships/image" Target="../media/image1527.tmp"/><Relationship Id="rId1734" Type="http://schemas.openxmlformats.org/officeDocument/2006/relationships/image" Target="../media/image1734.tmp"/><Relationship Id="rId1941" Type="http://schemas.openxmlformats.org/officeDocument/2006/relationships/image" Target="../media/image1941.tmp"/><Relationship Id="rId26" Type="http://schemas.openxmlformats.org/officeDocument/2006/relationships/image" Target="../media/image26.tmp"/><Relationship Id="rId175" Type="http://schemas.openxmlformats.org/officeDocument/2006/relationships/image" Target="../media/image175.tmp"/><Relationship Id="rId1801" Type="http://schemas.openxmlformats.org/officeDocument/2006/relationships/image" Target="../media/image1801.tmp"/><Relationship Id="rId382" Type="http://schemas.openxmlformats.org/officeDocument/2006/relationships/image" Target="../media/image382.tmp"/><Relationship Id="rId687" Type="http://schemas.openxmlformats.org/officeDocument/2006/relationships/image" Target="../media/image687.tmp"/><Relationship Id="rId242" Type="http://schemas.openxmlformats.org/officeDocument/2006/relationships/image" Target="../media/image242.tmp"/><Relationship Id="rId894" Type="http://schemas.openxmlformats.org/officeDocument/2006/relationships/image" Target="../media/image894.tmp"/><Relationship Id="rId1177" Type="http://schemas.openxmlformats.org/officeDocument/2006/relationships/image" Target="../media/image1177.tmp"/><Relationship Id="rId102" Type="http://schemas.openxmlformats.org/officeDocument/2006/relationships/image" Target="../media/image102.tmp"/><Relationship Id="rId547" Type="http://schemas.openxmlformats.org/officeDocument/2006/relationships/image" Target="../media/image547.tmp"/><Relationship Id="rId754" Type="http://schemas.openxmlformats.org/officeDocument/2006/relationships/image" Target="../media/image754.tmp"/><Relationship Id="rId961" Type="http://schemas.openxmlformats.org/officeDocument/2006/relationships/image" Target="../media/image961.tmp"/><Relationship Id="rId1384" Type="http://schemas.openxmlformats.org/officeDocument/2006/relationships/image" Target="../media/image1384.tmp"/><Relationship Id="rId1591" Type="http://schemas.openxmlformats.org/officeDocument/2006/relationships/image" Target="../media/image1591.tmp"/><Relationship Id="rId1689" Type="http://schemas.openxmlformats.org/officeDocument/2006/relationships/image" Target="../media/image1689.tmp"/><Relationship Id="rId90" Type="http://schemas.openxmlformats.org/officeDocument/2006/relationships/image" Target="../media/image90.tmp"/><Relationship Id="rId407" Type="http://schemas.openxmlformats.org/officeDocument/2006/relationships/image" Target="../media/image407.tmp"/><Relationship Id="rId614" Type="http://schemas.openxmlformats.org/officeDocument/2006/relationships/image" Target="../media/image614.tmp"/><Relationship Id="rId821" Type="http://schemas.openxmlformats.org/officeDocument/2006/relationships/image" Target="../media/image821.tmp"/><Relationship Id="rId1037" Type="http://schemas.openxmlformats.org/officeDocument/2006/relationships/image" Target="../media/image1037.tmp"/><Relationship Id="rId1244" Type="http://schemas.openxmlformats.org/officeDocument/2006/relationships/image" Target="../media/image1244.tmp"/><Relationship Id="rId1451" Type="http://schemas.openxmlformats.org/officeDocument/2006/relationships/image" Target="../media/image1451.tmp"/><Relationship Id="rId1896" Type="http://schemas.openxmlformats.org/officeDocument/2006/relationships/image" Target="../media/image1896.tmp"/><Relationship Id="rId919" Type="http://schemas.openxmlformats.org/officeDocument/2006/relationships/image" Target="../media/image919.tmp"/><Relationship Id="rId1104" Type="http://schemas.openxmlformats.org/officeDocument/2006/relationships/image" Target="../media/image1104.tmp"/><Relationship Id="rId1311" Type="http://schemas.openxmlformats.org/officeDocument/2006/relationships/image" Target="../media/image1311.tmp"/><Relationship Id="rId1549" Type="http://schemas.openxmlformats.org/officeDocument/2006/relationships/image" Target="../media/image1549.tmp"/><Relationship Id="rId1756" Type="http://schemas.openxmlformats.org/officeDocument/2006/relationships/image" Target="../media/image1756.tmp"/><Relationship Id="rId1963" Type="http://schemas.openxmlformats.org/officeDocument/2006/relationships/image" Target="../media/image1963.tmp"/><Relationship Id="rId48" Type="http://schemas.openxmlformats.org/officeDocument/2006/relationships/image" Target="../media/image48.tmp"/><Relationship Id="rId1409" Type="http://schemas.openxmlformats.org/officeDocument/2006/relationships/image" Target="../media/image1409.tmp"/><Relationship Id="rId1616" Type="http://schemas.openxmlformats.org/officeDocument/2006/relationships/image" Target="../media/image1616.tmp"/><Relationship Id="rId1823" Type="http://schemas.openxmlformats.org/officeDocument/2006/relationships/image" Target="../media/image1823.tmp"/><Relationship Id="rId197" Type="http://schemas.openxmlformats.org/officeDocument/2006/relationships/image" Target="../media/image197.tmp"/><Relationship Id="rId264" Type="http://schemas.openxmlformats.org/officeDocument/2006/relationships/image" Target="../media/image264.tmp"/><Relationship Id="rId471" Type="http://schemas.openxmlformats.org/officeDocument/2006/relationships/image" Target="../media/image471.tmp"/><Relationship Id="rId124" Type="http://schemas.openxmlformats.org/officeDocument/2006/relationships/image" Target="../media/image124.tmp"/><Relationship Id="rId569" Type="http://schemas.openxmlformats.org/officeDocument/2006/relationships/image" Target="../media/image569.tmp"/><Relationship Id="rId776" Type="http://schemas.openxmlformats.org/officeDocument/2006/relationships/image" Target="../media/image776.tmp"/><Relationship Id="rId983" Type="http://schemas.openxmlformats.org/officeDocument/2006/relationships/image" Target="../media/image983.tmp"/><Relationship Id="rId1199" Type="http://schemas.openxmlformats.org/officeDocument/2006/relationships/image" Target="../media/image1199.tmp"/><Relationship Id="rId331" Type="http://schemas.openxmlformats.org/officeDocument/2006/relationships/image" Target="../media/image331.tmp"/><Relationship Id="rId429" Type="http://schemas.openxmlformats.org/officeDocument/2006/relationships/image" Target="../media/image429.tmp"/><Relationship Id="rId636" Type="http://schemas.openxmlformats.org/officeDocument/2006/relationships/image" Target="../media/image636.tmp"/><Relationship Id="rId1059" Type="http://schemas.openxmlformats.org/officeDocument/2006/relationships/image" Target="../media/image1059.tmp"/><Relationship Id="rId1266" Type="http://schemas.openxmlformats.org/officeDocument/2006/relationships/image" Target="../media/image1266.tmp"/><Relationship Id="rId1473" Type="http://schemas.openxmlformats.org/officeDocument/2006/relationships/image" Target="../media/image1473.tmp"/><Relationship Id="rId843" Type="http://schemas.openxmlformats.org/officeDocument/2006/relationships/image" Target="../media/image843.tmp"/><Relationship Id="rId1126" Type="http://schemas.openxmlformats.org/officeDocument/2006/relationships/image" Target="../media/image1126.tmp"/><Relationship Id="rId1680" Type="http://schemas.openxmlformats.org/officeDocument/2006/relationships/image" Target="../media/image1680.tmp"/><Relationship Id="rId1778" Type="http://schemas.openxmlformats.org/officeDocument/2006/relationships/image" Target="../media/image1778.tmp"/><Relationship Id="rId703" Type="http://schemas.openxmlformats.org/officeDocument/2006/relationships/image" Target="../media/image703.tmp"/><Relationship Id="rId910" Type="http://schemas.openxmlformats.org/officeDocument/2006/relationships/image" Target="../media/image910.tmp"/><Relationship Id="rId1333" Type="http://schemas.openxmlformats.org/officeDocument/2006/relationships/image" Target="../media/image1333.tmp"/><Relationship Id="rId1540" Type="http://schemas.openxmlformats.org/officeDocument/2006/relationships/image" Target="../media/image1540.tmp"/><Relationship Id="rId1638" Type="http://schemas.openxmlformats.org/officeDocument/2006/relationships/image" Target="../media/image1638.tmp"/><Relationship Id="rId135" Type="http://schemas.openxmlformats.org/officeDocument/2006/relationships/image" Target="../media/image135.tmp"/><Relationship Id="rId342" Type="http://schemas.openxmlformats.org/officeDocument/2006/relationships/image" Target="../media/image342.tmp"/><Relationship Id="rId787" Type="http://schemas.openxmlformats.org/officeDocument/2006/relationships/image" Target="../media/image787.tmp"/><Relationship Id="rId994" Type="http://schemas.openxmlformats.org/officeDocument/2006/relationships/image" Target="../media/image994.tmp"/><Relationship Id="rId1400" Type="http://schemas.openxmlformats.org/officeDocument/2006/relationships/image" Target="../media/image1400.tmp"/><Relationship Id="rId1845" Type="http://schemas.openxmlformats.org/officeDocument/2006/relationships/image" Target="../media/image1845.tmp"/><Relationship Id="rId202" Type="http://schemas.openxmlformats.org/officeDocument/2006/relationships/image" Target="../media/image202.tmp"/><Relationship Id="rId647" Type="http://schemas.openxmlformats.org/officeDocument/2006/relationships/image" Target="../media/image647.tmp"/><Relationship Id="rId854" Type="http://schemas.openxmlformats.org/officeDocument/2006/relationships/image" Target="../media/image854.tmp"/><Relationship Id="rId1277" Type="http://schemas.openxmlformats.org/officeDocument/2006/relationships/image" Target="../media/image1277.tmp"/><Relationship Id="rId1484" Type="http://schemas.openxmlformats.org/officeDocument/2006/relationships/image" Target="../media/image1484.tmp"/><Relationship Id="rId1691" Type="http://schemas.openxmlformats.org/officeDocument/2006/relationships/image" Target="../media/image1691.tmp"/><Relationship Id="rId1705" Type="http://schemas.openxmlformats.org/officeDocument/2006/relationships/image" Target="../media/image1705.tmp"/><Relationship Id="rId1912" Type="http://schemas.openxmlformats.org/officeDocument/2006/relationships/image" Target="../media/image1912.tmp"/><Relationship Id="rId286" Type="http://schemas.openxmlformats.org/officeDocument/2006/relationships/image" Target="../media/image286.tmp"/><Relationship Id="rId493" Type="http://schemas.openxmlformats.org/officeDocument/2006/relationships/image" Target="../media/image493.tmp"/><Relationship Id="rId507" Type="http://schemas.openxmlformats.org/officeDocument/2006/relationships/image" Target="../media/image507.tmp"/><Relationship Id="rId714" Type="http://schemas.openxmlformats.org/officeDocument/2006/relationships/image" Target="../media/image714.tmp"/><Relationship Id="rId921" Type="http://schemas.openxmlformats.org/officeDocument/2006/relationships/image" Target="../media/image921.tmp"/><Relationship Id="rId1137" Type="http://schemas.openxmlformats.org/officeDocument/2006/relationships/image" Target="../media/image1137.tmp"/><Relationship Id="rId1344" Type="http://schemas.openxmlformats.org/officeDocument/2006/relationships/image" Target="../media/image1344.tmp"/><Relationship Id="rId1551" Type="http://schemas.openxmlformats.org/officeDocument/2006/relationships/image" Target="../media/image1551.tmp"/><Relationship Id="rId1789" Type="http://schemas.openxmlformats.org/officeDocument/2006/relationships/image" Target="../media/image1789.tmp"/><Relationship Id="rId50" Type="http://schemas.openxmlformats.org/officeDocument/2006/relationships/image" Target="../media/image50.tmp"/><Relationship Id="rId146" Type="http://schemas.openxmlformats.org/officeDocument/2006/relationships/image" Target="../media/image146.tmp"/><Relationship Id="rId353" Type="http://schemas.openxmlformats.org/officeDocument/2006/relationships/image" Target="../media/image353.tmp"/><Relationship Id="rId560" Type="http://schemas.openxmlformats.org/officeDocument/2006/relationships/image" Target="../media/image560.tmp"/><Relationship Id="rId798" Type="http://schemas.openxmlformats.org/officeDocument/2006/relationships/image" Target="../media/image798.tmp"/><Relationship Id="rId1190" Type="http://schemas.openxmlformats.org/officeDocument/2006/relationships/image" Target="../media/image1190.tmp"/><Relationship Id="rId1204" Type="http://schemas.openxmlformats.org/officeDocument/2006/relationships/image" Target="../media/image1204.tmp"/><Relationship Id="rId1411" Type="http://schemas.openxmlformats.org/officeDocument/2006/relationships/image" Target="../media/image1411.tmp"/><Relationship Id="rId1649" Type="http://schemas.openxmlformats.org/officeDocument/2006/relationships/image" Target="../media/image1649.tmp"/><Relationship Id="rId1856" Type="http://schemas.openxmlformats.org/officeDocument/2006/relationships/image" Target="../media/image1856.tmp"/><Relationship Id="rId213" Type="http://schemas.openxmlformats.org/officeDocument/2006/relationships/image" Target="../media/image213.tmp"/><Relationship Id="rId420" Type="http://schemas.openxmlformats.org/officeDocument/2006/relationships/image" Target="../media/image420.tmp"/><Relationship Id="rId658" Type="http://schemas.openxmlformats.org/officeDocument/2006/relationships/image" Target="../media/image658.tmp"/><Relationship Id="rId865" Type="http://schemas.openxmlformats.org/officeDocument/2006/relationships/image" Target="../media/image865.tmp"/><Relationship Id="rId1050" Type="http://schemas.openxmlformats.org/officeDocument/2006/relationships/image" Target="../media/image1050.tmp"/><Relationship Id="rId1288" Type="http://schemas.openxmlformats.org/officeDocument/2006/relationships/image" Target="../media/image1288.tmp"/><Relationship Id="rId1495" Type="http://schemas.openxmlformats.org/officeDocument/2006/relationships/image" Target="../media/image1495.tmp"/><Relationship Id="rId1509" Type="http://schemas.openxmlformats.org/officeDocument/2006/relationships/image" Target="../media/image1509.tmp"/><Relationship Id="rId1716" Type="http://schemas.openxmlformats.org/officeDocument/2006/relationships/image" Target="../media/image1716.tmp"/><Relationship Id="rId1923" Type="http://schemas.openxmlformats.org/officeDocument/2006/relationships/image" Target="../media/image1923.tmp"/><Relationship Id="rId297" Type="http://schemas.openxmlformats.org/officeDocument/2006/relationships/image" Target="../media/image297.tmp"/><Relationship Id="rId518" Type="http://schemas.openxmlformats.org/officeDocument/2006/relationships/image" Target="../media/image518.tmp"/><Relationship Id="rId725" Type="http://schemas.openxmlformats.org/officeDocument/2006/relationships/image" Target="../media/image725.tmp"/><Relationship Id="rId932" Type="http://schemas.openxmlformats.org/officeDocument/2006/relationships/image" Target="../media/image932.tmp"/><Relationship Id="rId1148" Type="http://schemas.openxmlformats.org/officeDocument/2006/relationships/image" Target="../media/image1148.tmp"/><Relationship Id="rId1355" Type="http://schemas.openxmlformats.org/officeDocument/2006/relationships/image" Target="../media/image1355.tmp"/><Relationship Id="rId1562" Type="http://schemas.openxmlformats.org/officeDocument/2006/relationships/image" Target="../media/image1562.tmp"/><Relationship Id="rId157" Type="http://schemas.openxmlformats.org/officeDocument/2006/relationships/image" Target="../media/image157.tmp"/><Relationship Id="rId364" Type="http://schemas.openxmlformats.org/officeDocument/2006/relationships/image" Target="../media/image364.tmp"/><Relationship Id="rId1008" Type="http://schemas.openxmlformats.org/officeDocument/2006/relationships/image" Target="../media/image1008.tmp"/><Relationship Id="rId1215" Type="http://schemas.openxmlformats.org/officeDocument/2006/relationships/image" Target="../media/image1215.tmp"/><Relationship Id="rId1422" Type="http://schemas.openxmlformats.org/officeDocument/2006/relationships/image" Target="../media/image1422.tmp"/><Relationship Id="rId1867" Type="http://schemas.openxmlformats.org/officeDocument/2006/relationships/image" Target="../media/image1867.tmp"/><Relationship Id="rId61" Type="http://schemas.openxmlformats.org/officeDocument/2006/relationships/image" Target="../media/image61.tmp"/><Relationship Id="rId571" Type="http://schemas.openxmlformats.org/officeDocument/2006/relationships/image" Target="../media/image571.tmp"/><Relationship Id="rId669" Type="http://schemas.openxmlformats.org/officeDocument/2006/relationships/image" Target="../media/image669.tmp"/><Relationship Id="rId876" Type="http://schemas.openxmlformats.org/officeDocument/2006/relationships/image" Target="../media/image876.tmp"/><Relationship Id="rId1299" Type="http://schemas.openxmlformats.org/officeDocument/2006/relationships/image" Target="../media/image1299.tmp"/><Relationship Id="rId1727" Type="http://schemas.openxmlformats.org/officeDocument/2006/relationships/image" Target="../media/image1727.tmp"/><Relationship Id="rId1934" Type="http://schemas.openxmlformats.org/officeDocument/2006/relationships/image" Target="../media/image1934.tmp"/><Relationship Id="rId19" Type="http://schemas.openxmlformats.org/officeDocument/2006/relationships/image" Target="../media/image19.tmp"/><Relationship Id="rId224" Type="http://schemas.openxmlformats.org/officeDocument/2006/relationships/image" Target="../media/image224.tmp"/><Relationship Id="rId431" Type="http://schemas.openxmlformats.org/officeDocument/2006/relationships/image" Target="../media/image431.tmp"/><Relationship Id="rId529" Type="http://schemas.openxmlformats.org/officeDocument/2006/relationships/image" Target="../media/image529.tmp"/><Relationship Id="rId736" Type="http://schemas.openxmlformats.org/officeDocument/2006/relationships/image" Target="../media/image736.tmp"/><Relationship Id="rId1061" Type="http://schemas.openxmlformats.org/officeDocument/2006/relationships/image" Target="../media/image1061.tmp"/><Relationship Id="rId1159" Type="http://schemas.openxmlformats.org/officeDocument/2006/relationships/image" Target="../media/image1159.tmp"/><Relationship Id="rId1366" Type="http://schemas.openxmlformats.org/officeDocument/2006/relationships/image" Target="../media/image1366.tmp"/><Relationship Id="rId168" Type="http://schemas.openxmlformats.org/officeDocument/2006/relationships/image" Target="../media/image168.tmp"/><Relationship Id="rId943" Type="http://schemas.openxmlformats.org/officeDocument/2006/relationships/image" Target="../media/image943.tmp"/><Relationship Id="rId1019" Type="http://schemas.openxmlformats.org/officeDocument/2006/relationships/image" Target="../media/image1019.tmp"/><Relationship Id="rId1573" Type="http://schemas.openxmlformats.org/officeDocument/2006/relationships/image" Target="../media/image1573.tmp"/><Relationship Id="rId1780" Type="http://schemas.openxmlformats.org/officeDocument/2006/relationships/image" Target="../media/image1780.tmp"/><Relationship Id="rId1878" Type="http://schemas.openxmlformats.org/officeDocument/2006/relationships/image" Target="../media/image1878.tmp"/><Relationship Id="rId72" Type="http://schemas.openxmlformats.org/officeDocument/2006/relationships/image" Target="../media/image72.tmp"/><Relationship Id="rId375" Type="http://schemas.openxmlformats.org/officeDocument/2006/relationships/image" Target="../media/image375.tmp"/><Relationship Id="rId582" Type="http://schemas.openxmlformats.org/officeDocument/2006/relationships/image" Target="../media/image582.tmp"/><Relationship Id="rId803" Type="http://schemas.openxmlformats.org/officeDocument/2006/relationships/image" Target="../media/image803.tmp"/><Relationship Id="rId1226" Type="http://schemas.openxmlformats.org/officeDocument/2006/relationships/image" Target="../media/image1226.tmp"/><Relationship Id="rId1433" Type="http://schemas.openxmlformats.org/officeDocument/2006/relationships/image" Target="../media/image1433.tmp"/><Relationship Id="rId1640" Type="http://schemas.openxmlformats.org/officeDocument/2006/relationships/image" Target="../media/image1640.tmp"/><Relationship Id="rId1738" Type="http://schemas.openxmlformats.org/officeDocument/2006/relationships/image" Target="../media/image1738.tmp"/><Relationship Id="rId3" Type="http://schemas.openxmlformats.org/officeDocument/2006/relationships/image" Target="../media/image3.tmp"/><Relationship Id="rId235" Type="http://schemas.openxmlformats.org/officeDocument/2006/relationships/image" Target="../media/image235.tmp"/><Relationship Id="rId442" Type="http://schemas.openxmlformats.org/officeDocument/2006/relationships/image" Target="../media/image442.tmp"/><Relationship Id="rId887" Type="http://schemas.openxmlformats.org/officeDocument/2006/relationships/image" Target="../media/image887.tmp"/><Relationship Id="rId1072" Type="http://schemas.openxmlformats.org/officeDocument/2006/relationships/image" Target="../media/image1072.tmp"/><Relationship Id="rId1500" Type="http://schemas.openxmlformats.org/officeDocument/2006/relationships/image" Target="../media/image1500.tmp"/><Relationship Id="rId1945" Type="http://schemas.openxmlformats.org/officeDocument/2006/relationships/image" Target="../media/image1945.tmp"/><Relationship Id="rId302" Type="http://schemas.openxmlformats.org/officeDocument/2006/relationships/image" Target="../media/image302.tmp"/><Relationship Id="rId747" Type="http://schemas.openxmlformats.org/officeDocument/2006/relationships/image" Target="../media/image747.tmp"/><Relationship Id="rId954" Type="http://schemas.openxmlformats.org/officeDocument/2006/relationships/image" Target="../media/image954.tmp"/><Relationship Id="rId1377" Type="http://schemas.openxmlformats.org/officeDocument/2006/relationships/image" Target="../media/image1377.tmp"/><Relationship Id="rId1584" Type="http://schemas.openxmlformats.org/officeDocument/2006/relationships/image" Target="../media/image1584.tmp"/><Relationship Id="rId1791" Type="http://schemas.openxmlformats.org/officeDocument/2006/relationships/image" Target="../media/image1791.tmp"/><Relationship Id="rId1805" Type="http://schemas.openxmlformats.org/officeDocument/2006/relationships/image" Target="../media/image1805.tmp"/><Relationship Id="rId83" Type="http://schemas.openxmlformats.org/officeDocument/2006/relationships/image" Target="../media/image83.tmp"/><Relationship Id="rId179" Type="http://schemas.openxmlformats.org/officeDocument/2006/relationships/image" Target="../media/image179.tmp"/><Relationship Id="rId386" Type="http://schemas.openxmlformats.org/officeDocument/2006/relationships/image" Target="../media/image386.tmp"/><Relationship Id="rId593" Type="http://schemas.openxmlformats.org/officeDocument/2006/relationships/image" Target="../media/image593.tmp"/><Relationship Id="rId607" Type="http://schemas.openxmlformats.org/officeDocument/2006/relationships/image" Target="../media/image607.tmp"/><Relationship Id="rId814" Type="http://schemas.openxmlformats.org/officeDocument/2006/relationships/image" Target="../media/image814.tmp"/><Relationship Id="rId1237" Type="http://schemas.openxmlformats.org/officeDocument/2006/relationships/image" Target="../media/image1237.tmp"/><Relationship Id="rId1444" Type="http://schemas.openxmlformats.org/officeDocument/2006/relationships/image" Target="../media/image1444.tmp"/><Relationship Id="rId1651" Type="http://schemas.openxmlformats.org/officeDocument/2006/relationships/image" Target="../media/image1651.tmp"/><Relationship Id="rId1889" Type="http://schemas.openxmlformats.org/officeDocument/2006/relationships/image" Target="../media/image1889.tmp"/><Relationship Id="rId246" Type="http://schemas.openxmlformats.org/officeDocument/2006/relationships/image" Target="../media/image246.tmp"/><Relationship Id="rId453" Type="http://schemas.openxmlformats.org/officeDocument/2006/relationships/image" Target="../media/image453.tmp"/><Relationship Id="rId660" Type="http://schemas.openxmlformats.org/officeDocument/2006/relationships/image" Target="../media/image660.tmp"/><Relationship Id="rId898" Type="http://schemas.openxmlformats.org/officeDocument/2006/relationships/image" Target="../media/image898.tmp"/><Relationship Id="rId1083" Type="http://schemas.openxmlformats.org/officeDocument/2006/relationships/image" Target="../media/image1083.tmp"/><Relationship Id="rId1290" Type="http://schemas.openxmlformats.org/officeDocument/2006/relationships/image" Target="../media/image1290.tmp"/><Relationship Id="rId1304" Type="http://schemas.openxmlformats.org/officeDocument/2006/relationships/image" Target="../media/image1304.tmp"/><Relationship Id="rId1511" Type="http://schemas.openxmlformats.org/officeDocument/2006/relationships/image" Target="../media/image1511.tmp"/><Relationship Id="rId1749" Type="http://schemas.openxmlformats.org/officeDocument/2006/relationships/image" Target="../media/image1749.tmp"/><Relationship Id="rId1956" Type="http://schemas.openxmlformats.org/officeDocument/2006/relationships/image" Target="../media/image1956.tmp"/><Relationship Id="rId106" Type="http://schemas.openxmlformats.org/officeDocument/2006/relationships/image" Target="../media/image106.tmp"/><Relationship Id="rId313" Type="http://schemas.openxmlformats.org/officeDocument/2006/relationships/image" Target="../media/image313.tmp"/><Relationship Id="rId758" Type="http://schemas.openxmlformats.org/officeDocument/2006/relationships/image" Target="../media/image758.tmp"/><Relationship Id="rId965" Type="http://schemas.openxmlformats.org/officeDocument/2006/relationships/image" Target="../media/image965.tmp"/><Relationship Id="rId1150" Type="http://schemas.openxmlformats.org/officeDocument/2006/relationships/image" Target="../media/image1150.tmp"/><Relationship Id="rId1388" Type="http://schemas.openxmlformats.org/officeDocument/2006/relationships/image" Target="../media/image1388.tmp"/><Relationship Id="rId1595" Type="http://schemas.openxmlformats.org/officeDocument/2006/relationships/image" Target="../media/image1595.tmp"/><Relationship Id="rId1609" Type="http://schemas.openxmlformats.org/officeDocument/2006/relationships/image" Target="../media/image1609.tmp"/><Relationship Id="rId1816" Type="http://schemas.openxmlformats.org/officeDocument/2006/relationships/image" Target="../media/image1816.tmp"/><Relationship Id="rId10" Type="http://schemas.openxmlformats.org/officeDocument/2006/relationships/image" Target="../media/image10.tmp"/><Relationship Id="rId94" Type="http://schemas.openxmlformats.org/officeDocument/2006/relationships/image" Target="../media/image94.tmp"/><Relationship Id="rId397" Type="http://schemas.openxmlformats.org/officeDocument/2006/relationships/image" Target="../media/image397.tmp"/><Relationship Id="rId520" Type="http://schemas.openxmlformats.org/officeDocument/2006/relationships/image" Target="../media/image520.tmp"/><Relationship Id="rId618" Type="http://schemas.openxmlformats.org/officeDocument/2006/relationships/image" Target="../media/image618.tmp"/><Relationship Id="rId825" Type="http://schemas.openxmlformats.org/officeDocument/2006/relationships/image" Target="../media/image825.tmp"/><Relationship Id="rId1248" Type="http://schemas.openxmlformats.org/officeDocument/2006/relationships/image" Target="../media/image1248.tmp"/><Relationship Id="rId1455" Type="http://schemas.openxmlformats.org/officeDocument/2006/relationships/image" Target="../media/image1455.tmp"/><Relationship Id="rId1662" Type="http://schemas.openxmlformats.org/officeDocument/2006/relationships/image" Target="../media/image1662.tmp"/><Relationship Id="rId257" Type="http://schemas.openxmlformats.org/officeDocument/2006/relationships/image" Target="../media/image257.tmp"/><Relationship Id="rId464" Type="http://schemas.openxmlformats.org/officeDocument/2006/relationships/image" Target="../media/image464.tmp"/><Relationship Id="rId1010" Type="http://schemas.openxmlformats.org/officeDocument/2006/relationships/image" Target="../media/image1010.tmp"/><Relationship Id="rId1094" Type="http://schemas.openxmlformats.org/officeDocument/2006/relationships/image" Target="../media/image1094.tmp"/><Relationship Id="rId1108" Type="http://schemas.openxmlformats.org/officeDocument/2006/relationships/image" Target="../media/image1108.tmp"/><Relationship Id="rId1315" Type="http://schemas.openxmlformats.org/officeDocument/2006/relationships/image" Target="../media/image1315.tmp"/><Relationship Id="rId1967" Type="http://schemas.openxmlformats.org/officeDocument/2006/relationships/image" Target="../media/image1967.tmp"/><Relationship Id="rId117" Type="http://schemas.openxmlformats.org/officeDocument/2006/relationships/image" Target="../media/image117.tmp"/><Relationship Id="rId671" Type="http://schemas.openxmlformats.org/officeDocument/2006/relationships/image" Target="../media/image671.tmp"/><Relationship Id="rId769" Type="http://schemas.openxmlformats.org/officeDocument/2006/relationships/image" Target="../media/image769.tmp"/><Relationship Id="rId976" Type="http://schemas.openxmlformats.org/officeDocument/2006/relationships/image" Target="../media/image976.tmp"/><Relationship Id="rId1399" Type="http://schemas.openxmlformats.org/officeDocument/2006/relationships/image" Target="../media/image1399.tmp"/><Relationship Id="rId324" Type="http://schemas.openxmlformats.org/officeDocument/2006/relationships/image" Target="../media/image324.tmp"/><Relationship Id="rId531" Type="http://schemas.openxmlformats.org/officeDocument/2006/relationships/image" Target="../media/image531.tmp"/><Relationship Id="rId629" Type="http://schemas.openxmlformats.org/officeDocument/2006/relationships/image" Target="../media/image629.tmp"/><Relationship Id="rId1161" Type="http://schemas.openxmlformats.org/officeDocument/2006/relationships/image" Target="../media/image1161.tmp"/><Relationship Id="rId1259" Type="http://schemas.openxmlformats.org/officeDocument/2006/relationships/image" Target="../media/image1259.tmp"/><Relationship Id="rId1466" Type="http://schemas.openxmlformats.org/officeDocument/2006/relationships/image" Target="../media/image1466.tmp"/><Relationship Id="rId836" Type="http://schemas.openxmlformats.org/officeDocument/2006/relationships/image" Target="../media/image836.tmp"/><Relationship Id="rId1021" Type="http://schemas.openxmlformats.org/officeDocument/2006/relationships/image" Target="../media/image1021.tmp"/><Relationship Id="rId1119" Type="http://schemas.openxmlformats.org/officeDocument/2006/relationships/image" Target="../media/image1119.tmp"/><Relationship Id="rId1673" Type="http://schemas.openxmlformats.org/officeDocument/2006/relationships/image" Target="../media/image1673.tmp"/><Relationship Id="rId1880" Type="http://schemas.openxmlformats.org/officeDocument/2006/relationships/image" Target="../media/image1880.tmp"/><Relationship Id="rId903" Type="http://schemas.openxmlformats.org/officeDocument/2006/relationships/image" Target="../media/image903.tmp"/><Relationship Id="rId1326" Type="http://schemas.openxmlformats.org/officeDocument/2006/relationships/image" Target="../media/image1326.tmp"/><Relationship Id="rId1533" Type="http://schemas.openxmlformats.org/officeDocument/2006/relationships/image" Target="../media/image1533.tmp"/><Relationship Id="rId1740" Type="http://schemas.openxmlformats.org/officeDocument/2006/relationships/image" Target="../media/image1740.tmp"/><Relationship Id="rId32" Type="http://schemas.openxmlformats.org/officeDocument/2006/relationships/image" Target="../media/image32.tmp"/><Relationship Id="rId1600" Type="http://schemas.openxmlformats.org/officeDocument/2006/relationships/image" Target="../media/image1600.tmp"/><Relationship Id="rId1838" Type="http://schemas.openxmlformats.org/officeDocument/2006/relationships/image" Target="../media/image1838.tmp"/><Relationship Id="rId181" Type="http://schemas.openxmlformats.org/officeDocument/2006/relationships/image" Target="../media/image181.tmp"/><Relationship Id="rId1905" Type="http://schemas.openxmlformats.org/officeDocument/2006/relationships/image" Target="../media/image1905.tmp"/><Relationship Id="rId279" Type="http://schemas.openxmlformats.org/officeDocument/2006/relationships/image" Target="../media/image279.tmp"/><Relationship Id="rId486" Type="http://schemas.openxmlformats.org/officeDocument/2006/relationships/image" Target="../media/image486.tmp"/><Relationship Id="rId693" Type="http://schemas.openxmlformats.org/officeDocument/2006/relationships/image" Target="../media/image693.tmp"/><Relationship Id="rId139" Type="http://schemas.openxmlformats.org/officeDocument/2006/relationships/image" Target="../media/image139.tmp"/><Relationship Id="rId346" Type="http://schemas.openxmlformats.org/officeDocument/2006/relationships/image" Target="../media/image346.tmp"/><Relationship Id="rId553" Type="http://schemas.openxmlformats.org/officeDocument/2006/relationships/image" Target="../media/image553.tmp"/><Relationship Id="rId760" Type="http://schemas.openxmlformats.org/officeDocument/2006/relationships/image" Target="../media/image760.tmp"/><Relationship Id="rId998" Type="http://schemas.openxmlformats.org/officeDocument/2006/relationships/image" Target="../media/image998.tmp"/><Relationship Id="rId1183" Type="http://schemas.openxmlformats.org/officeDocument/2006/relationships/image" Target="../media/image1183.tmp"/><Relationship Id="rId1390" Type="http://schemas.openxmlformats.org/officeDocument/2006/relationships/image" Target="../media/image1390.tmp"/><Relationship Id="rId206" Type="http://schemas.openxmlformats.org/officeDocument/2006/relationships/image" Target="../media/image206.tmp"/><Relationship Id="rId413" Type="http://schemas.openxmlformats.org/officeDocument/2006/relationships/image" Target="../media/image413.tmp"/><Relationship Id="rId858" Type="http://schemas.openxmlformats.org/officeDocument/2006/relationships/image" Target="../media/image858.tmp"/><Relationship Id="rId1043" Type="http://schemas.openxmlformats.org/officeDocument/2006/relationships/image" Target="../media/image1043.tmp"/><Relationship Id="rId1488" Type="http://schemas.openxmlformats.org/officeDocument/2006/relationships/image" Target="../media/image1488.tmp"/><Relationship Id="rId1695" Type="http://schemas.openxmlformats.org/officeDocument/2006/relationships/image" Target="../media/image1695.tmp"/><Relationship Id="rId620" Type="http://schemas.openxmlformats.org/officeDocument/2006/relationships/image" Target="../media/image620.tmp"/><Relationship Id="rId718" Type="http://schemas.openxmlformats.org/officeDocument/2006/relationships/image" Target="../media/image718.tmp"/><Relationship Id="rId925" Type="http://schemas.openxmlformats.org/officeDocument/2006/relationships/image" Target="../media/image925.tmp"/><Relationship Id="rId1250" Type="http://schemas.openxmlformats.org/officeDocument/2006/relationships/image" Target="../media/image1250.tmp"/><Relationship Id="rId1348" Type="http://schemas.openxmlformats.org/officeDocument/2006/relationships/image" Target="../media/image1348.tmp"/><Relationship Id="rId1555" Type="http://schemas.openxmlformats.org/officeDocument/2006/relationships/image" Target="../media/image1555.tmp"/><Relationship Id="rId1762" Type="http://schemas.openxmlformats.org/officeDocument/2006/relationships/image" Target="../media/image1762.tmp"/><Relationship Id="rId1110" Type="http://schemas.openxmlformats.org/officeDocument/2006/relationships/image" Target="../media/image1110.tmp"/><Relationship Id="rId1208" Type="http://schemas.openxmlformats.org/officeDocument/2006/relationships/image" Target="../media/image1208.tmp"/><Relationship Id="rId1415" Type="http://schemas.openxmlformats.org/officeDocument/2006/relationships/image" Target="../media/image1415.tmp"/><Relationship Id="rId54" Type="http://schemas.openxmlformats.org/officeDocument/2006/relationships/image" Target="../media/image54.tmp"/><Relationship Id="rId1622" Type="http://schemas.openxmlformats.org/officeDocument/2006/relationships/image" Target="../media/image1622.tmp"/><Relationship Id="rId1927" Type="http://schemas.openxmlformats.org/officeDocument/2006/relationships/image" Target="../media/image1927.tmp"/><Relationship Id="rId270" Type="http://schemas.openxmlformats.org/officeDocument/2006/relationships/image" Target="../media/image270.tmp"/><Relationship Id="rId130" Type="http://schemas.openxmlformats.org/officeDocument/2006/relationships/image" Target="../media/image130.tmp"/><Relationship Id="rId368" Type="http://schemas.openxmlformats.org/officeDocument/2006/relationships/image" Target="../media/image368.tmp"/><Relationship Id="rId575" Type="http://schemas.openxmlformats.org/officeDocument/2006/relationships/image" Target="../media/image575.tmp"/><Relationship Id="rId782" Type="http://schemas.openxmlformats.org/officeDocument/2006/relationships/image" Target="../media/image782.tmp"/><Relationship Id="rId228" Type="http://schemas.openxmlformats.org/officeDocument/2006/relationships/image" Target="../media/image228.tmp"/><Relationship Id="rId435" Type="http://schemas.openxmlformats.org/officeDocument/2006/relationships/image" Target="../media/image435.tmp"/><Relationship Id="rId642" Type="http://schemas.openxmlformats.org/officeDocument/2006/relationships/image" Target="../media/image642.tmp"/><Relationship Id="rId1065" Type="http://schemas.openxmlformats.org/officeDocument/2006/relationships/image" Target="../media/image1065.tmp"/><Relationship Id="rId1272" Type="http://schemas.openxmlformats.org/officeDocument/2006/relationships/image" Target="../media/image1272.tmp"/><Relationship Id="rId502" Type="http://schemas.openxmlformats.org/officeDocument/2006/relationships/image" Target="../media/image502.tmp"/><Relationship Id="rId947" Type="http://schemas.openxmlformats.org/officeDocument/2006/relationships/image" Target="../media/image947.tmp"/><Relationship Id="rId1132" Type="http://schemas.openxmlformats.org/officeDocument/2006/relationships/image" Target="../media/image1132.tmp"/><Relationship Id="rId1577" Type="http://schemas.openxmlformats.org/officeDocument/2006/relationships/image" Target="../media/image1577.tmp"/><Relationship Id="rId1784" Type="http://schemas.openxmlformats.org/officeDocument/2006/relationships/image" Target="../media/image1784.tmp"/><Relationship Id="rId76" Type="http://schemas.openxmlformats.org/officeDocument/2006/relationships/image" Target="../media/image76.tmp"/><Relationship Id="rId807" Type="http://schemas.openxmlformats.org/officeDocument/2006/relationships/image" Target="../media/image807.tmp"/><Relationship Id="rId1437" Type="http://schemas.openxmlformats.org/officeDocument/2006/relationships/image" Target="../media/image1437.tmp"/><Relationship Id="rId1644" Type="http://schemas.openxmlformats.org/officeDocument/2006/relationships/image" Target="../media/image1644.tmp"/><Relationship Id="rId1851" Type="http://schemas.openxmlformats.org/officeDocument/2006/relationships/image" Target="../media/image1851.tmp"/><Relationship Id="rId1504" Type="http://schemas.openxmlformats.org/officeDocument/2006/relationships/image" Target="../media/image1504.tmp"/><Relationship Id="rId1711" Type="http://schemas.openxmlformats.org/officeDocument/2006/relationships/image" Target="../media/image1711.tmp"/><Relationship Id="rId1949" Type="http://schemas.openxmlformats.org/officeDocument/2006/relationships/image" Target="../media/image1949.tmp"/><Relationship Id="rId292" Type="http://schemas.openxmlformats.org/officeDocument/2006/relationships/image" Target="../media/image292.tmp"/><Relationship Id="rId1809" Type="http://schemas.openxmlformats.org/officeDocument/2006/relationships/image" Target="../media/image1809.tmp"/><Relationship Id="rId597" Type="http://schemas.openxmlformats.org/officeDocument/2006/relationships/image" Target="../media/image597.tmp"/><Relationship Id="rId152" Type="http://schemas.openxmlformats.org/officeDocument/2006/relationships/image" Target="../media/image152.tmp"/><Relationship Id="rId457" Type="http://schemas.openxmlformats.org/officeDocument/2006/relationships/image" Target="../media/image457.tmp"/><Relationship Id="rId1087" Type="http://schemas.openxmlformats.org/officeDocument/2006/relationships/image" Target="../media/image1087.tmp"/><Relationship Id="rId1294" Type="http://schemas.openxmlformats.org/officeDocument/2006/relationships/image" Target="../media/image1294.tmp"/><Relationship Id="rId664" Type="http://schemas.openxmlformats.org/officeDocument/2006/relationships/image" Target="../media/image664.tmp"/><Relationship Id="rId871" Type="http://schemas.openxmlformats.org/officeDocument/2006/relationships/image" Target="../media/image871.tmp"/><Relationship Id="rId969" Type="http://schemas.openxmlformats.org/officeDocument/2006/relationships/image" Target="../media/image969.tmp"/><Relationship Id="rId1599" Type="http://schemas.openxmlformats.org/officeDocument/2006/relationships/image" Target="../media/image1599.tmp"/><Relationship Id="rId317" Type="http://schemas.openxmlformats.org/officeDocument/2006/relationships/image" Target="../media/image317.tmp"/><Relationship Id="rId524" Type="http://schemas.openxmlformats.org/officeDocument/2006/relationships/image" Target="../media/image524.tmp"/><Relationship Id="rId731" Type="http://schemas.openxmlformats.org/officeDocument/2006/relationships/image" Target="../media/image731.tmp"/><Relationship Id="rId1154" Type="http://schemas.openxmlformats.org/officeDocument/2006/relationships/image" Target="../media/image1154.tmp"/><Relationship Id="rId1361" Type="http://schemas.openxmlformats.org/officeDocument/2006/relationships/image" Target="../media/image1361.tmp"/><Relationship Id="rId1459" Type="http://schemas.openxmlformats.org/officeDocument/2006/relationships/image" Target="../media/image1459.tmp"/><Relationship Id="rId98" Type="http://schemas.openxmlformats.org/officeDocument/2006/relationships/image" Target="../media/image98.tmp"/><Relationship Id="rId829" Type="http://schemas.openxmlformats.org/officeDocument/2006/relationships/image" Target="../media/image829.tmp"/><Relationship Id="rId1014" Type="http://schemas.openxmlformats.org/officeDocument/2006/relationships/image" Target="../media/image1014.tmp"/><Relationship Id="rId1221" Type="http://schemas.openxmlformats.org/officeDocument/2006/relationships/image" Target="../media/image1221.tmp"/><Relationship Id="rId1666" Type="http://schemas.openxmlformats.org/officeDocument/2006/relationships/image" Target="../media/image1666.tmp"/><Relationship Id="rId1873" Type="http://schemas.openxmlformats.org/officeDocument/2006/relationships/image" Target="../media/image1873.tmp"/><Relationship Id="rId1319" Type="http://schemas.openxmlformats.org/officeDocument/2006/relationships/image" Target="../media/image1319.tmp"/><Relationship Id="rId1526" Type="http://schemas.openxmlformats.org/officeDocument/2006/relationships/image" Target="../media/image1526.tmp"/><Relationship Id="rId1733" Type="http://schemas.openxmlformats.org/officeDocument/2006/relationships/image" Target="../media/image1733.tmp"/><Relationship Id="rId1940" Type="http://schemas.openxmlformats.org/officeDocument/2006/relationships/image" Target="../media/image1940.tmp"/><Relationship Id="rId25" Type="http://schemas.openxmlformats.org/officeDocument/2006/relationships/image" Target="../media/image25.tmp"/><Relationship Id="rId1800" Type="http://schemas.openxmlformats.org/officeDocument/2006/relationships/image" Target="../media/image1800.tmp"/><Relationship Id="rId174" Type="http://schemas.openxmlformats.org/officeDocument/2006/relationships/image" Target="../media/image174.tmp"/><Relationship Id="rId381" Type="http://schemas.openxmlformats.org/officeDocument/2006/relationships/image" Target="../media/image381.tmp"/><Relationship Id="rId241" Type="http://schemas.openxmlformats.org/officeDocument/2006/relationships/image" Target="../media/image241.tmp"/><Relationship Id="rId479" Type="http://schemas.openxmlformats.org/officeDocument/2006/relationships/image" Target="../media/image479.tmp"/><Relationship Id="rId686" Type="http://schemas.openxmlformats.org/officeDocument/2006/relationships/image" Target="../media/image686.tmp"/><Relationship Id="rId893" Type="http://schemas.openxmlformats.org/officeDocument/2006/relationships/image" Target="../media/image893.tmp"/><Relationship Id="rId339" Type="http://schemas.openxmlformats.org/officeDocument/2006/relationships/image" Target="../media/image339.tmp"/><Relationship Id="rId546" Type="http://schemas.openxmlformats.org/officeDocument/2006/relationships/image" Target="../media/image546.tmp"/><Relationship Id="rId753" Type="http://schemas.openxmlformats.org/officeDocument/2006/relationships/image" Target="../media/image753.tmp"/><Relationship Id="rId1176" Type="http://schemas.openxmlformats.org/officeDocument/2006/relationships/image" Target="../media/image1176.tmp"/><Relationship Id="rId1383" Type="http://schemas.openxmlformats.org/officeDocument/2006/relationships/image" Target="../media/image1383.tmp"/><Relationship Id="rId101" Type="http://schemas.openxmlformats.org/officeDocument/2006/relationships/image" Target="../media/image101.tmp"/><Relationship Id="rId406" Type="http://schemas.openxmlformats.org/officeDocument/2006/relationships/image" Target="../media/image406.tmp"/><Relationship Id="rId960" Type="http://schemas.openxmlformats.org/officeDocument/2006/relationships/image" Target="../media/image960.tmp"/><Relationship Id="rId1036" Type="http://schemas.openxmlformats.org/officeDocument/2006/relationships/image" Target="../media/image1036.tmp"/><Relationship Id="rId1243" Type="http://schemas.openxmlformats.org/officeDocument/2006/relationships/image" Target="../media/image1243.tmp"/><Relationship Id="rId1590" Type="http://schemas.openxmlformats.org/officeDocument/2006/relationships/image" Target="../media/image1590.tmp"/><Relationship Id="rId1688" Type="http://schemas.openxmlformats.org/officeDocument/2006/relationships/image" Target="../media/image1688.tmp"/><Relationship Id="rId1895" Type="http://schemas.openxmlformats.org/officeDocument/2006/relationships/image" Target="../media/image1895.tmp"/><Relationship Id="rId613" Type="http://schemas.openxmlformats.org/officeDocument/2006/relationships/image" Target="../media/image613.tmp"/><Relationship Id="rId820" Type="http://schemas.openxmlformats.org/officeDocument/2006/relationships/image" Target="../media/image820.tmp"/><Relationship Id="rId918" Type="http://schemas.openxmlformats.org/officeDocument/2006/relationships/image" Target="../media/image918.tmp"/><Relationship Id="rId1450" Type="http://schemas.openxmlformats.org/officeDocument/2006/relationships/image" Target="../media/image1450.tmp"/><Relationship Id="rId1548" Type="http://schemas.openxmlformats.org/officeDocument/2006/relationships/image" Target="../media/image1548.tmp"/><Relationship Id="rId1755" Type="http://schemas.openxmlformats.org/officeDocument/2006/relationships/image" Target="../media/image1755.tmp"/><Relationship Id="rId1103" Type="http://schemas.openxmlformats.org/officeDocument/2006/relationships/image" Target="../media/image1103.tmp"/><Relationship Id="rId1310" Type="http://schemas.openxmlformats.org/officeDocument/2006/relationships/image" Target="../media/image1310.tmp"/><Relationship Id="rId1408" Type="http://schemas.openxmlformats.org/officeDocument/2006/relationships/image" Target="../media/image1408.tmp"/><Relationship Id="rId1962" Type="http://schemas.openxmlformats.org/officeDocument/2006/relationships/image" Target="../media/image1962.tmp"/><Relationship Id="rId47" Type="http://schemas.openxmlformats.org/officeDocument/2006/relationships/image" Target="../media/image47.tmp"/><Relationship Id="rId1615" Type="http://schemas.openxmlformats.org/officeDocument/2006/relationships/image" Target="../media/image1615.tmp"/><Relationship Id="rId1822" Type="http://schemas.openxmlformats.org/officeDocument/2006/relationships/image" Target="../media/image1822.tmp"/><Relationship Id="rId196" Type="http://schemas.openxmlformats.org/officeDocument/2006/relationships/image" Target="../media/image196.tmp"/><Relationship Id="rId263" Type="http://schemas.openxmlformats.org/officeDocument/2006/relationships/image" Target="../media/image263.tmp"/><Relationship Id="rId470" Type="http://schemas.openxmlformats.org/officeDocument/2006/relationships/image" Target="../media/image470.tmp"/><Relationship Id="rId123" Type="http://schemas.openxmlformats.org/officeDocument/2006/relationships/image" Target="../media/image123.tmp"/><Relationship Id="rId330" Type="http://schemas.openxmlformats.org/officeDocument/2006/relationships/image" Target="../media/image330.tmp"/><Relationship Id="rId568" Type="http://schemas.openxmlformats.org/officeDocument/2006/relationships/image" Target="../media/image568.tmp"/><Relationship Id="rId775" Type="http://schemas.openxmlformats.org/officeDocument/2006/relationships/image" Target="../media/image775.tmp"/><Relationship Id="rId982" Type="http://schemas.openxmlformats.org/officeDocument/2006/relationships/image" Target="../media/image982.tmp"/><Relationship Id="rId1198" Type="http://schemas.openxmlformats.org/officeDocument/2006/relationships/image" Target="../media/image1198.tmp"/><Relationship Id="rId428" Type="http://schemas.openxmlformats.org/officeDocument/2006/relationships/image" Target="../media/image428.tmp"/><Relationship Id="rId635" Type="http://schemas.openxmlformats.org/officeDocument/2006/relationships/image" Target="../media/image635.tmp"/><Relationship Id="rId842" Type="http://schemas.openxmlformats.org/officeDocument/2006/relationships/image" Target="../media/image842.tmp"/><Relationship Id="rId1058" Type="http://schemas.openxmlformats.org/officeDocument/2006/relationships/image" Target="../media/image1058.tmp"/><Relationship Id="rId1265" Type="http://schemas.openxmlformats.org/officeDocument/2006/relationships/image" Target="../media/image1265.tmp"/><Relationship Id="rId1472" Type="http://schemas.openxmlformats.org/officeDocument/2006/relationships/image" Target="../media/image1472.tmp"/><Relationship Id="rId702" Type="http://schemas.openxmlformats.org/officeDocument/2006/relationships/image" Target="../media/image702.tmp"/><Relationship Id="rId1125" Type="http://schemas.openxmlformats.org/officeDocument/2006/relationships/image" Target="../media/image1125.tmp"/><Relationship Id="rId1332" Type="http://schemas.openxmlformats.org/officeDocument/2006/relationships/image" Target="../media/image1332.tmp"/><Relationship Id="rId1777" Type="http://schemas.openxmlformats.org/officeDocument/2006/relationships/image" Target="../media/image1777.tmp"/><Relationship Id="rId69" Type="http://schemas.openxmlformats.org/officeDocument/2006/relationships/image" Target="../media/image69.tmp"/><Relationship Id="rId1637" Type="http://schemas.openxmlformats.org/officeDocument/2006/relationships/image" Target="../media/image1637.tmp"/><Relationship Id="rId1844" Type="http://schemas.openxmlformats.org/officeDocument/2006/relationships/image" Target="../media/image1844.tmp"/><Relationship Id="rId1704" Type="http://schemas.openxmlformats.org/officeDocument/2006/relationships/image" Target="../media/image1704.tmp"/><Relationship Id="rId285" Type="http://schemas.openxmlformats.org/officeDocument/2006/relationships/image" Target="../media/image285.tmp"/><Relationship Id="rId1911" Type="http://schemas.openxmlformats.org/officeDocument/2006/relationships/image" Target="../media/image1911.tmp"/><Relationship Id="rId492" Type="http://schemas.openxmlformats.org/officeDocument/2006/relationships/image" Target="../media/image492.tmp"/><Relationship Id="rId797" Type="http://schemas.openxmlformats.org/officeDocument/2006/relationships/image" Target="../media/image797.tmp"/><Relationship Id="rId145" Type="http://schemas.openxmlformats.org/officeDocument/2006/relationships/image" Target="../media/image145.tmp"/><Relationship Id="rId352" Type="http://schemas.openxmlformats.org/officeDocument/2006/relationships/image" Target="../media/image352.tmp"/><Relationship Id="rId1287" Type="http://schemas.openxmlformats.org/officeDocument/2006/relationships/image" Target="../media/image1287.tmp"/><Relationship Id="rId212" Type="http://schemas.openxmlformats.org/officeDocument/2006/relationships/image" Target="../media/image212.tmp"/><Relationship Id="rId657" Type="http://schemas.openxmlformats.org/officeDocument/2006/relationships/image" Target="../media/image657.tmp"/><Relationship Id="rId864" Type="http://schemas.openxmlformats.org/officeDocument/2006/relationships/image" Target="../media/image864.tmp"/><Relationship Id="rId1494" Type="http://schemas.openxmlformats.org/officeDocument/2006/relationships/image" Target="../media/image1494.tmp"/><Relationship Id="rId1799" Type="http://schemas.openxmlformats.org/officeDocument/2006/relationships/image" Target="../media/image1799.tmp"/><Relationship Id="rId517" Type="http://schemas.openxmlformats.org/officeDocument/2006/relationships/image" Target="../media/image517.tmp"/><Relationship Id="rId724" Type="http://schemas.openxmlformats.org/officeDocument/2006/relationships/image" Target="../media/image724.tmp"/><Relationship Id="rId931" Type="http://schemas.openxmlformats.org/officeDocument/2006/relationships/image" Target="../media/image931.tmp"/><Relationship Id="rId1147" Type="http://schemas.openxmlformats.org/officeDocument/2006/relationships/image" Target="../media/image1147.tmp"/><Relationship Id="rId1354" Type="http://schemas.openxmlformats.org/officeDocument/2006/relationships/image" Target="../media/image1354.tmp"/><Relationship Id="rId1561" Type="http://schemas.openxmlformats.org/officeDocument/2006/relationships/image" Target="../media/image1561.tmp"/><Relationship Id="rId60" Type="http://schemas.openxmlformats.org/officeDocument/2006/relationships/image" Target="../media/image60.tmp"/><Relationship Id="rId1007" Type="http://schemas.openxmlformats.org/officeDocument/2006/relationships/image" Target="../media/image1007.tmp"/><Relationship Id="rId1214" Type="http://schemas.openxmlformats.org/officeDocument/2006/relationships/image" Target="../media/image1214.tmp"/><Relationship Id="rId1421" Type="http://schemas.openxmlformats.org/officeDocument/2006/relationships/image" Target="../media/image1421.tmp"/><Relationship Id="rId1659" Type="http://schemas.openxmlformats.org/officeDocument/2006/relationships/image" Target="../media/image1659.tmp"/><Relationship Id="rId1866" Type="http://schemas.openxmlformats.org/officeDocument/2006/relationships/image" Target="../media/image1866.tmp"/><Relationship Id="rId1519" Type="http://schemas.openxmlformats.org/officeDocument/2006/relationships/image" Target="../media/image1519.tmp"/><Relationship Id="rId1726" Type="http://schemas.openxmlformats.org/officeDocument/2006/relationships/image" Target="../media/image1726.tmp"/><Relationship Id="rId1933" Type="http://schemas.openxmlformats.org/officeDocument/2006/relationships/image" Target="../media/image1933.tmp"/><Relationship Id="rId18" Type="http://schemas.openxmlformats.org/officeDocument/2006/relationships/image" Target="../media/image18.tmp"/><Relationship Id="rId167" Type="http://schemas.openxmlformats.org/officeDocument/2006/relationships/image" Target="../media/image167.tmp"/><Relationship Id="rId374" Type="http://schemas.openxmlformats.org/officeDocument/2006/relationships/image" Target="../media/image374.tmp"/><Relationship Id="rId581" Type="http://schemas.openxmlformats.org/officeDocument/2006/relationships/image" Target="../media/image581.tmp"/><Relationship Id="rId234" Type="http://schemas.openxmlformats.org/officeDocument/2006/relationships/image" Target="../media/image234.tmp"/><Relationship Id="rId679" Type="http://schemas.openxmlformats.org/officeDocument/2006/relationships/image" Target="../media/image679.tmp"/><Relationship Id="rId886" Type="http://schemas.openxmlformats.org/officeDocument/2006/relationships/image" Target="../media/image886.tmp"/><Relationship Id="rId2" Type="http://schemas.openxmlformats.org/officeDocument/2006/relationships/image" Target="../media/image2.tmp"/><Relationship Id="rId441" Type="http://schemas.openxmlformats.org/officeDocument/2006/relationships/image" Target="../media/image441.tmp"/><Relationship Id="rId539" Type="http://schemas.openxmlformats.org/officeDocument/2006/relationships/image" Target="../media/image539.tmp"/><Relationship Id="rId746" Type="http://schemas.openxmlformats.org/officeDocument/2006/relationships/image" Target="../media/image746.tmp"/><Relationship Id="rId1071" Type="http://schemas.openxmlformats.org/officeDocument/2006/relationships/image" Target="../media/image1071.tmp"/><Relationship Id="rId1169" Type="http://schemas.openxmlformats.org/officeDocument/2006/relationships/image" Target="../media/image1169.tmp"/><Relationship Id="rId1376" Type="http://schemas.openxmlformats.org/officeDocument/2006/relationships/image" Target="../media/image1376.tmp"/><Relationship Id="rId1583" Type="http://schemas.openxmlformats.org/officeDocument/2006/relationships/image" Target="../media/image1583.tmp"/><Relationship Id="rId301" Type="http://schemas.openxmlformats.org/officeDocument/2006/relationships/image" Target="../media/image301.tmp"/><Relationship Id="rId953" Type="http://schemas.openxmlformats.org/officeDocument/2006/relationships/image" Target="../media/image953.tmp"/><Relationship Id="rId1029" Type="http://schemas.openxmlformats.org/officeDocument/2006/relationships/image" Target="../media/image1029.tmp"/><Relationship Id="rId1236" Type="http://schemas.openxmlformats.org/officeDocument/2006/relationships/image" Target="../media/image1236.tmp"/><Relationship Id="rId1790" Type="http://schemas.openxmlformats.org/officeDocument/2006/relationships/image" Target="../media/image1790.tmp"/><Relationship Id="rId1888" Type="http://schemas.openxmlformats.org/officeDocument/2006/relationships/image" Target="../media/image1888.tmp"/><Relationship Id="rId82" Type="http://schemas.openxmlformats.org/officeDocument/2006/relationships/image" Target="../media/image82.tmp"/><Relationship Id="rId606" Type="http://schemas.openxmlformats.org/officeDocument/2006/relationships/image" Target="../media/image606.tmp"/><Relationship Id="rId813" Type="http://schemas.openxmlformats.org/officeDocument/2006/relationships/image" Target="../media/image813.tmp"/><Relationship Id="rId1443" Type="http://schemas.openxmlformats.org/officeDocument/2006/relationships/image" Target="../media/image1443.tmp"/><Relationship Id="rId1650" Type="http://schemas.openxmlformats.org/officeDocument/2006/relationships/image" Target="../media/image1650.tmp"/><Relationship Id="rId1748" Type="http://schemas.openxmlformats.org/officeDocument/2006/relationships/image" Target="../media/image1748.tmp"/><Relationship Id="rId1303" Type="http://schemas.openxmlformats.org/officeDocument/2006/relationships/image" Target="../media/image1303.tmp"/><Relationship Id="rId1510" Type="http://schemas.openxmlformats.org/officeDocument/2006/relationships/image" Target="../media/image1510.tmp"/><Relationship Id="rId1955" Type="http://schemas.openxmlformats.org/officeDocument/2006/relationships/image" Target="../media/image1955.tmp"/><Relationship Id="rId1608" Type="http://schemas.openxmlformats.org/officeDocument/2006/relationships/image" Target="../media/image1608.tmp"/><Relationship Id="rId1815" Type="http://schemas.openxmlformats.org/officeDocument/2006/relationships/image" Target="../media/image1815.tmp"/><Relationship Id="rId189" Type="http://schemas.openxmlformats.org/officeDocument/2006/relationships/image" Target="../media/image189.tmp"/><Relationship Id="rId396" Type="http://schemas.openxmlformats.org/officeDocument/2006/relationships/image" Target="../media/image396.tmp"/><Relationship Id="rId256" Type="http://schemas.openxmlformats.org/officeDocument/2006/relationships/image" Target="../media/image256.tmp"/><Relationship Id="rId463" Type="http://schemas.openxmlformats.org/officeDocument/2006/relationships/image" Target="../media/image463.tmp"/><Relationship Id="rId670" Type="http://schemas.openxmlformats.org/officeDocument/2006/relationships/image" Target="../media/image670.tmp"/><Relationship Id="rId1093" Type="http://schemas.openxmlformats.org/officeDocument/2006/relationships/image" Target="../media/image1093.tmp"/><Relationship Id="rId116" Type="http://schemas.openxmlformats.org/officeDocument/2006/relationships/image" Target="../media/image116.tmp"/><Relationship Id="rId323" Type="http://schemas.openxmlformats.org/officeDocument/2006/relationships/image" Target="../media/image323.tmp"/><Relationship Id="rId530" Type="http://schemas.openxmlformats.org/officeDocument/2006/relationships/image" Target="../media/image530.tmp"/><Relationship Id="rId768" Type="http://schemas.openxmlformats.org/officeDocument/2006/relationships/image" Target="../media/image768.tmp"/><Relationship Id="rId975" Type="http://schemas.openxmlformats.org/officeDocument/2006/relationships/image" Target="../media/image975.tmp"/><Relationship Id="rId1160" Type="http://schemas.openxmlformats.org/officeDocument/2006/relationships/image" Target="../media/image1160.tmp"/><Relationship Id="rId1398" Type="http://schemas.openxmlformats.org/officeDocument/2006/relationships/image" Target="../media/image1398.tmp"/><Relationship Id="rId628" Type="http://schemas.openxmlformats.org/officeDocument/2006/relationships/image" Target="../media/image628.tmp"/><Relationship Id="rId835" Type="http://schemas.openxmlformats.org/officeDocument/2006/relationships/image" Target="../media/image835.tmp"/><Relationship Id="rId1258" Type="http://schemas.openxmlformats.org/officeDocument/2006/relationships/image" Target="../media/image1258.tmp"/><Relationship Id="rId1465" Type="http://schemas.openxmlformats.org/officeDocument/2006/relationships/image" Target="../media/image1465.tmp"/><Relationship Id="rId1672" Type="http://schemas.openxmlformats.org/officeDocument/2006/relationships/image" Target="../media/image1672.tmp"/><Relationship Id="rId1020" Type="http://schemas.openxmlformats.org/officeDocument/2006/relationships/image" Target="../media/image1020.tmp"/><Relationship Id="rId1118" Type="http://schemas.openxmlformats.org/officeDocument/2006/relationships/image" Target="../media/image1118.tmp"/><Relationship Id="rId1325" Type="http://schemas.openxmlformats.org/officeDocument/2006/relationships/image" Target="../media/image1325.tmp"/><Relationship Id="rId1532" Type="http://schemas.openxmlformats.org/officeDocument/2006/relationships/image" Target="../media/image1532.tmp"/><Relationship Id="rId902" Type="http://schemas.openxmlformats.org/officeDocument/2006/relationships/image" Target="../media/image902.tmp"/><Relationship Id="rId1837" Type="http://schemas.openxmlformats.org/officeDocument/2006/relationships/image" Target="../media/image1837.tmp"/><Relationship Id="rId31" Type="http://schemas.openxmlformats.org/officeDocument/2006/relationships/image" Target="../media/image31.tmp"/><Relationship Id="rId180" Type="http://schemas.openxmlformats.org/officeDocument/2006/relationships/image" Target="../media/image180.tmp"/><Relationship Id="rId278" Type="http://schemas.openxmlformats.org/officeDocument/2006/relationships/image" Target="../media/image278.tmp"/><Relationship Id="rId1904" Type="http://schemas.openxmlformats.org/officeDocument/2006/relationships/image" Target="../media/image1904.tmp"/><Relationship Id="rId485" Type="http://schemas.openxmlformats.org/officeDocument/2006/relationships/image" Target="../media/image485.tmp"/><Relationship Id="rId692" Type="http://schemas.openxmlformats.org/officeDocument/2006/relationships/image" Target="../media/image692.tmp"/><Relationship Id="rId138" Type="http://schemas.openxmlformats.org/officeDocument/2006/relationships/image" Target="../media/image138.tmp"/><Relationship Id="rId345" Type="http://schemas.openxmlformats.org/officeDocument/2006/relationships/image" Target="../media/image345.tmp"/><Relationship Id="rId552" Type="http://schemas.openxmlformats.org/officeDocument/2006/relationships/image" Target="../media/image552.tmp"/><Relationship Id="rId997" Type="http://schemas.openxmlformats.org/officeDocument/2006/relationships/image" Target="../media/image997.tmp"/><Relationship Id="rId1182" Type="http://schemas.openxmlformats.org/officeDocument/2006/relationships/image" Target="../media/image1182.tmp"/><Relationship Id="rId205" Type="http://schemas.openxmlformats.org/officeDocument/2006/relationships/image" Target="../media/image205.tmp"/><Relationship Id="rId412" Type="http://schemas.openxmlformats.org/officeDocument/2006/relationships/image" Target="../media/image412.tmp"/><Relationship Id="rId857" Type="http://schemas.openxmlformats.org/officeDocument/2006/relationships/image" Target="../media/image857.tmp"/><Relationship Id="rId1042" Type="http://schemas.openxmlformats.org/officeDocument/2006/relationships/image" Target="../media/image1042.tmp"/><Relationship Id="rId1487" Type="http://schemas.openxmlformats.org/officeDocument/2006/relationships/image" Target="../media/image1487.tmp"/><Relationship Id="rId1694" Type="http://schemas.openxmlformats.org/officeDocument/2006/relationships/image" Target="../media/image1694.tmp"/><Relationship Id="rId717" Type="http://schemas.openxmlformats.org/officeDocument/2006/relationships/image" Target="../media/image717.tmp"/><Relationship Id="rId924" Type="http://schemas.openxmlformats.org/officeDocument/2006/relationships/image" Target="../media/image924.tmp"/><Relationship Id="rId1347" Type="http://schemas.openxmlformats.org/officeDocument/2006/relationships/image" Target="../media/image1347.tmp"/><Relationship Id="rId1554" Type="http://schemas.openxmlformats.org/officeDocument/2006/relationships/image" Target="../media/image1554.tmp"/><Relationship Id="rId1761" Type="http://schemas.openxmlformats.org/officeDocument/2006/relationships/image" Target="../media/image1761.tmp"/><Relationship Id="rId53" Type="http://schemas.openxmlformats.org/officeDocument/2006/relationships/image" Target="../media/image53.tmp"/><Relationship Id="rId1207" Type="http://schemas.openxmlformats.org/officeDocument/2006/relationships/image" Target="../media/image1207.tmp"/><Relationship Id="rId1414" Type="http://schemas.openxmlformats.org/officeDocument/2006/relationships/image" Target="../media/image1414.tmp"/><Relationship Id="rId1621" Type="http://schemas.openxmlformats.org/officeDocument/2006/relationships/image" Target="../media/image1621.tmp"/><Relationship Id="rId1859" Type="http://schemas.openxmlformats.org/officeDocument/2006/relationships/image" Target="../media/image1859.tmp"/><Relationship Id="rId1719" Type="http://schemas.openxmlformats.org/officeDocument/2006/relationships/image" Target="../media/image1719.tmp"/><Relationship Id="rId1926" Type="http://schemas.openxmlformats.org/officeDocument/2006/relationships/image" Target="../media/image1926.tmp"/><Relationship Id="rId367" Type="http://schemas.openxmlformats.org/officeDocument/2006/relationships/image" Target="../media/image367.tmp"/><Relationship Id="rId574" Type="http://schemas.openxmlformats.org/officeDocument/2006/relationships/image" Target="../media/image574.tmp"/><Relationship Id="rId227" Type="http://schemas.openxmlformats.org/officeDocument/2006/relationships/image" Target="../media/image227.tmp"/><Relationship Id="rId781" Type="http://schemas.openxmlformats.org/officeDocument/2006/relationships/image" Target="../media/image781.tmp"/><Relationship Id="rId879" Type="http://schemas.openxmlformats.org/officeDocument/2006/relationships/image" Target="../media/image879.tmp"/><Relationship Id="rId434" Type="http://schemas.openxmlformats.org/officeDocument/2006/relationships/image" Target="../media/image434.tmp"/><Relationship Id="rId641" Type="http://schemas.openxmlformats.org/officeDocument/2006/relationships/image" Target="../media/image641.tmp"/><Relationship Id="rId739" Type="http://schemas.openxmlformats.org/officeDocument/2006/relationships/image" Target="../media/image739.tmp"/><Relationship Id="rId1064" Type="http://schemas.openxmlformats.org/officeDocument/2006/relationships/image" Target="../media/image1064.tmp"/><Relationship Id="rId1271" Type="http://schemas.openxmlformats.org/officeDocument/2006/relationships/image" Target="../media/image1271.tmp"/><Relationship Id="rId1369" Type="http://schemas.openxmlformats.org/officeDocument/2006/relationships/image" Target="../media/image1369.tmp"/><Relationship Id="rId1576" Type="http://schemas.openxmlformats.org/officeDocument/2006/relationships/image" Target="../media/image1576.tmp"/><Relationship Id="rId501" Type="http://schemas.openxmlformats.org/officeDocument/2006/relationships/image" Target="../media/image501.tmp"/><Relationship Id="rId946" Type="http://schemas.openxmlformats.org/officeDocument/2006/relationships/image" Target="../media/image946.tmp"/><Relationship Id="rId1131" Type="http://schemas.openxmlformats.org/officeDocument/2006/relationships/image" Target="../media/image1131.tmp"/><Relationship Id="rId1229" Type="http://schemas.openxmlformats.org/officeDocument/2006/relationships/image" Target="../media/image1229.tmp"/><Relationship Id="rId1783" Type="http://schemas.openxmlformats.org/officeDocument/2006/relationships/image" Target="../media/image1783.tmp"/><Relationship Id="rId75" Type="http://schemas.openxmlformats.org/officeDocument/2006/relationships/image" Target="../media/image75.tmp"/><Relationship Id="rId806" Type="http://schemas.openxmlformats.org/officeDocument/2006/relationships/image" Target="../media/image806.tmp"/><Relationship Id="rId1436" Type="http://schemas.openxmlformats.org/officeDocument/2006/relationships/image" Target="../media/image1436.tmp"/><Relationship Id="rId1643" Type="http://schemas.openxmlformats.org/officeDocument/2006/relationships/image" Target="../media/image1643.tmp"/><Relationship Id="rId1850" Type="http://schemas.openxmlformats.org/officeDocument/2006/relationships/image" Target="../media/image1850.tmp"/><Relationship Id="rId1503" Type="http://schemas.openxmlformats.org/officeDocument/2006/relationships/image" Target="../media/image1503.tmp"/><Relationship Id="rId1710" Type="http://schemas.openxmlformats.org/officeDocument/2006/relationships/image" Target="../media/image1710.tmp"/><Relationship Id="rId1948" Type="http://schemas.openxmlformats.org/officeDocument/2006/relationships/image" Target="../media/image1948.tmp"/><Relationship Id="rId291" Type="http://schemas.openxmlformats.org/officeDocument/2006/relationships/image" Target="../media/image291.tmp"/><Relationship Id="rId1808" Type="http://schemas.openxmlformats.org/officeDocument/2006/relationships/image" Target="../media/image1808.tmp"/><Relationship Id="rId151" Type="http://schemas.openxmlformats.org/officeDocument/2006/relationships/image" Target="../media/image151.tmp"/><Relationship Id="rId389" Type="http://schemas.openxmlformats.org/officeDocument/2006/relationships/image" Target="../media/image389.tmp"/><Relationship Id="rId596" Type="http://schemas.openxmlformats.org/officeDocument/2006/relationships/image" Target="../media/image596.tmp"/><Relationship Id="rId249" Type="http://schemas.openxmlformats.org/officeDocument/2006/relationships/image" Target="../media/image249.tmp"/><Relationship Id="rId456" Type="http://schemas.openxmlformats.org/officeDocument/2006/relationships/image" Target="../media/image456.tmp"/><Relationship Id="rId663" Type="http://schemas.openxmlformats.org/officeDocument/2006/relationships/image" Target="../media/image663.tmp"/><Relationship Id="rId870" Type="http://schemas.openxmlformats.org/officeDocument/2006/relationships/image" Target="../media/image870.tmp"/><Relationship Id="rId1086" Type="http://schemas.openxmlformats.org/officeDocument/2006/relationships/image" Target="../media/image1086.tmp"/><Relationship Id="rId1293" Type="http://schemas.openxmlformats.org/officeDocument/2006/relationships/image" Target="../media/image1293.tmp"/><Relationship Id="rId109" Type="http://schemas.openxmlformats.org/officeDocument/2006/relationships/image" Target="../media/image109.tmp"/><Relationship Id="rId316" Type="http://schemas.openxmlformats.org/officeDocument/2006/relationships/image" Target="../media/image316.tmp"/><Relationship Id="rId523" Type="http://schemas.openxmlformats.org/officeDocument/2006/relationships/image" Target="../media/image523.tmp"/><Relationship Id="rId968" Type="http://schemas.openxmlformats.org/officeDocument/2006/relationships/image" Target="../media/image968.tmp"/><Relationship Id="rId1153" Type="http://schemas.openxmlformats.org/officeDocument/2006/relationships/image" Target="../media/image1153.tmp"/><Relationship Id="rId1598" Type="http://schemas.openxmlformats.org/officeDocument/2006/relationships/image" Target="../media/image1598.tmp"/><Relationship Id="rId97" Type="http://schemas.openxmlformats.org/officeDocument/2006/relationships/image" Target="../media/image97.tmp"/><Relationship Id="rId730" Type="http://schemas.openxmlformats.org/officeDocument/2006/relationships/image" Target="../media/image730.tmp"/><Relationship Id="rId828" Type="http://schemas.openxmlformats.org/officeDocument/2006/relationships/image" Target="../media/image828.tmp"/><Relationship Id="rId1013" Type="http://schemas.openxmlformats.org/officeDocument/2006/relationships/image" Target="../media/image1013.tmp"/><Relationship Id="rId1360" Type="http://schemas.openxmlformats.org/officeDocument/2006/relationships/image" Target="../media/image1360.tmp"/><Relationship Id="rId1458" Type="http://schemas.openxmlformats.org/officeDocument/2006/relationships/image" Target="../media/image1458.tmp"/><Relationship Id="rId1665" Type="http://schemas.openxmlformats.org/officeDocument/2006/relationships/image" Target="../media/image1665.tmp"/><Relationship Id="rId1872" Type="http://schemas.openxmlformats.org/officeDocument/2006/relationships/image" Target="../media/image1872.tmp"/><Relationship Id="rId1220" Type="http://schemas.openxmlformats.org/officeDocument/2006/relationships/image" Target="../media/image1220.tmp"/><Relationship Id="rId1318" Type="http://schemas.openxmlformats.org/officeDocument/2006/relationships/image" Target="../media/image1318.tmp"/><Relationship Id="rId1525" Type="http://schemas.openxmlformats.org/officeDocument/2006/relationships/image" Target="../media/image1525.tmp"/><Relationship Id="rId1732" Type="http://schemas.openxmlformats.org/officeDocument/2006/relationships/image" Target="../media/image1732.tmp"/><Relationship Id="rId24" Type="http://schemas.openxmlformats.org/officeDocument/2006/relationships/image" Target="../media/image24.tmp"/><Relationship Id="rId173" Type="http://schemas.openxmlformats.org/officeDocument/2006/relationships/image" Target="../media/image173.tmp"/><Relationship Id="rId380" Type="http://schemas.openxmlformats.org/officeDocument/2006/relationships/image" Target="../media/image380.tmp"/><Relationship Id="rId240" Type="http://schemas.openxmlformats.org/officeDocument/2006/relationships/image" Target="../media/image240.tmp"/><Relationship Id="rId478" Type="http://schemas.openxmlformats.org/officeDocument/2006/relationships/image" Target="../media/image478.tmp"/><Relationship Id="rId685" Type="http://schemas.openxmlformats.org/officeDocument/2006/relationships/image" Target="../media/image685.tmp"/><Relationship Id="rId892" Type="http://schemas.openxmlformats.org/officeDocument/2006/relationships/image" Target="../media/image892.tmp"/><Relationship Id="rId100" Type="http://schemas.openxmlformats.org/officeDocument/2006/relationships/image" Target="../media/image100.tmp"/><Relationship Id="rId338" Type="http://schemas.openxmlformats.org/officeDocument/2006/relationships/image" Target="../media/image338.tmp"/><Relationship Id="rId545" Type="http://schemas.openxmlformats.org/officeDocument/2006/relationships/image" Target="../media/image545.tmp"/><Relationship Id="rId752" Type="http://schemas.openxmlformats.org/officeDocument/2006/relationships/image" Target="../media/image752.tmp"/><Relationship Id="rId1175" Type="http://schemas.openxmlformats.org/officeDocument/2006/relationships/image" Target="../media/image1175.tmp"/><Relationship Id="rId1382" Type="http://schemas.openxmlformats.org/officeDocument/2006/relationships/image" Target="../media/image1382.tmp"/><Relationship Id="rId405" Type="http://schemas.openxmlformats.org/officeDocument/2006/relationships/image" Target="../media/image405.tmp"/><Relationship Id="rId612" Type="http://schemas.openxmlformats.org/officeDocument/2006/relationships/image" Target="../media/image612.tmp"/><Relationship Id="rId1035" Type="http://schemas.openxmlformats.org/officeDocument/2006/relationships/image" Target="../media/image1035.tmp"/><Relationship Id="rId1242" Type="http://schemas.openxmlformats.org/officeDocument/2006/relationships/image" Target="../media/image1242.tmp"/><Relationship Id="rId1687" Type="http://schemas.openxmlformats.org/officeDocument/2006/relationships/image" Target="../media/image1687.tmp"/><Relationship Id="rId1894" Type="http://schemas.openxmlformats.org/officeDocument/2006/relationships/image" Target="../media/image1894.tmp"/><Relationship Id="rId917" Type="http://schemas.openxmlformats.org/officeDocument/2006/relationships/image" Target="../media/image917.tmp"/><Relationship Id="rId1102" Type="http://schemas.openxmlformats.org/officeDocument/2006/relationships/image" Target="../media/image1102.tmp"/><Relationship Id="rId1547" Type="http://schemas.openxmlformats.org/officeDocument/2006/relationships/image" Target="../media/image1547.tmp"/><Relationship Id="rId1754" Type="http://schemas.openxmlformats.org/officeDocument/2006/relationships/image" Target="../media/image1754.tmp"/><Relationship Id="rId1961" Type="http://schemas.openxmlformats.org/officeDocument/2006/relationships/image" Target="../media/image1961.tmp"/><Relationship Id="rId46" Type="http://schemas.openxmlformats.org/officeDocument/2006/relationships/image" Target="../media/image46.tmp"/><Relationship Id="rId1407" Type="http://schemas.openxmlformats.org/officeDocument/2006/relationships/image" Target="../media/image1407.tmp"/><Relationship Id="rId1614" Type="http://schemas.openxmlformats.org/officeDocument/2006/relationships/image" Target="../media/image1614.tmp"/><Relationship Id="rId1821" Type="http://schemas.openxmlformats.org/officeDocument/2006/relationships/image" Target="../media/image1821.tmp"/><Relationship Id="rId195" Type="http://schemas.openxmlformats.org/officeDocument/2006/relationships/image" Target="../media/image195.tmp"/><Relationship Id="rId1919" Type="http://schemas.openxmlformats.org/officeDocument/2006/relationships/image" Target="../media/image1919.tmp"/><Relationship Id="rId262" Type="http://schemas.openxmlformats.org/officeDocument/2006/relationships/image" Target="../media/image262.tmp"/><Relationship Id="rId567" Type="http://schemas.openxmlformats.org/officeDocument/2006/relationships/image" Target="../media/image567.tmp"/><Relationship Id="rId1197" Type="http://schemas.openxmlformats.org/officeDocument/2006/relationships/image" Target="../media/image1197.tmp"/><Relationship Id="rId122" Type="http://schemas.openxmlformats.org/officeDocument/2006/relationships/image" Target="../media/image122.tmp"/><Relationship Id="rId774" Type="http://schemas.openxmlformats.org/officeDocument/2006/relationships/image" Target="../media/image774.tmp"/><Relationship Id="rId981" Type="http://schemas.openxmlformats.org/officeDocument/2006/relationships/image" Target="../media/image981.tmp"/><Relationship Id="rId1057" Type="http://schemas.openxmlformats.org/officeDocument/2006/relationships/image" Target="../media/image1057.tmp"/><Relationship Id="rId427" Type="http://schemas.openxmlformats.org/officeDocument/2006/relationships/image" Target="../media/image427.tmp"/><Relationship Id="rId634" Type="http://schemas.openxmlformats.org/officeDocument/2006/relationships/image" Target="../media/image634.tmp"/><Relationship Id="rId841" Type="http://schemas.openxmlformats.org/officeDocument/2006/relationships/image" Target="../media/image841.tmp"/><Relationship Id="rId1264" Type="http://schemas.openxmlformats.org/officeDocument/2006/relationships/image" Target="../media/image1264.tmp"/><Relationship Id="rId1471" Type="http://schemas.openxmlformats.org/officeDocument/2006/relationships/image" Target="../media/image1471.tmp"/><Relationship Id="rId1569" Type="http://schemas.openxmlformats.org/officeDocument/2006/relationships/image" Target="../media/image1569.tmp"/><Relationship Id="rId701" Type="http://schemas.openxmlformats.org/officeDocument/2006/relationships/image" Target="../media/image701.tmp"/><Relationship Id="rId939" Type="http://schemas.openxmlformats.org/officeDocument/2006/relationships/image" Target="../media/image939.tmp"/><Relationship Id="rId1124" Type="http://schemas.openxmlformats.org/officeDocument/2006/relationships/image" Target="../media/image1124.tmp"/><Relationship Id="rId1331" Type="http://schemas.openxmlformats.org/officeDocument/2006/relationships/image" Target="../media/image1331.tmp"/><Relationship Id="rId1776" Type="http://schemas.openxmlformats.org/officeDocument/2006/relationships/image" Target="../media/image1776.tmp"/><Relationship Id="rId68" Type="http://schemas.openxmlformats.org/officeDocument/2006/relationships/image" Target="../media/image68.tmp"/><Relationship Id="rId1429" Type="http://schemas.openxmlformats.org/officeDocument/2006/relationships/image" Target="../media/image1429.tmp"/><Relationship Id="rId1636" Type="http://schemas.openxmlformats.org/officeDocument/2006/relationships/image" Target="../media/image1636.tmp"/><Relationship Id="rId1843" Type="http://schemas.openxmlformats.org/officeDocument/2006/relationships/image" Target="../media/image1843.tmp"/><Relationship Id="rId1703" Type="http://schemas.openxmlformats.org/officeDocument/2006/relationships/image" Target="../media/image1703.tmp"/><Relationship Id="rId1910" Type="http://schemas.openxmlformats.org/officeDocument/2006/relationships/image" Target="../media/image1910.tmp"/><Relationship Id="rId284" Type="http://schemas.openxmlformats.org/officeDocument/2006/relationships/image" Target="../media/image284.tmp"/><Relationship Id="rId491" Type="http://schemas.openxmlformats.org/officeDocument/2006/relationships/image" Target="../media/image491.tmp"/><Relationship Id="rId144" Type="http://schemas.openxmlformats.org/officeDocument/2006/relationships/image" Target="../media/image144.tmp"/><Relationship Id="rId589" Type="http://schemas.openxmlformats.org/officeDocument/2006/relationships/image" Target="../media/image589.tmp"/><Relationship Id="rId796" Type="http://schemas.openxmlformats.org/officeDocument/2006/relationships/image" Target="../media/image796.tmp"/><Relationship Id="rId351" Type="http://schemas.openxmlformats.org/officeDocument/2006/relationships/image" Target="../media/image351.tmp"/><Relationship Id="rId449" Type="http://schemas.openxmlformats.org/officeDocument/2006/relationships/image" Target="../media/image449.tmp"/><Relationship Id="rId656" Type="http://schemas.openxmlformats.org/officeDocument/2006/relationships/image" Target="../media/image656.tmp"/><Relationship Id="rId863" Type="http://schemas.openxmlformats.org/officeDocument/2006/relationships/image" Target="../media/image863.tmp"/><Relationship Id="rId1079" Type="http://schemas.openxmlformats.org/officeDocument/2006/relationships/image" Target="../media/image1079.tmp"/><Relationship Id="rId1286" Type="http://schemas.openxmlformats.org/officeDocument/2006/relationships/image" Target="../media/image1286.tmp"/><Relationship Id="rId1493" Type="http://schemas.openxmlformats.org/officeDocument/2006/relationships/image" Target="../media/image1493.tmp"/><Relationship Id="rId211" Type="http://schemas.openxmlformats.org/officeDocument/2006/relationships/image" Target="../media/image211.tmp"/><Relationship Id="rId309" Type="http://schemas.openxmlformats.org/officeDocument/2006/relationships/image" Target="../media/image309.tmp"/><Relationship Id="rId516" Type="http://schemas.openxmlformats.org/officeDocument/2006/relationships/image" Target="../media/image516.tmp"/><Relationship Id="rId1146" Type="http://schemas.openxmlformats.org/officeDocument/2006/relationships/image" Target="../media/image1146.tmp"/><Relationship Id="rId1798" Type="http://schemas.openxmlformats.org/officeDocument/2006/relationships/image" Target="../media/image1798.tmp"/><Relationship Id="rId723" Type="http://schemas.openxmlformats.org/officeDocument/2006/relationships/image" Target="../media/image723.tmp"/><Relationship Id="rId930" Type="http://schemas.openxmlformats.org/officeDocument/2006/relationships/image" Target="../media/image930.tmp"/><Relationship Id="rId1006" Type="http://schemas.openxmlformats.org/officeDocument/2006/relationships/image" Target="../media/image1006.tmp"/><Relationship Id="rId1353" Type="http://schemas.openxmlformats.org/officeDocument/2006/relationships/image" Target="../media/image1353.tmp"/><Relationship Id="rId1560" Type="http://schemas.openxmlformats.org/officeDocument/2006/relationships/image" Target="../media/image1560.tmp"/><Relationship Id="rId1658" Type="http://schemas.openxmlformats.org/officeDocument/2006/relationships/image" Target="../media/image1658.tmp"/><Relationship Id="rId1865" Type="http://schemas.openxmlformats.org/officeDocument/2006/relationships/image" Target="../media/image1865.tmp"/><Relationship Id="rId1213" Type="http://schemas.openxmlformats.org/officeDocument/2006/relationships/image" Target="../media/image1213.tmp"/><Relationship Id="rId1420" Type="http://schemas.openxmlformats.org/officeDocument/2006/relationships/image" Target="../media/image1420.tmp"/><Relationship Id="rId1518" Type="http://schemas.openxmlformats.org/officeDocument/2006/relationships/image" Target="../media/image1518.tmp"/><Relationship Id="rId1725" Type="http://schemas.openxmlformats.org/officeDocument/2006/relationships/image" Target="../media/image1725.tmp"/><Relationship Id="rId1932" Type="http://schemas.openxmlformats.org/officeDocument/2006/relationships/image" Target="../media/image1932.tmp"/><Relationship Id="rId17" Type="http://schemas.openxmlformats.org/officeDocument/2006/relationships/image" Target="../media/image17.tmp"/><Relationship Id="rId166" Type="http://schemas.openxmlformats.org/officeDocument/2006/relationships/image" Target="../media/image166.tmp"/><Relationship Id="rId373" Type="http://schemas.openxmlformats.org/officeDocument/2006/relationships/image" Target="../media/image373.tmp"/><Relationship Id="rId580" Type="http://schemas.openxmlformats.org/officeDocument/2006/relationships/image" Target="../media/image580.tmp"/><Relationship Id="rId1" Type="http://schemas.openxmlformats.org/officeDocument/2006/relationships/image" Target="../media/image1.tmp"/><Relationship Id="rId233" Type="http://schemas.openxmlformats.org/officeDocument/2006/relationships/image" Target="../media/image233.tmp"/><Relationship Id="rId440" Type="http://schemas.openxmlformats.org/officeDocument/2006/relationships/image" Target="../media/image440.tmp"/><Relationship Id="rId678" Type="http://schemas.openxmlformats.org/officeDocument/2006/relationships/image" Target="../media/image678.tmp"/><Relationship Id="rId885" Type="http://schemas.openxmlformats.org/officeDocument/2006/relationships/image" Target="../media/image885.tmp"/><Relationship Id="rId1070" Type="http://schemas.openxmlformats.org/officeDocument/2006/relationships/image" Target="../media/image1070.tmp"/><Relationship Id="rId300" Type="http://schemas.openxmlformats.org/officeDocument/2006/relationships/image" Target="../media/image300.tmp"/><Relationship Id="rId538" Type="http://schemas.openxmlformats.org/officeDocument/2006/relationships/image" Target="../media/image538.tmp"/><Relationship Id="rId745" Type="http://schemas.openxmlformats.org/officeDocument/2006/relationships/image" Target="../media/image745.tmp"/><Relationship Id="rId952" Type="http://schemas.openxmlformats.org/officeDocument/2006/relationships/image" Target="../media/image952.tmp"/><Relationship Id="rId1168" Type="http://schemas.openxmlformats.org/officeDocument/2006/relationships/image" Target="../media/image1168.tmp"/><Relationship Id="rId1375" Type="http://schemas.openxmlformats.org/officeDocument/2006/relationships/image" Target="../media/image1375.tmp"/><Relationship Id="rId1582" Type="http://schemas.openxmlformats.org/officeDocument/2006/relationships/image" Target="../media/image1582.tmp"/><Relationship Id="rId81" Type="http://schemas.openxmlformats.org/officeDocument/2006/relationships/image" Target="../media/image81.tmp"/><Relationship Id="rId605" Type="http://schemas.openxmlformats.org/officeDocument/2006/relationships/image" Target="../media/image605.tmp"/><Relationship Id="rId812" Type="http://schemas.openxmlformats.org/officeDocument/2006/relationships/image" Target="../media/image812.tmp"/><Relationship Id="rId1028" Type="http://schemas.openxmlformats.org/officeDocument/2006/relationships/image" Target="../media/image1028.tmp"/><Relationship Id="rId1235" Type="http://schemas.openxmlformats.org/officeDocument/2006/relationships/image" Target="../media/image1235.tmp"/><Relationship Id="rId1442" Type="http://schemas.openxmlformats.org/officeDocument/2006/relationships/image" Target="../media/image1442.tmp"/><Relationship Id="rId1887" Type="http://schemas.openxmlformats.org/officeDocument/2006/relationships/image" Target="../media/image1887.tmp"/><Relationship Id="rId1302" Type="http://schemas.openxmlformats.org/officeDocument/2006/relationships/image" Target="../media/image1302.tmp"/><Relationship Id="rId1747" Type="http://schemas.openxmlformats.org/officeDocument/2006/relationships/image" Target="../media/image1747.tmp"/><Relationship Id="rId1954" Type="http://schemas.openxmlformats.org/officeDocument/2006/relationships/image" Target="../media/image1954.tmp"/><Relationship Id="rId39" Type="http://schemas.openxmlformats.org/officeDocument/2006/relationships/image" Target="../media/image39.tmp"/><Relationship Id="rId1607" Type="http://schemas.openxmlformats.org/officeDocument/2006/relationships/image" Target="../media/image1607.tmp"/><Relationship Id="rId1814" Type="http://schemas.openxmlformats.org/officeDocument/2006/relationships/image" Target="../media/image1814.tmp"/><Relationship Id="rId188" Type="http://schemas.openxmlformats.org/officeDocument/2006/relationships/image" Target="../media/image188.tmp"/><Relationship Id="rId395" Type="http://schemas.openxmlformats.org/officeDocument/2006/relationships/image" Target="../media/image395.tmp"/><Relationship Id="rId255" Type="http://schemas.openxmlformats.org/officeDocument/2006/relationships/image" Target="../media/image255.tmp"/><Relationship Id="rId462" Type="http://schemas.openxmlformats.org/officeDocument/2006/relationships/image" Target="../media/image462.tmp"/><Relationship Id="rId1092" Type="http://schemas.openxmlformats.org/officeDocument/2006/relationships/image" Target="../media/image1092.tmp"/><Relationship Id="rId1397" Type="http://schemas.openxmlformats.org/officeDocument/2006/relationships/image" Target="../media/image1397.tmp"/><Relationship Id="rId115" Type="http://schemas.openxmlformats.org/officeDocument/2006/relationships/image" Target="../media/image115.tmp"/><Relationship Id="rId322" Type="http://schemas.openxmlformats.org/officeDocument/2006/relationships/image" Target="../media/image322.tmp"/><Relationship Id="rId767" Type="http://schemas.openxmlformats.org/officeDocument/2006/relationships/image" Target="../media/image767.tmp"/><Relationship Id="rId974" Type="http://schemas.openxmlformats.org/officeDocument/2006/relationships/image" Target="../media/image974.tmp"/><Relationship Id="rId627" Type="http://schemas.openxmlformats.org/officeDocument/2006/relationships/image" Target="../media/image627.tmp"/><Relationship Id="rId834" Type="http://schemas.openxmlformats.org/officeDocument/2006/relationships/image" Target="../media/image834.tmp"/><Relationship Id="rId1257" Type="http://schemas.openxmlformats.org/officeDocument/2006/relationships/image" Target="../media/image1257.tmp"/><Relationship Id="rId1464" Type="http://schemas.openxmlformats.org/officeDocument/2006/relationships/image" Target="../media/image1464.tmp"/><Relationship Id="rId1671" Type="http://schemas.openxmlformats.org/officeDocument/2006/relationships/image" Target="../media/image1671.tmp"/><Relationship Id="rId901" Type="http://schemas.openxmlformats.org/officeDocument/2006/relationships/image" Target="../media/image901.tmp"/><Relationship Id="rId1117" Type="http://schemas.openxmlformats.org/officeDocument/2006/relationships/image" Target="../media/image1117.tmp"/><Relationship Id="rId1324" Type="http://schemas.openxmlformats.org/officeDocument/2006/relationships/image" Target="../media/image1324.tmp"/><Relationship Id="rId1531" Type="http://schemas.openxmlformats.org/officeDocument/2006/relationships/image" Target="../media/image1531.tmp"/><Relationship Id="rId1769" Type="http://schemas.openxmlformats.org/officeDocument/2006/relationships/image" Target="../media/image1769.tmp"/><Relationship Id="rId30" Type="http://schemas.openxmlformats.org/officeDocument/2006/relationships/image" Target="../media/image30.tmp"/><Relationship Id="rId1629" Type="http://schemas.openxmlformats.org/officeDocument/2006/relationships/image" Target="../media/image1629.tmp"/><Relationship Id="rId1836" Type="http://schemas.openxmlformats.org/officeDocument/2006/relationships/image" Target="../media/image1836.tmp"/><Relationship Id="rId1903" Type="http://schemas.openxmlformats.org/officeDocument/2006/relationships/image" Target="../media/image1903.tmp"/><Relationship Id="rId277" Type="http://schemas.openxmlformats.org/officeDocument/2006/relationships/image" Target="../media/image277.tmp"/><Relationship Id="rId484" Type="http://schemas.openxmlformats.org/officeDocument/2006/relationships/image" Target="../media/image484.tmp"/><Relationship Id="rId137" Type="http://schemas.openxmlformats.org/officeDocument/2006/relationships/image" Target="../media/image137.tmp"/><Relationship Id="rId344" Type="http://schemas.openxmlformats.org/officeDocument/2006/relationships/image" Target="../media/image344.tmp"/><Relationship Id="rId691" Type="http://schemas.openxmlformats.org/officeDocument/2006/relationships/image" Target="../media/image691.tmp"/><Relationship Id="rId789" Type="http://schemas.openxmlformats.org/officeDocument/2006/relationships/image" Target="../media/image789.tmp"/><Relationship Id="rId996" Type="http://schemas.openxmlformats.org/officeDocument/2006/relationships/image" Target="../media/image996.tmp"/><Relationship Id="rId551" Type="http://schemas.openxmlformats.org/officeDocument/2006/relationships/image" Target="../media/image551.tmp"/><Relationship Id="rId649" Type="http://schemas.openxmlformats.org/officeDocument/2006/relationships/image" Target="../media/image649.tmp"/><Relationship Id="rId856" Type="http://schemas.openxmlformats.org/officeDocument/2006/relationships/image" Target="../media/image856.tmp"/><Relationship Id="rId1181" Type="http://schemas.openxmlformats.org/officeDocument/2006/relationships/image" Target="../media/image1181.tmp"/><Relationship Id="rId1279" Type="http://schemas.openxmlformats.org/officeDocument/2006/relationships/image" Target="../media/image1279.tmp"/><Relationship Id="rId1486" Type="http://schemas.openxmlformats.org/officeDocument/2006/relationships/image" Target="../media/image1486.tmp"/><Relationship Id="rId204" Type="http://schemas.openxmlformats.org/officeDocument/2006/relationships/image" Target="../media/image204.tmp"/><Relationship Id="rId411" Type="http://schemas.openxmlformats.org/officeDocument/2006/relationships/image" Target="../media/image411.tmp"/><Relationship Id="rId509" Type="http://schemas.openxmlformats.org/officeDocument/2006/relationships/image" Target="../media/image509.tmp"/><Relationship Id="rId1041" Type="http://schemas.openxmlformats.org/officeDocument/2006/relationships/image" Target="../media/image1041.tmp"/><Relationship Id="rId1139" Type="http://schemas.openxmlformats.org/officeDocument/2006/relationships/image" Target="../media/image1139.tmp"/><Relationship Id="rId1346" Type="http://schemas.openxmlformats.org/officeDocument/2006/relationships/image" Target="../media/image1346.tmp"/><Relationship Id="rId1693" Type="http://schemas.openxmlformats.org/officeDocument/2006/relationships/image" Target="../media/image1693.tmp"/><Relationship Id="rId716" Type="http://schemas.openxmlformats.org/officeDocument/2006/relationships/image" Target="../media/image716.tmp"/><Relationship Id="rId923" Type="http://schemas.openxmlformats.org/officeDocument/2006/relationships/image" Target="../media/image923.tmp"/><Relationship Id="rId1553" Type="http://schemas.openxmlformats.org/officeDocument/2006/relationships/image" Target="../media/image1553.tmp"/><Relationship Id="rId1760" Type="http://schemas.openxmlformats.org/officeDocument/2006/relationships/image" Target="../media/image1760.tmp"/><Relationship Id="rId1858" Type="http://schemas.openxmlformats.org/officeDocument/2006/relationships/image" Target="../media/image1858.tmp"/><Relationship Id="rId52" Type="http://schemas.openxmlformats.org/officeDocument/2006/relationships/image" Target="../media/image52.tmp"/><Relationship Id="rId1206" Type="http://schemas.openxmlformats.org/officeDocument/2006/relationships/image" Target="../media/image1206.tmp"/><Relationship Id="rId1413" Type="http://schemas.openxmlformats.org/officeDocument/2006/relationships/image" Target="../media/image1413.tmp"/><Relationship Id="rId1620" Type="http://schemas.openxmlformats.org/officeDocument/2006/relationships/image" Target="../media/image1620.tmp"/><Relationship Id="rId1718" Type="http://schemas.openxmlformats.org/officeDocument/2006/relationships/image" Target="../media/image1718.tmp"/><Relationship Id="rId1925" Type="http://schemas.openxmlformats.org/officeDocument/2006/relationships/image" Target="../media/image1925.tmp"/><Relationship Id="rId299" Type="http://schemas.openxmlformats.org/officeDocument/2006/relationships/image" Target="../media/image299.tmp"/><Relationship Id="rId159" Type="http://schemas.openxmlformats.org/officeDocument/2006/relationships/image" Target="../media/image159.tmp"/><Relationship Id="rId366" Type="http://schemas.openxmlformats.org/officeDocument/2006/relationships/image" Target="../media/image366.tmp"/><Relationship Id="rId573" Type="http://schemas.openxmlformats.org/officeDocument/2006/relationships/image" Target="../media/image573.tmp"/><Relationship Id="rId780" Type="http://schemas.openxmlformats.org/officeDocument/2006/relationships/image" Target="../media/image780.tmp"/><Relationship Id="rId226" Type="http://schemas.openxmlformats.org/officeDocument/2006/relationships/image" Target="../media/image226.tmp"/><Relationship Id="rId433" Type="http://schemas.openxmlformats.org/officeDocument/2006/relationships/image" Target="../media/image433.tmp"/><Relationship Id="rId878" Type="http://schemas.openxmlformats.org/officeDocument/2006/relationships/image" Target="../media/image878.tmp"/><Relationship Id="rId1063" Type="http://schemas.openxmlformats.org/officeDocument/2006/relationships/image" Target="../media/image1063.tmp"/><Relationship Id="rId1270" Type="http://schemas.openxmlformats.org/officeDocument/2006/relationships/image" Target="../media/image1270.tmp"/><Relationship Id="rId640" Type="http://schemas.openxmlformats.org/officeDocument/2006/relationships/image" Target="../media/image640.tmp"/><Relationship Id="rId738" Type="http://schemas.openxmlformats.org/officeDocument/2006/relationships/image" Target="../media/image738.tmp"/><Relationship Id="rId945" Type="http://schemas.openxmlformats.org/officeDocument/2006/relationships/image" Target="../media/image945.tmp"/><Relationship Id="rId1368" Type="http://schemas.openxmlformats.org/officeDocument/2006/relationships/image" Target="../media/image1368.tmp"/><Relationship Id="rId1575" Type="http://schemas.openxmlformats.org/officeDocument/2006/relationships/image" Target="../media/image1575.tmp"/><Relationship Id="rId1782" Type="http://schemas.openxmlformats.org/officeDocument/2006/relationships/image" Target="../media/image1782.tmp"/><Relationship Id="rId74" Type="http://schemas.openxmlformats.org/officeDocument/2006/relationships/image" Target="../media/image74.tmp"/><Relationship Id="rId500" Type="http://schemas.openxmlformats.org/officeDocument/2006/relationships/image" Target="../media/image500.tmp"/><Relationship Id="rId805" Type="http://schemas.openxmlformats.org/officeDocument/2006/relationships/image" Target="../media/image805.tmp"/><Relationship Id="rId1130" Type="http://schemas.openxmlformats.org/officeDocument/2006/relationships/image" Target="../media/image1130.tmp"/><Relationship Id="rId1228" Type="http://schemas.openxmlformats.org/officeDocument/2006/relationships/image" Target="../media/image1228.tmp"/><Relationship Id="rId1435" Type="http://schemas.openxmlformats.org/officeDocument/2006/relationships/image" Target="../media/image1435.tmp"/><Relationship Id="rId1642" Type="http://schemas.openxmlformats.org/officeDocument/2006/relationships/image" Target="../media/image1642.tmp"/><Relationship Id="rId1947" Type="http://schemas.openxmlformats.org/officeDocument/2006/relationships/image" Target="../media/image1947.tmp"/><Relationship Id="rId1502" Type="http://schemas.openxmlformats.org/officeDocument/2006/relationships/image" Target="../media/image1502.tmp"/><Relationship Id="rId1807" Type="http://schemas.openxmlformats.org/officeDocument/2006/relationships/image" Target="../media/image1807.tmp"/><Relationship Id="rId290" Type="http://schemas.openxmlformats.org/officeDocument/2006/relationships/image" Target="../media/image290.tmp"/><Relationship Id="rId388" Type="http://schemas.openxmlformats.org/officeDocument/2006/relationships/image" Target="../media/image388.tmp"/><Relationship Id="rId150" Type="http://schemas.openxmlformats.org/officeDocument/2006/relationships/image" Target="../media/image150.tmp"/><Relationship Id="rId595" Type="http://schemas.openxmlformats.org/officeDocument/2006/relationships/image" Target="../media/image595.tmp"/><Relationship Id="rId248" Type="http://schemas.openxmlformats.org/officeDocument/2006/relationships/image" Target="../media/image248.tmp"/><Relationship Id="rId455" Type="http://schemas.openxmlformats.org/officeDocument/2006/relationships/image" Target="../media/image455.tmp"/><Relationship Id="rId662" Type="http://schemas.openxmlformats.org/officeDocument/2006/relationships/image" Target="../media/image662.tmp"/><Relationship Id="rId1085" Type="http://schemas.openxmlformats.org/officeDocument/2006/relationships/image" Target="../media/image1085.tmp"/><Relationship Id="rId1292" Type="http://schemas.openxmlformats.org/officeDocument/2006/relationships/image" Target="../media/image1292.tmp"/><Relationship Id="rId108" Type="http://schemas.openxmlformats.org/officeDocument/2006/relationships/image" Target="../media/image108.tmp"/><Relationship Id="rId315" Type="http://schemas.openxmlformats.org/officeDocument/2006/relationships/image" Target="../media/image315.tmp"/><Relationship Id="rId522" Type="http://schemas.openxmlformats.org/officeDocument/2006/relationships/image" Target="../media/image522.tmp"/><Relationship Id="rId967" Type="http://schemas.openxmlformats.org/officeDocument/2006/relationships/image" Target="../media/image967.tmp"/><Relationship Id="rId1152" Type="http://schemas.openxmlformats.org/officeDocument/2006/relationships/image" Target="../media/image1152.tmp"/><Relationship Id="rId1597" Type="http://schemas.openxmlformats.org/officeDocument/2006/relationships/image" Target="../media/image1597.tmp"/><Relationship Id="rId96" Type="http://schemas.openxmlformats.org/officeDocument/2006/relationships/image" Target="../media/image96.tmp"/><Relationship Id="rId827" Type="http://schemas.openxmlformats.org/officeDocument/2006/relationships/image" Target="../media/image827.tmp"/><Relationship Id="rId1012" Type="http://schemas.openxmlformats.org/officeDocument/2006/relationships/image" Target="../media/image1012.tmp"/><Relationship Id="rId1457" Type="http://schemas.openxmlformats.org/officeDocument/2006/relationships/image" Target="../media/image1457.tmp"/><Relationship Id="rId1664" Type="http://schemas.openxmlformats.org/officeDocument/2006/relationships/image" Target="../media/image1664.tmp"/><Relationship Id="rId1871" Type="http://schemas.openxmlformats.org/officeDocument/2006/relationships/image" Target="../media/image1871.tmp"/><Relationship Id="rId1317" Type="http://schemas.openxmlformats.org/officeDocument/2006/relationships/image" Target="../media/image1317.tmp"/><Relationship Id="rId1524" Type="http://schemas.openxmlformats.org/officeDocument/2006/relationships/image" Target="../media/image1524.tmp"/><Relationship Id="rId1731" Type="http://schemas.openxmlformats.org/officeDocument/2006/relationships/image" Target="../media/image1731.tmp"/><Relationship Id="rId1969" Type="http://schemas.openxmlformats.org/officeDocument/2006/relationships/image" Target="../media/image1969.tmp"/><Relationship Id="rId23" Type="http://schemas.openxmlformats.org/officeDocument/2006/relationships/image" Target="../media/image23.tmp"/><Relationship Id="rId1829" Type="http://schemas.openxmlformats.org/officeDocument/2006/relationships/image" Target="../media/image1829.tmp"/><Relationship Id="rId172" Type="http://schemas.openxmlformats.org/officeDocument/2006/relationships/image" Target="../media/image172.tmp"/><Relationship Id="rId477" Type="http://schemas.openxmlformats.org/officeDocument/2006/relationships/image" Target="../media/image477.tmp"/><Relationship Id="rId684" Type="http://schemas.openxmlformats.org/officeDocument/2006/relationships/image" Target="../media/image684.tmp"/><Relationship Id="rId337" Type="http://schemas.openxmlformats.org/officeDocument/2006/relationships/image" Target="../media/image337.tmp"/><Relationship Id="rId891" Type="http://schemas.openxmlformats.org/officeDocument/2006/relationships/image" Target="../media/image891.tmp"/><Relationship Id="rId989" Type="http://schemas.openxmlformats.org/officeDocument/2006/relationships/image" Target="../media/image989.tmp"/><Relationship Id="rId544" Type="http://schemas.openxmlformats.org/officeDocument/2006/relationships/image" Target="../media/image544.tmp"/><Relationship Id="rId751" Type="http://schemas.openxmlformats.org/officeDocument/2006/relationships/image" Target="../media/image751.tmp"/><Relationship Id="rId849" Type="http://schemas.openxmlformats.org/officeDocument/2006/relationships/image" Target="../media/image849.tmp"/><Relationship Id="rId1174" Type="http://schemas.openxmlformats.org/officeDocument/2006/relationships/image" Target="../media/image1174.tmp"/><Relationship Id="rId1381" Type="http://schemas.openxmlformats.org/officeDocument/2006/relationships/image" Target="../media/image1381.tmp"/><Relationship Id="rId1479" Type="http://schemas.openxmlformats.org/officeDocument/2006/relationships/image" Target="../media/image1479.tmp"/><Relationship Id="rId1686" Type="http://schemas.openxmlformats.org/officeDocument/2006/relationships/image" Target="../media/image1686.tmp"/><Relationship Id="rId404" Type="http://schemas.openxmlformats.org/officeDocument/2006/relationships/image" Target="../media/image404.tmp"/><Relationship Id="rId611" Type="http://schemas.openxmlformats.org/officeDocument/2006/relationships/image" Target="../media/image611.tmp"/><Relationship Id="rId1034" Type="http://schemas.openxmlformats.org/officeDocument/2006/relationships/image" Target="../media/image1034.tmp"/><Relationship Id="rId1241" Type="http://schemas.openxmlformats.org/officeDocument/2006/relationships/image" Target="../media/image1241.tmp"/><Relationship Id="rId1339" Type="http://schemas.openxmlformats.org/officeDocument/2006/relationships/image" Target="../media/image1339.tmp"/><Relationship Id="rId1893" Type="http://schemas.openxmlformats.org/officeDocument/2006/relationships/image" Target="../media/image1893.tmp"/><Relationship Id="rId709" Type="http://schemas.openxmlformats.org/officeDocument/2006/relationships/image" Target="../media/image709.tmp"/><Relationship Id="rId916" Type="http://schemas.openxmlformats.org/officeDocument/2006/relationships/image" Target="../media/image916.tmp"/><Relationship Id="rId1101" Type="http://schemas.openxmlformats.org/officeDocument/2006/relationships/image" Target="../media/image1101.tmp"/><Relationship Id="rId1546" Type="http://schemas.openxmlformats.org/officeDocument/2006/relationships/image" Target="../media/image1546.tmp"/><Relationship Id="rId1753" Type="http://schemas.openxmlformats.org/officeDocument/2006/relationships/image" Target="../media/image1753.tmp"/><Relationship Id="rId1960" Type="http://schemas.openxmlformats.org/officeDocument/2006/relationships/image" Target="../media/image1960.tmp"/><Relationship Id="rId45" Type="http://schemas.openxmlformats.org/officeDocument/2006/relationships/image" Target="../media/image45.tmp"/><Relationship Id="rId1406" Type="http://schemas.openxmlformats.org/officeDocument/2006/relationships/image" Target="../media/image1406.tmp"/><Relationship Id="rId1613" Type="http://schemas.openxmlformats.org/officeDocument/2006/relationships/image" Target="../media/image1613.tmp"/><Relationship Id="rId1820" Type="http://schemas.openxmlformats.org/officeDocument/2006/relationships/image" Target="../media/image1820.tmp"/><Relationship Id="rId194" Type="http://schemas.openxmlformats.org/officeDocument/2006/relationships/image" Target="../media/image194.tmp"/><Relationship Id="rId1918" Type="http://schemas.openxmlformats.org/officeDocument/2006/relationships/image" Target="../media/image1918.tmp"/><Relationship Id="rId261" Type="http://schemas.openxmlformats.org/officeDocument/2006/relationships/image" Target="../media/image261.tmp"/><Relationship Id="rId499" Type="http://schemas.openxmlformats.org/officeDocument/2006/relationships/image" Target="../media/image499.tmp"/><Relationship Id="rId359" Type="http://schemas.openxmlformats.org/officeDocument/2006/relationships/image" Target="../media/image359.tmp"/><Relationship Id="rId566" Type="http://schemas.openxmlformats.org/officeDocument/2006/relationships/image" Target="../media/image566.tmp"/><Relationship Id="rId773" Type="http://schemas.openxmlformats.org/officeDocument/2006/relationships/image" Target="../media/image773.tmp"/><Relationship Id="rId1196" Type="http://schemas.openxmlformats.org/officeDocument/2006/relationships/image" Target="../media/image1196.tmp"/><Relationship Id="rId121" Type="http://schemas.openxmlformats.org/officeDocument/2006/relationships/image" Target="../media/image121.tmp"/><Relationship Id="rId219" Type="http://schemas.openxmlformats.org/officeDocument/2006/relationships/image" Target="../media/image219.tmp"/><Relationship Id="rId426" Type="http://schemas.openxmlformats.org/officeDocument/2006/relationships/image" Target="../media/image426.tmp"/><Relationship Id="rId633" Type="http://schemas.openxmlformats.org/officeDocument/2006/relationships/image" Target="../media/image633.tmp"/><Relationship Id="rId980" Type="http://schemas.openxmlformats.org/officeDocument/2006/relationships/image" Target="../media/image980.tmp"/><Relationship Id="rId1056" Type="http://schemas.openxmlformats.org/officeDocument/2006/relationships/image" Target="../media/image1056.tmp"/><Relationship Id="rId1263" Type="http://schemas.openxmlformats.org/officeDocument/2006/relationships/image" Target="../media/image1263.tmp"/><Relationship Id="rId840" Type="http://schemas.openxmlformats.org/officeDocument/2006/relationships/image" Target="../media/image840.tmp"/><Relationship Id="rId938" Type="http://schemas.openxmlformats.org/officeDocument/2006/relationships/image" Target="../media/image938.tmp"/><Relationship Id="rId1470" Type="http://schemas.openxmlformats.org/officeDocument/2006/relationships/image" Target="../media/image1470.tmp"/><Relationship Id="rId1568" Type="http://schemas.openxmlformats.org/officeDocument/2006/relationships/image" Target="../media/image1568.tmp"/><Relationship Id="rId1775" Type="http://schemas.openxmlformats.org/officeDocument/2006/relationships/image" Target="../media/image1775.tmp"/><Relationship Id="rId67" Type="http://schemas.openxmlformats.org/officeDocument/2006/relationships/image" Target="../media/image67.tmp"/><Relationship Id="rId700" Type="http://schemas.openxmlformats.org/officeDocument/2006/relationships/image" Target="../media/image700.tmp"/><Relationship Id="rId1123" Type="http://schemas.openxmlformats.org/officeDocument/2006/relationships/image" Target="../media/image1123.tmp"/><Relationship Id="rId1330" Type="http://schemas.openxmlformats.org/officeDocument/2006/relationships/image" Target="../media/image1330.tmp"/><Relationship Id="rId1428" Type="http://schemas.openxmlformats.org/officeDocument/2006/relationships/image" Target="../media/image1428.tmp"/><Relationship Id="rId1635" Type="http://schemas.openxmlformats.org/officeDocument/2006/relationships/image" Target="../media/image1635.tmp"/><Relationship Id="rId1842" Type="http://schemas.openxmlformats.org/officeDocument/2006/relationships/image" Target="../media/image1842.tmp"/><Relationship Id="rId1702" Type="http://schemas.openxmlformats.org/officeDocument/2006/relationships/image" Target="../media/image1702.tmp"/><Relationship Id="rId283" Type="http://schemas.openxmlformats.org/officeDocument/2006/relationships/image" Target="../media/image283.tmp"/><Relationship Id="rId490" Type="http://schemas.openxmlformats.org/officeDocument/2006/relationships/image" Target="../media/image490.tmp"/><Relationship Id="rId143" Type="http://schemas.openxmlformats.org/officeDocument/2006/relationships/image" Target="../media/image143.tmp"/><Relationship Id="rId350" Type="http://schemas.openxmlformats.org/officeDocument/2006/relationships/image" Target="../media/image350.tmp"/><Relationship Id="rId588" Type="http://schemas.openxmlformats.org/officeDocument/2006/relationships/image" Target="../media/image588.tmp"/><Relationship Id="rId795" Type="http://schemas.openxmlformats.org/officeDocument/2006/relationships/image" Target="../media/image795.tmp"/><Relationship Id="rId9" Type="http://schemas.openxmlformats.org/officeDocument/2006/relationships/image" Target="../media/image9.tmp"/><Relationship Id="rId210" Type="http://schemas.openxmlformats.org/officeDocument/2006/relationships/image" Target="../media/image210.tmp"/><Relationship Id="rId448" Type="http://schemas.openxmlformats.org/officeDocument/2006/relationships/image" Target="../media/image448.tmp"/><Relationship Id="rId655" Type="http://schemas.openxmlformats.org/officeDocument/2006/relationships/image" Target="../media/image655.tmp"/><Relationship Id="rId862" Type="http://schemas.openxmlformats.org/officeDocument/2006/relationships/image" Target="../media/image862.tmp"/><Relationship Id="rId1078" Type="http://schemas.openxmlformats.org/officeDocument/2006/relationships/image" Target="../media/image1078.tmp"/><Relationship Id="rId1285" Type="http://schemas.openxmlformats.org/officeDocument/2006/relationships/image" Target="../media/image1285.tmp"/><Relationship Id="rId1492" Type="http://schemas.openxmlformats.org/officeDocument/2006/relationships/image" Target="../media/image1492.tmp"/><Relationship Id="rId308" Type="http://schemas.openxmlformats.org/officeDocument/2006/relationships/image" Target="../media/image308.tmp"/><Relationship Id="rId515" Type="http://schemas.openxmlformats.org/officeDocument/2006/relationships/image" Target="../media/image515.tmp"/><Relationship Id="rId722" Type="http://schemas.openxmlformats.org/officeDocument/2006/relationships/image" Target="../media/image722.tmp"/><Relationship Id="rId1145" Type="http://schemas.openxmlformats.org/officeDocument/2006/relationships/image" Target="../media/image1145.tmp"/><Relationship Id="rId1352" Type="http://schemas.openxmlformats.org/officeDocument/2006/relationships/image" Target="../media/image1352.tmp"/><Relationship Id="rId1797" Type="http://schemas.openxmlformats.org/officeDocument/2006/relationships/image" Target="../media/image1797.tmp"/><Relationship Id="rId89" Type="http://schemas.openxmlformats.org/officeDocument/2006/relationships/image" Target="../media/image89.tmp"/><Relationship Id="rId1005" Type="http://schemas.openxmlformats.org/officeDocument/2006/relationships/image" Target="../media/image1005.tmp"/><Relationship Id="rId1212" Type="http://schemas.openxmlformats.org/officeDocument/2006/relationships/image" Target="../media/image1212.tmp"/><Relationship Id="rId1657" Type="http://schemas.openxmlformats.org/officeDocument/2006/relationships/image" Target="../media/image1657.tmp"/><Relationship Id="rId1864" Type="http://schemas.openxmlformats.org/officeDocument/2006/relationships/image" Target="../media/image1864.tmp"/><Relationship Id="rId1517" Type="http://schemas.openxmlformats.org/officeDocument/2006/relationships/image" Target="../media/image1517.tmp"/><Relationship Id="rId1724" Type="http://schemas.openxmlformats.org/officeDocument/2006/relationships/image" Target="../media/image1724.tmp"/><Relationship Id="rId16" Type="http://schemas.openxmlformats.org/officeDocument/2006/relationships/image" Target="../media/image16.tmp"/><Relationship Id="rId1931" Type="http://schemas.openxmlformats.org/officeDocument/2006/relationships/image" Target="../media/image1931.tmp"/><Relationship Id="rId165" Type="http://schemas.openxmlformats.org/officeDocument/2006/relationships/image" Target="../media/image165.tmp"/><Relationship Id="rId372" Type="http://schemas.openxmlformats.org/officeDocument/2006/relationships/image" Target="../media/image372.tmp"/><Relationship Id="rId677" Type="http://schemas.openxmlformats.org/officeDocument/2006/relationships/image" Target="../media/image677.tmp"/><Relationship Id="rId232" Type="http://schemas.openxmlformats.org/officeDocument/2006/relationships/image" Target="../media/image232.tmp"/><Relationship Id="rId884" Type="http://schemas.openxmlformats.org/officeDocument/2006/relationships/image" Target="../media/image884.tmp"/><Relationship Id="rId537" Type="http://schemas.openxmlformats.org/officeDocument/2006/relationships/image" Target="../media/image537.tmp"/><Relationship Id="rId744" Type="http://schemas.openxmlformats.org/officeDocument/2006/relationships/image" Target="../media/image744.tmp"/><Relationship Id="rId951" Type="http://schemas.openxmlformats.org/officeDocument/2006/relationships/image" Target="../media/image951.tmp"/><Relationship Id="rId1167" Type="http://schemas.openxmlformats.org/officeDocument/2006/relationships/image" Target="../media/image1167.tmp"/><Relationship Id="rId1374" Type="http://schemas.openxmlformats.org/officeDocument/2006/relationships/image" Target="../media/image1374.tmp"/><Relationship Id="rId1581" Type="http://schemas.openxmlformats.org/officeDocument/2006/relationships/image" Target="../media/image1581.tmp"/><Relationship Id="rId1679" Type="http://schemas.openxmlformats.org/officeDocument/2006/relationships/image" Target="../media/image1679.tmp"/><Relationship Id="rId80" Type="http://schemas.openxmlformats.org/officeDocument/2006/relationships/image" Target="../media/image80.tmp"/><Relationship Id="rId604" Type="http://schemas.openxmlformats.org/officeDocument/2006/relationships/image" Target="../media/image604.tmp"/><Relationship Id="rId811" Type="http://schemas.openxmlformats.org/officeDocument/2006/relationships/image" Target="../media/image811.tmp"/><Relationship Id="rId1027" Type="http://schemas.openxmlformats.org/officeDocument/2006/relationships/image" Target="../media/image1027.tmp"/><Relationship Id="rId1234" Type="http://schemas.openxmlformats.org/officeDocument/2006/relationships/image" Target="../media/image1234.tmp"/><Relationship Id="rId1441" Type="http://schemas.openxmlformats.org/officeDocument/2006/relationships/image" Target="../media/image1441.tmp"/><Relationship Id="rId1886" Type="http://schemas.openxmlformats.org/officeDocument/2006/relationships/image" Target="../media/image1886.tmp"/><Relationship Id="rId909" Type="http://schemas.openxmlformats.org/officeDocument/2006/relationships/image" Target="../media/image909.tmp"/><Relationship Id="rId1301" Type="http://schemas.openxmlformats.org/officeDocument/2006/relationships/image" Target="../media/image1301.tmp"/><Relationship Id="rId1539" Type="http://schemas.openxmlformats.org/officeDocument/2006/relationships/image" Target="../media/image1539.tmp"/><Relationship Id="rId1746" Type="http://schemas.openxmlformats.org/officeDocument/2006/relationships/image" Target="../media/image1746.tmp"/><Relationship Id="rId1953" Type="http://schemas.openxmlformats.org/officeDocument/2006/relationships/image" Target="../media/image1953.tmp"/><Relationship Id="rId38" Type="http://schemas.openxmlformats.org/officeDocument/2006/relationships/image" Target="../media/image38.tmp"/><Relationship Id="rId1606" Type="http://schemas.openxmlformats.org/officeDocument/2006/relationships/image" Target="../media/image1606.tmp"/><Relationship Id="rId1813" Type="http://schemas.openxmlformats.org/officeDocument/2006/relationships/image" Target="../media/image1813.tmp"/><Relationship Id="rId187" Type="http://schemas.openxmlformats.org/officeDocument/2006/relationships/image" Target="../media/image187.tmp"/><Relationship Id="rId394" Type="http://schemas.openxmlformats.org/officeDocument/2006/relationships/image" Target="../media/image394.tmp"/><Relationship Id="rId254" Type="http://schemas.openxmlformats.org/officeDocument/2006/relationships/image" Target="../media/image254.tmp"/><Relationship Id="rId699" Type="http://schemas.openxmlformats.org/officeDocument/2006/relationships/image" Target="../media/image699.tmp"/><Relationship Id="rId1091" Type="http://schemas.openxmlformats.org/officeDocument/2006/relationships/image" Target="../media/image1091.tmp"/><Relationship Id="rId114" Type="http://schemas.openxmlformats.org/officeDocument/2006/relationships/image" Target="../media/image114.tmp"/><Relationship Id="rId461" Type="http://schemas.openxmlformats.org/officeDocument/2006/relationships/image" Target="../media/image461.tmp"/><Relationship Id="rId559" Type="http://schemas.openxmlformats.org/officeDocument/2006/relationships/image" Target="../media/image559.tmp"/><Relationship Id="rId766" Type="http://schemas.openxmlformats.org/officeDocument/2006/relationships/image" Target="../media/image766.tmp"/><Relationship Id="rId1189" Type="http://schemas.openxmlformats.org/officeDocument/2006/relationships/image" Target="../media/image1189.tmp"/><Relationship Id="rId1396" Type="http://schemas.openxmlformats.org/officeDocument/2006/relationships/image" Target="../media/image1396.tmp"/><Relationship Id="rId321" Type="http://schemas.openxmlformats.org/officeDocument/2006/relationships/image" Target="../media/image321.tmp"/><Relationship Id="rId419" Type="http://schemas.openxmlformats.org/officeDocument/2006/relationships/image" Target="../media/image419.tmp"/><Relationship Id="rId626" Type="http://schemas.openxmlformats.org/officeDocument/2006/relationships/image" Target="../media/image626.tmp"/><Relationship Id="rId973" Type="http://schemas.openxmlformats.org/officeDocument/2006/relationships/image" Target="../media/image973.tmp"/><Relationship Id="rId1049" Type="http://schemas.openxmlformats.org/officeDocument/2006/relationships/image" Target="../media/image1049.tmp"/><Relationship Id="rId1256" Type="http://schemas.openxmlformats.org/officeDocument/2006/relationships/image" Target="../media/image1256.tmp"/><Relationship Id="rId833" Type="http://schemas.openxmlformats.org/officeDocument/2006/relationships/image" Target="../media/image833.tmp"/><Relationship Id="rId1116" Type="http://schemas.openxmlformats.org/officeDocument/2006/relationships/image" Target="../media/image1116.tmp"/><Relationship Id="rId1463" Type="http://schemas.openxmlformats.org/officeDocument/2006/relationships/image" Target="../media/image1463.tmp"/><Relationship Id="rId1670" Type="http://schemas.openxmlformats.org/officeDocument/2006/relationships/image" Target="../media/image1670.tmp"/><Relationship Id="rId1768" Type="http://schemas.openxmlformats.org/officeDocument/2006/relationships/image" Target="../media/image1768.tmp"/><Relationship Id="rId900" Type="http://schemas.openxmlformats.org/officeDocument/2006/relationships/image" Target="../media/image900.tmp"/><Relationship Id="rId1323" Type="http://schemas.openxmlformats.org/officeDocument/2006/relationships/image" Target="../media/image1323.tmp"/><Relationship Id="rId1530" Type="http://schemas.openxmlformats.org/officeDocument/2006/relationships/image" Target="../media/image1530.tmp"/><Relationship Id="rId1628" Type="http://schemas.openxmlformats.org/officeDocument/2006/relationships/image" Target="../media/image1628.tmp"/><Relationship Id="rId1835" Type="http://schemas.openxmlformats.org/officeDocument/2006/relationships/image" Target="../media/image1835.tmp"/><Relationship Id="rId1902" Type="http://schemas.openxmlformats.org/officeDocument/2006/relationships/image" Target="../media/image1902.tmp"/><Relationship Id="rId276" Type="http://schemas.openxmlformats.org/officeDocument/2006/relationships/image" Target="../media/image276.tmp"/><Relationship Id="rId483" Type="http://schemas.openxmlformats.org/officeDocument/2006/relationships/image" Target="../media/image483.tmp"/><Relationship Id="rId690" Type="http://schemas.openxmlformats.org/officeDocument/2006/relationships/image" Target="../media/image690.tmp"/><Relationship Id="rId136" Type="http://schemas.openxmlformats.org/officeDocument/2006/relationships/image" Target="../media/image136.tmp"/><Relationship Id="rId343" Type="http://schemas.openxmlformats.org/officeDocument/2006/relationships/image" Target="../media/image343.tmp"/><Relationship Id="rId550" Type="http://schemas.openxmlformats.org/officeDocument/2006/relationships/image" Target="../media/image550.tmp"/><Relationship Id="rId788" Type="http://schemas.openxmlformats.org/officeDocument/2006/relationships/image" Target="../media/image788.tmp"/><Relationship Id="rId995" Type="http://schemas.openxmlformats.org/officeDocument/2006/relationships/image" Target="../media/image995.tmp"/><Relationship Id="rId1180" Type="http://schemas.openxmlformats.org/officeDocument/2006/relationships/image" Target="../media/image1180.tmp"/><Relationship Id="rId203" Type="http://schemas.openxmlformats.org/officeDocument/2006/relationships/image" Target="../media/image203.tmp"/><Relationship Id="rId648" Type="http://schemas.openxmlformats.org/officeDocument/2006/relationships/image" Target="../media/image648.tmp"/><Relationship Id="rId855" Type="http://schemas.openxmlformats.org/officeDocument/2006/relationships/image" Target="../media/image855.tmp"/><Relationship Id="rId1040" Type="http://schemas.openxmlformats.org/officeDocument/2006/relationships/image" Target="../media/image1040.tmp"/><Relationship Id="rId1278" Type="http://schemas.openxmlformats.org/officeDocument/2006/relationships/image" Target="../media/image1278.tmp"/><Relationship Id="rId1485" Type="http://schemas.openxmlformats.org/officeDocument/2006/relationships/image" Target="../media/image1485.tmp"/><Relationship Id="rId1692" Type="http://schemas.openxmlformats.org/officeDocument/2006/relationships/image" Target="../media/image1692.tmp"/><Relationship Id="rId410" Type="http://schemas.openxmlformats.org/officeDocument/2006/relationships/image" Target="../media/image410.tmp"/><Relationship Id="rId508" Type="http://schemas.openxmlformats.org/officeDocument/2006/relationships/image" Target="../media/image508.tmp"/><Relationship Id="rId715" Type="http://schemas.openxmlformats.org/officeDocument/2006/relationships/image" Target="../media/image715.tmp"/><Relationship Id="rId922" Type="http://schemas.openxmlformats.org/officeDocument/2006/relationships/image" Target="../media/image922.tmp"/><Relationship Id="rId1138" Type="http://schemas.openxmlformats.org/officeDocument/2006/relationships/image" Target="../media/image1138.tmp"/><Relationship Id="rId1345" Type="http://schemas.openxmlformats.org/officeDocument/2006/relationships/image" Target="../media/image1345.tmp"/><Relationship Id="rId1552" Type="http://schemas.openxmlformats.org/officeDocument/2006/relationships/image" Target="../media/image1552.tmp"/><Relationship Id="rId1205" Type="http://schemas.openxmlformats.org/officeDocument/2006/relationships/image" Target="../media/image1205.tmp"/><Relationship Id="rId1857" Type="http://schemas.openxmlformats.org/officeDocument/2006/relationships/image" Target="../media/image1857.tmp"/><Relationship Id="rId51" Type="http://schemas.openxmlformats.org/officeDocument/2006/relationships/image" Target="../media/image51.tmp"/><Relationship Id="rId1412" Type="http://schemas.openxmlformats.org/officeDocument/2006/relationships/image" Target="../media/image1412.tmp"/><Relationship Id="rId1717" Type="http://schemas.openxmlformats.org/officeDocument/2006/relationships/image" Target="../media/image1717.tmp"/><Relationship Id="rId1924" Type="http://schemas.openxmlformats.org/officeDocument/2006/relationships/image" Target="../media/image1924.tmp"/><Relationship Id="rId298" Type="http://schemas.openxmlformats.org/officeDocument/2006/relationships/image" Target="../media/image298.tmp"/><Relationship Id="rId158" Type="http://schemas.openxmlformats.org/officeDocument/2006/relationships/image" Target="../media/image158.tmp"/><Relationship Id="rId365" Type="http://schemas.openxmlformats.org/officeDocument/2006/relationships/image" Target="../media/image365.tmp"/><Relationship Id="rId572" Type="http://schemas.openxmlformats.org/officeDocument/2006/relationships/image" Target="../media/image572.tmp"/><Relationship Id="rId225" Type="http://schemas.openxmlformats.org/officeDocument/2006/relationships/image" Target="../media/image225.tmp"/><Relationship Id="rId432" Type="http://schemas.openxmlformats.org/officeDocument/2006/relationships/image" Target="../media/image432.tmp"/><Relationship Id="rId877" Type="http://schemas.openxmlformats.org/officeDocument/2006/relationships/image" Target="../media/image877.tmp"/><Relationship Id="rId1062" Type="http://schemas.openxmlformats.org/officeDocument/2006/relationships/image" Target="../media/image1062.tmp"/><Relationship Id="rId737" Type="http://schemas.openxmlformats.org/officeDocument/2006/relationships/image" Target="../media/image737.tmp"/><Relationship Id="rId944" Type="http://schemas.openxmlformats.org/officeDocument/2006/relationships/image" Target="../media/image944.tmp"/><Relationship Id="rId1367" Type="http://schemas.openxmlformats.org/officeDocument/2006/relationships/image" Target="../media/image1367.tmp"/><Relationship Id="rId1574" Type="http://schemas.openxmlformats.org/officeDocument/2006/relationships/image" Target="../media/image1574.tmp"/><Relationship Id="rId1781" Type="http://schemas.openxmlformats.org/officeDocument/2006/relationships/image" Target="../media/image1781.tmp"/><Relationship Id="rId73" Type="http://schemas.openxmlformats.org/officeDocument/2006/relationships/image" Target="../media/image73.tmp"/><Relationship Id="rId804" Type="http://schemas.openxmlformats.org/officeDocument/2006/relationships/image" Target="../media/image804.tmp"/><Relationship Id="rId1227" Type="http://schemas.openxmlformats.org/officeDocument/2006/relationships/image" Target="../media/image1227.tmp"/><Relationship Id="rId1434" Type="http://schemas.openxmlformats.org/officeDocument/2006/relationships/image" Target="../media/image1434.tmp"/><Relationship Id="rId1641" Type="http://schemas.openxmlformats.org/officeDocument/2006/relationships/image" Target="../media/image1641.tmp"/><Relationship Id="rId1879" Type="http://schemas.openxmlformats.org/officeDocument/2006/relationships/image" Target="../media/image1879.tmp"/><Relationship Id="rId1501" Type="http://schemas.openxmlformats.org/officeDocument/2006/relationships/image" Target="../media/image1501.tmp"/><Relationship Id="rId1739" Type="http://schemas.openxmlformats.org/officeDocument/2006/relationships/image" Target="../media/image1739.tmp"/><Relationship Id="rId1946" Type="http://schemas.openxmlformats.org/officeDocument/2006/relationships/image" Target="../media/image1946.tmp"/><Relationship Id="rId1806" Type="http://schemas.openxmlformats.org/officeDocument/2006/relationships/image" Target="../media/image1806.tmp"/><Relationship Id="rId387" Type="http://schemas.openxmlformats.org/officeDocument/2006/relationships/image" Target="../media/image387.tmp"/><Relationship Id="rId594" Type="http://schemas.openxmlformats.org/officeDocument/2006/relationships/image" Target="../media/image594.tmp"/><Relationship Id="rId247" Type="http://schemas.openxmlformats.org/officeDocument/2006/relationships/image" Target="../media/image247.tmp"/><Relationship Id="rId899" Type="http://schemas.openxmlformats.org/officeDocument/2006/relationships/image" Target="../media/image899.tmp"/><Relationship Id="rId1084" Type="http://schemas.openxmlformats.org/officeDocument/2006/relationships/image" Target="../media/image1084.tmp"/><Relationship Id="rId107" Type="http://schemas.openxmlformats.org/officeDocument/2006/relationships/image" Target="../media/image107.tmp"/><Relationship Id="rId454" Type="http://schemas.openxmlformats.org/officeDocument/2006/relationships/image" Target="../media/image454.tmp"/><Relationship Id="rId661" Type="http://schemas.openxmlformats.org/officeDocument/2006/relationships/image" Target="../media/image661.tmp"/><Relationship Id="rId759" Type="http://schemas.openxmlformats.org/officeDocument/2006/relationships/image" Target="../media/image759.tmp"/><Relationship Id="rId966" Type="http://schemas.openxmlformats.org/officeDocument/2006/relationships/image" Target="../media/image966.tmp"/><Relationship Id="rId1291" Type="http://schemas.openxmlformats.org/officeDocument/2006/relationships/image" Target="../media/image1291.tmp"/><Relationship Id="rId1389" Type="http://schemas.openxmlformats.org/officeDocument/2006/relationships/image" Target="../media/image1389.tmp"/><Relationship Id="rId1596" Type="http://schemas.openxmlformats.org/officeDocument/2006/relationships/image" Target="../media/image1596.tmp"/><Relationship Id="rId314" Type="http://schemas.openxmlformats.org/officeDocument/2006/relationships/image" Target="../media/image314.tmp"/><Relationship Id="rId521" Type="http://schemas.openxmlformats.org/officeDocument/2006/relationships/image" Target="../media/image521.tmp"/><Relationship Id="rId619" Type="http://schemas.openxmlformats.org/officeDocument/2006/relationships/image" Target="../media/image619.tmp"/><Relationship Id="rId1151" Type="http://schemas.openxmlformats.org/officeDocument/2006/relationships/image" Target="../media/image1151.tmp"/><Relationship Id="rId1249" Type="http://schemas.openxmlformats.org/officeDocument/2006/relationships/image" Target="../media/image1249.tmp"/><Relationship Id="rId95" Type="http://schemas.openxmlformats.org/officeDocument/2006/relationships/image" Target="../media/image95.tmp"/><Relationship Id="rId826" Type="http://schemas.openxmlformats.org/officeDocument/2006/relationships/image" Target="../media/image826.tmp"/><Relationship Id="rId1011" Type="http://schemas.openxmlformats.org/officeDocument/2006/relationships/image" Target="../media/image1011.tmp"/><Relationship Id="rId1109" Type="http://schemas.openxmlformats.org/officeDocument/2006/relationships/image" Target="../media/image1109.tmp"/><Relationship Id="rId1456" Type="http://schemas.openxmlformats.org/officeDocument/2006/relationships/image" Target="../media/image1456.tmp"/><Relationship Id="rId1663" Type="http://schemas.openxmlformats.org/officeDocument/2006/relationships/image" Target="../media/image1663.tmp"/><Relationship Id="rId1870" Type="http://schemas.openxmlformats.org/officeDocument/2006/relationships/image" Target="../media/image1870.tmp"/><Relationship Id="rId1968" Type="http://schemas.openxmlformats.org/officeDocument/2006/relationships/image" Target="../media/image1968.tmp"/><Relationship Id="rId1316" Type="http://schemas.openxmlformats.org/officeDocument/2006/relationships/image" Target="../media/image1316.tmp"/><Relationship Id="rId1523" Type="http://schemas.openxmlformats.org/officeDocument/2006/relationships/image" Target="../media/image1523.tmp"/><Relationship Id="rId1730" Type="http://schemas.openxmlformats.org/officeDocument/2006/relationships/image" Target="../media/image1730.tmp"/><Relationship Id="rId22" Type="http://schemas.openxmlformats.org/officeDocument/2006/relationships/image" Target="../media/image22.tmp"/><Relationship Id="rId1828" Type="http://schemas.openxmlformats.org/officeDocument/2006/relationships/image" Target="../media/image1828.tmp"/><Relationship Id="rId171" Type="http://schemas.openxmlformats.org/officeDocument/2006/relationships/image" Target="../media/image171.tmp"/><Relationship Id="rId269" Type="http://schemas.openxmlformats.org/officeDocument/2006/relationships/image" Target="../media/image269.tmp"/><Relationship Id="rId476" Type="http://schemas.openxmlformats.org/officeDocument/2006/relationships/image" Target="../media/image476.tmp"/><Relationship Id="rId683" Type="http://schemas.openxmlformats.org/officeDocument/2006/relationships/image" Target="../media/image683.tmp"/><Relationship Id="rId890" Type="http://schemas.openxmlformats.org/officeDocument/2006/relationships/image" Target="../media/image890.tmp"/><Relationship Id="rId129" Type="http://schemas.openxmlformats.org/officeDocument/2006/relationships/image" Target="../media/image129.tmp"/><Relationship Id="rId336" Type="http://schemas.openxmlformats.org/officeDocument/2006/relationships/image" Target="../media/image336.tmp"/><Relationship Id="rId543" Type="http://schemas.openxmlformats.org/officeDocument/2006/relationships/image" Target="../media/image543.tmp"/><Relationship Id="rId988" Type="http://schemas.openxmlformats.org/officeDocument/2006/relationships/image" Target="../media/image988.tmp"/><Relationship Id="rId1173" Type="http://schemas.openxmlformats.org/officeDocument/2006/relationships/image" Target="../media/image1173.tmp"/><Relationship Id="rId1380" Type="http://schemas.openxmlformats.org/officeDocument/2006/relationships/image" Target="../media/image1380.tmp"/><Relationship Id="rId403" Type="http://schemas.openxmlformats.org/officeDocument/2006/relationships/image" Target="../media/image403.tmp"/><Relationship Id="rId750" Type="http://schemas.openxmlformats.org/officeDocument/2006/relationships/image" Target="../media/image750.tmp"/><Relationship Id="rId848" Type="http://schemas.openxmlformats.org/officeDocument/2006/relationships/image" Target="../media/image848.tmp"/><Relationship Id="rId1033" Type="http://schemas.openxmlformats.org/officeDocument/2006/relationships/image" Target="../media/image1033.tmp"/><Relationship Id="rId1478" Type="http://schemas.openxmlformats.org/officeDocument/2006/relationships/image" Target="../media/image1478.tmp"/><Relationship Id="rId1685" Type="http://schemas.openxmlformats.org/officeDocument/2006/relationships/image" Target="../media/image1685.tmp"/><Relationship Id="rId1892" Type="http://schemas.openxmlformats.org/officeDocument/2006/relationships/image" Target="../media/image1892.tmp"/><Relationship Id="rId610" Type="http://schemas.openxmlformats.org/officeDocument/2006/relationships/image" Target="../media/image610.tmp"/><Relationship Id="rId708" Type="http://schemas.openxmlformats.org/officeDocument/2006/relationships/image" Target="../media/image708.tmp"/><Relationship Id="rId915" Type="http://schemas.openxmlformats.org/officeDocument/2006/relationships/image" Target="../media/image915.tmp"/><Relationship Id="rId1240" Type="http://schemas.openxmlformats.org/officeDocument/2006/relationships/image" Target="../media/image1240.tmp"/><Relationship Id="rId1338" Type="http://schemas.openxmlformats.org/officeDocument/2006/relationships/image" Target="../media/image1338.tmp"/><Relationship Id="rId1545" Type="http://schemas.openxmlformats.org/officeDocument/2006/relationships/image" Target="../media/image1545.tmp"/><Relationship Id="rId1100" Type="http://schemas.openxmlformats.org/officeDocument/2006/relationships/image" Target="../media/image1100.tmp"/><Relationship Id="rId1405" Type="http://schemas.openxmlformats.org/officeDocument/2006/relationships/image" Target="../media/image1405.tmp"/><Relationship Id="rId1752" Type="http://schemas.openxmlformats.org/officeDocument/2006/relationships/image" Target="../media/image1752.tmp"/><Relationship Id="rId44" Type="http://schemas.openxmlformats.org/officeDocument/2006/relationships/image" Target="../media/image44.tmp"/><Relationship Id="rId1612" Type="http://schemas.openxmlformats.org/officeDocument/2006/relationships/image" Target="../media/image1612.tmp"/><Relationship Id="rId1917" Type="http://schemas.openxmlformats.org/officeDocument/2006/relationships/image" Target="../media/image1917.tmp"/><Relationship Id="rId193" Type="http://schemas.openxmlformats.org/officeDocument/2006/relationships/image" Target="../media/image193.tmp"/><Relationship Id="rId498" Type="http://schemas.openxmlformats.org/officeDocument/2006/relationships/image" Target="../media/image498.tmp"/><Relationship Id="rId260" Type="http://schemas.openxmlformats.org/officeDocument/2006/relationships/image" Target="../media/image260.tmp"/><Relationship Id="rId120" Type="http://schemas.openxmlformats.org/officeDocument/2006/relationships/image" Target="../media/image120.tmp"/><Relationship Id="rId358" Type="http://schemas.openxmlformats.org/officeDocument/2006/relationships/image" Target="../media/image358.tmp"/><Relationship Id="rId565" Type="http://schemas.openxmlformats.org/officeDocument/2006/relationships/image" Target="../media/image565.tmp"/><Relationship Id="rId772" Type="http://schemas.openxmlformats.org/officeDocument/2006/relationships/image" Target="../media/image772.tmp"/><Relationship Id="rId1195" Type="http://schemas.openxmlformats.org/officeDocument/2006/relationships/image" Target="../media/image1195.tmp"/><Relationship Id="rId218" Type="http://schemas.openxmlformats.org/officeDocument/2006/relationships/image" Target="../media/image218.tmp"/><Relationship Id="rId425" Type="http://schemas.openxmlformats.org/officeDocument/2006/relationships/image" Target="../media/image425.tmp"/><Relationship Id="rId632" Type="http://schemas.openxmlformats.org/officeDocument/2006/relationships/image" Target="../media/image632.tmp"/><Relationship Id="rId1055" Type="http://schemas.openxmlformats.org/officeDocument/2006/relationships/image" Target="../media/image1055.tmp"/><Relationship Id="rId1262" Type="http://schemas.openxmlformats.org/officeDocument/2006/relationships/image" Target="../media/image1262.tmp"/><Relationship Id="rId937" Type="http://schemas.openxmlformats.org/officeDocument/2006/relationships/image" Target="../media/image937.tmp"/><Relationship Id="rId1122" Type="http://schemas.openxmlformats.org/officeDocument/2006/relationships/image" Target="../media/image1122.tmp"/><Relationship Id="rId1567" Type="http://schemas.openxmlformats.org/officeDocument/2006/relationships/image" Target="../media/image1567.tmp"/><Relationship Id="rId1774" Type="http://schemas.openxmlformats.org/officeDocument/2006/relationships/image" Target="../media/image1774.tmp"/><Relationship Id="rId66" Type="http://schemas.openxmlformats.org/officeDocument/2006/relationships/image" Target="../media/image66.tmp"/><Relationship Id="rId1427" Type="http://schemas.openxmlformats.org/officeDocument/2006/relationships/image" Target="../media/image1427.tmp"/><Relationship Id="rId1634" Type="http://schemas.openxmlformats.org/officeDocument/2006/relationships/image" Target="../media/image1634.tmp"/><Relationship Id="rId1841" Type="http://schemas.openxmlformats.org/officeDocument/2006/relationships/image" Target="../media/image1841.tmp"/><Relationship Id="rId1939" Type="http://schemas.openxmlformats.org/officeDocument/2006/relationships/image" Target="../media/image1939.tmp"/><Relationship Id="rId1701" Type="http://schemas.openxmlformats.org/officeDocument/2006/relationships/image" Target="../media/image1701.tmp"/><Relationship Id="rId282" Type="http://schemas.openxmlformats.org/officeDocument/2006/relationships/image" Target="../media/image282.tmp"/><Relationship Id="rId587" Type="http://schemas.openxmlformats.org/officeDocument/2006/relationships/image" Target="../media/image587.tmp"/><Relationship Id="rId8" Type="http://schemas.openxmlformats.org/officeDocument/2006/relationships/image" Target="../media/image8.tmp"/><Relationship Id="rId142" Type="http://schemas.openxmlformats.org/officeDocument/2006/relationships/image" Target="../media/image142.tmp"/><Relationship Id="rId447" Type="http://schemas.openxmlformats.org/officeDocument/2006/relationships/image" Target="../media/image447.tmp"/><Relationship Id="rId794" Type="http://schemas.openxmlformats.org/officeDocument/2006/relationships/image" Target="../media/image794.tmp"/><Relationship Id="rId1077" Type="http://schemas.openxmlformats.org/officeDocument/2006/relationships/image" Target="../media/image1077.tmp"/><Relationship Id="rId654" Type="http://schemas.openxmlformats.org/officeDocument/2006/relationships/image" Target="../media/image654.tmp"/><Relationship Id="rId861" Type="http://schemas.openxmlformats.org/officeDocument/2006/relationships/image" Target="../media/image861.tmp"/><Relationship Id="rId959" Type="http://schemas.openxmlformats.org/officeDocument/2006/relationships/image" Target="../media/image959.tmp"/><Relationship Id="rId1284" Type="http://schemas.openxmlformats.org/officeDocument/2006/relationships/image" Target="../media/image1284.tmp"/><Relationship Id="rId1491" Type="http://schemas.openxmlformats.org/officeDocument/2006/relationships/image" Target="../media/image1491.tmp"/><Relationship Id="rId1589" Type="http://schemas.openxmlformats.org/officeDocument/2006/relationships/image" Target="../media/image1589.tmp"/><Relationship Id="rId307" Type="http://schemas.openxmlformats.org/officeDocument/2006/relationships/image" Target="../media/image307.tmp"/><Relationship Id="rId514" Type="http://schemas.openxmlformats.org/officeDocument/2006/relationships/image" Target="../media/image514.tmp"/><Relationship Id="rId721" Type="http://schemas.openxmlformats.org/officeDocument/2006/relationships/image" Target="../media/image721.tmp"/><Relationship Id="rId1144" Type="http://schemas.openxmlformats.org/officeDocument/2006/relationships/image" Target="../media/image1144.tmp"/><Relationship Id="rId1351" Type="http://schemas.openxmlformats.org/officeDocument/2006/relationships/image" Target="../media/image1351.tmp"/><Relationship Id="rId1449" Type="http://schemas.openxmlformats.org/officeDocument/2006/relationships/image" Target="../media/image1449.tmp"/><Relationship Id="rId1796" Type="http://schemas.openxmlformats.org/officeDocument/2006/relationships/image" Target="../media/image1796.tmp"/><Relationship Id="rId88" Type="http://schemas.openxmlformats.org/officeDocument/2006/relationships/image" Target="../media/image88.tmp"/><Relationship Id="rId819" Type="http://schemas.openxmlformats.org/officeDocument/2006/relationships/image" Target="../media/image819.tmp"/><Relationship Id="rId1004" Type="http://schemas.openxmlformats.org/officeDocument/2006/relationships/image" Target="../media/image1004.tmp"/><Relationship Id="rId1211" Type="http://schemas.openxmlformats.org/officeDocument/2006/relationships/image" Target="../media/image1211.tmp"/><Relationship Id="rId1656" Type="http://schemas.openxmlformats.org/officeDocument/2006/relationships/image" Target="../media/image1656.tmp"/><Relationship Id="rId1863" Type="http://schemas.openxmlformats.org/officeDocument/2006/relationships/image" Target="../media/image1863.tmp"/><Relationship Id="rId1309" Type="http://schemas.openxmlformats.org/officeDocument/2006/relationships/image" Target="../media/image1309.tmp"/><Relationship Id="rId1516" Type="http://schemas.openxmlformats.org/officeDocument/2006/relationships/image" Target="../media/image1516.tmp"/><Relationship Id="rId1723" Type="http://schemas.openxmlformats.org/officeDocument/2006/relationships/image" Target="../media/image1723.tmp"/><Relationship Id="rId1930" Type="http://schemas.openxmlformats.org/officeDocument/2006/relationships/image" Target="../media/image1930.tmp"/><Relationship Id="rId15" Type="http://schemas.openxmlformats.org/officeDocument/2006/relationships/image" Target="../media/image15.tmp"/><Relationship Id="rId164" Type="http://schemas.openxmlformats.org/officeDocument/2006/relationships/image" Target="../media/image164.tmp"/><Relationship Id="rId371" Type="http://schemas.openxmlformats.org/officeDocument/2006/relationships/image" Target="../media/image371.tmp"/><Relationship Id="rId469" Type="http://schemas.openxmlformats.org/officeDocument/2006/relationships/image" Target="../media/image469.tmp"/><Relationship Id="rId676" Type="http://schemas.openxmlformats.org/officeDocument/2006/relationships/image" Target="../media/image676.tmp"/><Relationship Id="rId883" Type="http://schemas.openxmlformats.org/officeDocument/2006/relationships/image" Target="../media/image883.tmp"/><Relationship Id="rId1099" Type="http://schemas.openxmlformats.org/officeDocument/2006/relationships/image" Target="../media/image1099.tmp"/><Relationship Id="rId231" Type="http://schemas.openxmlformats.org/officeDocument/2006/relationships/image" Target="../media/image231.tmp"/><Relationship Id="rId329" Type="http://schemas.openxmlformats.org/officeDocument/2006/relationships/image" Target="../media/image329.tmp"/><Relationship Id="rId536" Type="http://schemas.openxmlformats.org/officeDocument/2006/relationships/image" Target="../media/image536.tmp"/><Relationship Id="rId1166" Type="http://schemas.openxmlformats.org/officeDocument/2006/relationships/image" Target="../media/image1166.tmp"/><Relationship Id="rId1373" Type="http://schemas.openxmlformats.org/officeDocument/2006/relationships/image" Target="../media/image1373.tmp"/><Relationship Id="rId743" Type="http://schemas.openxmlformats.org/officeDocument/2006/relationships/image" Target="../media/image743.tmp"/><Relationship Id="rId950" Type="http://schemas.openxmlformats.org/officeDocument/2006/relationships/image" Target="../media/image950.tmp"/><Relationship Id="rId1026" Type="http://schemas.openxmlformats.org/officeDocument/2006/relationships/image" Target="../media/image1026.tmp"/><Relationship Id="rId1580" Type="http://schemas.openxmlformats.org/officeDocument/2006/relationships/image" Target="../media/image1580.tmp"/><Relationship Id="rId1678" Type="http://schemas.openxmlformats.org/officeDocument/2006/relationships/image" Target="../media/image1678.tmp"/><Relationship Id="rId1885" Type="http://schemas.openxmlformats.org/officeDocument/2006/relationships/image" Target="../media/image1885.tmp"/><Relationship Id="rId603" Type="http://schemas.openxmlformats.org/officeDocument/2006/relationships/image" Target="../media/image603.tmp"/><Relationship Id="rId810" Type="http://schemas.openxmlformats.org/officeDocument/2006/relationships/image" Target="../media/image810.tmp"/><Relationship Id="rId908" Type="http://schemas.openxmlformats.org/officeDocument/2006/relationships/image" Target="../media/image908.tmp"/><Relationship Id="rId1233" Type="http://schemas.openxmlformats.org/officeDocument/2006/relationships/image" Target="../media/image1233.tmp"/><Relationship Id="rId1440" Type="http://schemas.openxmlformats.org/officeDocument/2006/relationships/image" Target="../media/image1440.tmp"/><Relationship Id="rId1538" Type="http://schemas.openxmlformats.org/officeDocument/2006/relationships/image" Target="../media/image1538.tmp"/><Relationship Id="rId1300" Type="http://schemas.openxmlformats.org/officeDocument/2006/relationships/image" Target="../media/image1300.tmp"/><Relationship Id="rId1745" Type="http://schemas.openxmlformats.org/officeDocument/2006/relationships/image" Target="../media/image1745.tmp"/><Relationship Id="rId1952" Type="http://schemas.openxmlformats.org/officeDocument/2006/relationships/image" Target="../media/image1952.tmp"/><Relationship Id="rId37" Type="http://schemas.openxmlformats.org/officeDocument/2006/relationships/image" Target="../media/image37.tmp"/><Relationship Id="rId1605" Type="http://schemas.openxmlformats.org/officeDocument/2006/relationships/image" Target="../media/image1605.tmp"/><Relationship Id="rId1812" Type="http://schemas.openxmlformats.org/officeDocument/2006/relationships/image" Target="../media/image1812.tmp"/><Relationship Id="rId186" Type="http://schemas.openxmlformats.org/officeDocument/2006/relationships/image" Target="../media/image186.tmp"/><Relationship Id="rId393" Type="http://schemas.openxmlformats.org/officeDocument/2006/relationships/image" Target="../media/image393.tmp"/><Relationship Id="rId253" Type="http://schemas.openxmlformats.org/officeDocument/2006/relationships/image" Target="../media/image253.tmp"/><Relationship Id="rId460" Type="http://schemas.openxmlformats.org/officeDocument/2006/relationships/image" Target="../media/image460.tmp"/><Relationship Id="rId698" Type="http://schemas.openxmlformats.org/officeDocument/2006/relationships/image" Target="../media/image698.tmp"/><Relationship Id="rId1090" Type="http://schemas.openxmlformats.org/officeDocument/2006/relationships/image" Target="../media/image1090.tmp"/><Relationship Id="rId113" Type="http://schemas.openxmlformats.org/officeDocument/2006/relationships/image" Target="../media/image113.tmp"/><Relationship Id="rId320" Type="http://schemas.openxmlformats.org/officeDocument/2006/relationships/image" Target="../media/image320.tmp"/><Relationship Id="rId558" Type="http://schemas.openxmlformats.org/officeDocument/2006/relationships/image" Target="../media/image558.tmp"/><Relationship Id="rId765" Type="http://schemas.openxmlformats.org/officeDocument/2006/relationships/image" Target="../media/image765.tmp"/><Relationship Id="rId972" Type="http://schemas.openxmlformats.org/officeDocument/2006/relationships/image" Target="../media/image972.tmp"/><Relationship Id="rId1188" Type="http://schemas.openxmlformats.org/officeDocument/2006/relationships/image" Target="../media/image1188.tmp"/><Relationship Id="rId1395" Type="http://schemas.openxmlformats.org/officeDocument/2006/relationships/image" Target="../media/image1395.tmp"/><Relationship Id="rId418" Type="http://schemas.openxmlformats.org/officeDocument/2006/relationships/image" Target="../media/image418.tmp"/><Relationship Id="rId625" Type="http://schemas.openxmlformats.org/officeDocument/2006/relationships/image" Target="../media/image625.tmp"/><Relationship Id="rId832" Type="http://schemas.openxmlformats.org/officeDocument/2006/relationships/image" Target="../media/image832.tmp"/><Relationship Id="rId1048" Type="http://schemas.openxmlformats.org/officeDocument/2006/relationships/image" Target="../media/image1048.tmp"/><Relationship Id="rId1255" Type="http://schemas.openxmlformats.org/officeDocument/2006/relationships/image" Target="../media/image1255.tmp"/><Relationship Id="rId1462" Type="http://schemas.openxmlformats.org/officeDocument/2006/relationships/image" Target="../media/image1462.tmp"/><Relationship Id="rId1115" Type="http://schemas.openxmlformats.org/officeDocument/2006/relationships/image" Target="../media/image1115.tmp"/><Relationship Id="rId1322" Type="http://schemas.openxmlformats.org/officeDocument/2006/relationships/image" Target="../media/image1322.tmp"/><Relationship Id="rId1767" Type="http://schemas.openxmlformats.org/officeDocument/2006/relationships/image" Target="../media/image1767.tmp"/><Relationship Id="rId59" Type="http://schemas.openxmlformats.org/officeDocument/2006/relationships/image" Target="../media/image59.tmp"/><Relationship Id="rId1627" Type="http://schemas.openxmlformats.org/officeDocument/2006/relationships/image" Target="../media/image1627.tmp"/><Relationship Id="rId1834" Type="http://schemas.openxmlformats.org/officeDocument/2006/relationships/image" Target="../media/image1834.tmp"/><Relationship Id="rId1901" Type="http://schemas.openxmlformats.org/officeDocument/2006/relationships/image" Target="../media/image1901.tmp"/><Relationship Id="rId275" Type="http://schemas.openxmlformats.org/officeDocument/2006/relationships/image" Target="../media/image275.tmp"/><Relationship Id="rId482" Type="http://schemas.openxmlformats.org/officeDocument/2006/relationships/image" Target="../media/image482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618172</xdr:colOff>
      <xdr:row>1</xdr:row>
      <xdr:rowOff>62150</xdr:rowOff>
    </xdr:from>
    <xdr:to>
      <xdr:col>0</xdr:col>
      <xdr:colOff>2018347</xdr:colOff>
      <xdr:row>1</xdr:row>
      <xdr:rowOff>897969</xdr:rowOff>
    </xdr:to>
    <xdr:pic>
      <xdr:nvPicPr>
        <xdr:cNvPr id="3" name="Picture 2" descr="Insight Picture 2">
          <a:extLst>
            <a:ext uri="{FF2B5EF4-FFF2-40B4-BE49-F238E27FC236}">
              <a16:creationId xmlns:a16="http://schemas.microsoft.com/office/drawing/2014/main" id="{EF5F9246-AF6E-990B-E664-64EC61FFB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8172" y="290750"/>
          <a:ext cx="1400175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428863</xdr:colOff>
      <xdr:row>2</xdr:row>
      <xdr:rowOff>61436</xdr:rowOff>
    </xdr:from>
    <xdr:to>
      <xdr:col>0</xdr:col>
      <xdr:colOff>2207657</xdr:colOff>
      <xdr:row>2</xdr:row>
      <xdr:rowOff>1104424</xdr:rowOff>
    </xdr:to>
    <xdr:pic>
      <xdr:nvPicPr>
        <xdr:cNvPr id="5" name="Picture 4" descr="Insight Picture 4">
          <a:extLst>
            <a:ext uri="{FF2B5EF4-FFF2-40B4-BE49-F238E27FC236}">
              <a16:creationId xmlns:a16="http://schemas.microsoft.com/office/drawing/2014/main" id="{FD9578C9-ED63-0655-967D-143ABD910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8863" y="1250156"/>
          <a:ext cx="1778794" cy="1042988"/>
        </a:xfrm>
        <a:prstGeom prst="rect">
          <a:avLst/>
        </a:prstGeom>
      </xdr:spPr>
    </xdr:pic>
    <xdr:clientData/>
  </xdr:twoCellAnchor>
  <xdr:twoCellAnchor editAs="oneCell">
    <xdr:from>
      <xdr:col>0</xdr:col>
      <xdr:colOff>711041</xdr:colOff>
      <xdr:row>3</xdr:row>
      <xdr:rowOff>63103</xdr:rowOff>
    </xdr:from>
    <xdr:to>
      <xdr:col>0</xdr:col>
      <xdr:colOff>1925479</xdr:colOff>
      <xdr:row>3</xdr:row>
      <xdr:rowOff>1041797</xdr:rowOff>
    </xdr:to>
    <xdr:pic>
      <xdr:nvPicPr>
        <xdr:cNvPr id="7" name="Picture 6" descr="Insight Picture 6">
          <a:extLst>
            <a:ext uri="{FF2B5EF4-FFF2-40B4-BE49-F238E27FC236}">
              <a16:creationId xmlns:a16="http://schemas.microsoft.com/office/drawing/2014/main" id="{AF21C3DB-9CBC-842C-11C1-F87AAF83B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1041" y="2417683"/>
          <a:ext cx="1214438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418147</xdr:colOff>
      <xdr:row>4</xdr:row>
      <xdr:rowOff>62388</xdr:rowOff>
    </xdr:from>
    <xdr:to>
      <xdr:col>0</xdr:col>
      <xdr:colOff>2218372</xdr:colOff>
      <xdr:row>4</xdr:row>
      <xdr:rowOff>1019651</xdr:rowOff>
    </xdr:to>
    <xdr:pic>
      <xdr:nvPicPr>
        <xdr:cNvPr id="9" name="Picture 8" descr="Insight Picture 8">
          <a:extLst>
            <a:ext uri="{FF2B5EF4-FFF2-40B4-BE49-F238E27FC236}">
              <a16:creationId xmlns:a16="http://schemas.microsoft.com/office/drawing/2014/main" id="{7EFFA3F3-B129-A5D7-CC62-5FAFE1FD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8147" y="3521868"/>
          <a:ext cx="1800225" cy="957263"/>
        </a:xfrm>
        <a:prstGeom prst="rect">
          <a:avLst/>
        </a:prstGeom>
      </xdr:spPr>
    </xdr:pic>
    <xdr:clientData/>
  </xdr:twoCellAnchor>
  <xdr:twoCellAnchor editAs="oneCell">
    <xdr:from>
      <xdr:col>0</xdr:col>
      <xdr:colOff>507445</xdr:colOff>
      <xdr:row>5</xdr:row>
      <xdr:rowOff>61436</xdr:rowOff>
    </xdr:from>
    <xdr:to>
      <xdr:col>0</xdr:col>
      <xdr:colOff>2129076</xdr:colOff>
      <xdr:row>5</xdr:row>
      <xdr:rowOff>1104424</xdr:rowOff>
    </xdr:to>
    <xdr:pic>
      <xdr:nvPicPr>
        <xdr:cNvPr id="11" name="Picture 10" descr="Insight Picture 10">
          <a:extLst>
            <a:ext uri="{FF2B5EF4-FFF2-40B4-BE49-F238E27FC236}">
              <a16:creationId xmlns:a16="http://schemas.microsoft.com/office/drawing/2014/main" id="{0F44FB91-3AD2-A9FE-E989-45BFC6441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7445" y="4602956"/>
          <a:ext cx="1621631" cy="1042988"/>
        </a:xfrm>
        <a:prstGeom prst="rect">
          <a:avLst/>
        </a:prstGeom>
      </xdr:spPr>
    </xdr:pic>
    <xdr:clientData/>
  </xdr:twoCellAnchor>
  <xdr:twoCellAnchor editAs="oneCell">
    <xdr:from>
      <xdr:col>0</xdr:col>
      <xdr:colOff>443151</xdr:colOff>
      <xdr:row>6</xdr:row>
      <xdr:rowOff>61912</xdr:rowOff>
    </xdr:from>
    <xdr:to>
      <xdr:col>0</xdr:col>
      <xdr:colOff>2193370</xdr:colOff>
      <xdr:row>6</xdr:row>
      <xdr:rowOff>890587</xdr:rowOff>
    </xdr:to>
    <xdr:pic>
      <xdr:nvPicPr>
        <xdr:cNvPr id="13" name="Picture 12" descr="Insight Picture 12">
          <a:extLst>
            <a:ext uri="{FF2B5EF4-FFF2-40B4-BE49-F238E27FC236}">
              <a16:creationId xmlns:a16="http://schemas.microsoft.com/office/drawing/2014/main" id="{BE51112B-882B-8488-A86B-E1A4B2FCC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3151" y="5769292"/>
          <a:ext cx="1750219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393144</xdr:colOff>
      <xdr:row>7</xdr:row>
      <xdr:rowOff>61436</xdr:rowOff>
    </xdr:from>
    <xdr:to>
      <xdr:col>0</xdr:col>
      <xdr:colOff>2243375</xdr:colOff>
      <xdr:row>7</xdr:row>
      <xdr:rowOff>1104424</xdr:rowOff>
    </xdr:to>
    <xdr:pic>
      <xdr:nvPicPr>
        <xdr:cNvPr id="15" name="Picture 14" descr="Insight Picture 14">
          <a:extLst>
            <a:ext uri="{FF2B5EF4-FFF2-40B4-BE49-F238E27FC236}">
              <a16:creationId xmlns:a16="http://schemas.microsoft.com/office/drawing/2014/main" id="{E69FD5B6-C9D6-AB47-4346-D36FD6791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3144" y="6721316"/>
          <a:ext cx="1850231" cy="1042988"/>
        </a:xfrm>
        <a:prstGeom prst="rect">
          <a:avLst/>
        </a:prstGeom>
      </xdr:spPr>
    </xdr:pic>
    <xdr:clientData/>
  </xdr:twoCellAnchor>
  <xdr:twoCellAnchor editAs="oneCell">
    <xdr:from>
      <xdr:col>0</xdr:col>
      <xdr:colOff>393144</xdr:colOff>
      <xdr:row>8</xdr:row>
      <xdr:rowOff>61436</xdr:rowOff>
    </xdr:from>
    <xdr:to>
      <xdr:col>0</xdr:col>
      <xdr:colOff>2243375</xdr:colOff>
      <xdr:row>8</xdr:row>
      <xdr:rowOff>1104424</xdr:rowOff>
    </xdr:to>
    <xdr:pic>
      <xdr:nvPicPr>
        <xdr:cNvPr id="17" name="Picture 16" descr="Insight Picture 16">
          <a:extLst>
            <a:ext uri="{FF2B5EF4-FFF2-40B4-BE49-F238E27FC236}">
              <a16:creationId xmlns:a16="http://schemas.microsoft.com/office/drawing/2014/main" id="{1D2FA90B-B558-B637-9DB3-F371DCD55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3144" y="7887176"/>
          <a:ext cx="1850231" cy="1042988"/>
        </a:xfrm>
        <a:prstGeom prst="rect">
          <a:avLst/>
        </a:prstGeom>
      </xdr:spPr>
    </xdr:pic>
    <xdr:clientData/>
  </xdr:twoCellAnchor>
  <xdr:twoCellAnchor editAs="oneCell">
    <xdr:from>
      <xdr:col>0</xdr:col>
      <xdr:colOff>593170</xdr:colOff>
      <xdr:row>9</xdr:row>
      <xdr:rowOff>63818</xdr:rowOff>
    </xdr:from>
    <xdr:to>
      <xdr:col>0</xdr:col>
      <xdr:colOff>2043351</xdr:colOff>
      <xdr:row>9</xdr:row>
      <xdr:rowOff>721043</xdr:rowOff>
    </xdr:to>
    <xdr:pic>
      <xdr:nvPicPr>
        <xdr:cNvPr id="19" name="Picture 18" descr="Insight Picture 18">
          <a:extLst>
            <a:ext uri="{FF2B5EF4-FFF2-40B4-BE49-F238E27FC236}">
              <a16:creationId xmlns:a16="http://schemas.microsoft.com/office/drawing/2014/main" id="{95B170C4-FA22-BA5F-6298-778DBE6F6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93170" y="9055418"/>
          <a:ext cx="1450181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343138</xdr:colOff>
      <xdr:row>10</xdr:row>
      <xdr:rowOff>61436</xdr:rowOff>
    </xdr:from>
    <xdr:to>
      <xdr:col>0</xdr:col>
      <xdr:colOff>2293382</xdr:colOff>
      <xdr:row>10</xdr:row>
      <xdr:rowOff>761524</xdr:rowOff>
    </xdr:to>
    <xdr:pic>
      <xdr:nvPicPr>
        <xdr:cNvPr id="21" name="Picture 20" descr="Insight Picture 20">
          <a:extLst>
            <a:ext uri="{FF2B5EF4-FFF2-40B4-BE49-F238E27FC236}">
              <a16:creationId xmlns:a16="http://schemas.microsoft.com/office/drawing/2014/main" id="{A85D9476-9689-FCBD-27AE-1F7EBAB6A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43138" y="9837896"/>
          <a:ext cx="1950244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450294</xdr:colOff>
      <xdr:row>11</xdr:row>
      <xdr:rowOff>60246</xdr:rowOff>
    </xdr:from>
    <xdr:to>
      <xdr:col>0</xdr:col>
      <xdr:colOff>2186225</xdr:colOff>
      <xdr:row>11</xdr:row>
      <xdr:rowOff>838915</xdr:rowOff>
    </xdr:to>
    <xdr:pic>
      <xdr:nvPicPr>
        <xdr:cNvPr id="23" name="Picture 22" descr="Insight Picture 22">
          <a:extLst>
            <a:ext uri="{FF2B5EF4-FFF2-40B4-BE49-F238E27FC236}">
              <a16:creationId xmlns:a16="http://schemas.microsoft.com/office/drawing/2014/main" id="{D6A64BF4-4E73-7F08-6051-98E1E06C7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50294" y="10659666"/>
          <a:ext cx="1735931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771763</xdr:colOff>
      <xdr:row>12</xdr:row>
      <xdr:rowOff>63817</xdr:rowOff>
    </xdr:from>
    <xdr:to>
      <xdr:col>0</xdr:col>
      <xdr:colOff>1864757</xdr:colOff>
      <xdr:row>12</xdr:row>
      <xdr:rowOff>721042</xdr:rowOff>
    </xdr:to>
    <xdr:pic>
      <xdr:nvPicPr>
        <xdr:cNvPr id="25" name="Picture 24" descr="Insight Picture 24">
          <a:extLst>
            <a:ext uri="{FF2B5EF4-FFF2-40B4-BE49-F238E27FC236}">
              <a16:creationId xmlns:a16="http://schemas.microsoft.com/office/drawing/2014/main" id="{29A43778-BA49-52D3-E340-3029D4DDB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71763" y="11562397"/>
          <a:ext cx="1092994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796766</xdr:colOff>
      <xdr:row>13</xdr:row>
      <xdr:rowOff>60245</xdr:rowOff>
    </xdr:from>
    <xdr:to>
      <xdr:col>0</xdr:col>
      <xdr:colOff>1839754</xdr:colOff>
      <xdr:row>13</xdr:row>
      <xdr:rowOff>838914</xdr:rowOff>
    </xdr:to>
    <xdr:pic>
      <xdr:nvPicPr>
        <xdr:cNvPr id="27" name="Picture 26" descr="Insight Picture 26">
          <a:extLst>
            <a:ext uri="{FF2B5EF4-FFF2-40B4-BE49-F238E27FC236}">
              <a16:creationId xmlns:a16="http://schemas.microsoft.com/office/drawing/2014/main" id="{9EA3D62A-2D94-45A3-EC81-0664FBE6D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96766" y="12343685"/>
          <a:ext cx="1042988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703897</xdr:colOff>
      <xdr:row>14</xdr:row>
      <xdr:rowOff>62627</xdr:rowOff>
    </xdr:from>
    <xdr:to>
      <xdr:col>0</xdr:col>
      <xdr:colOff>1932622</xdr:colOff>
      <xdr:row>14</xdr:row>
      <xdr:rowOff>798433</xdr:rowOff>
    </xdr:to>
    <xdr:pic>
      <xdr:nvPicPr>
        <xdr:cNvPr id="29" name="Picture 28" descr="Insight Picture 28">
          <a:extLst>
            <a:ext uri="{FF2B5EF4-FFF2-40B4-BE49-F238E27FC236}">
              <a16:creationId xmlns:a16="http://schemas.microsoft.com/office/drawing/2014/main" id="{116DD20C-B7F9-5289-75FE-73B3151FF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03897" y="13245227"/>
          <a:ext cx="1228725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600313</xdr:colOff>
      <xdr:row>15</xdr:row>
      <xdr:rowOff>62626</xdr:rowOff>
    </xdr:from>
    <xdr:to>
      <xdr:col>0</xdr:col>
      <xdr:colOff>2036207</xdr:colOff>
      <xdr:row>15</xdr:row>
      <xdr:rowOff>798432</xdr:rowOff>
    </xdr:to>
    <xdr:pic>
      <xdr:nvPicPr>
        <xdr:cNvPr id="31" name="Picture 30" descr="Insight Picture 30">
          <a:extLst>
            <a:ext uri="{FF2B5EF4-FFF2-40B4-BE49-F238E27FC236}">
              <a16:creationId xmlns:a16="http://schemas.microsoft.com/office/drawing/2014/main" id="{820A1A25-40BD-0145-35B5-8975EACFA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00313" y="14106286"/>
          <a:ext cx="1435894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450294</xdr:colOff>
      <xdr:row>16</xdr:row>
      <xdr:rowOff>62151</xdr:rowOff>
    </xdr:from>
    <xdr:to>
      <xdr:col>0</xdr:col>
      <xdr:colOff>2186225</xdr:colOff>
      <xdr:row>16</xdr:row>
      <xdr:rowOff>1012270</xdr:rowOff>
    </xdr:to>
    <xdr:pic>
      <xdr:nvPicPr>
        <xdr:cNvPr id="33" name="Picture 32" descr="Insight Picture 32">
          <a:extLst>
            <a:ext uri="{FF2B5EF4-FFF2-40B4-BE49-F238E27FC236}">
              <a16:creationId xmlns:a16="http://schemas.microsoft.com/office/drawing/2014/main" id="{F0338700-BB6D-5607-6F7D-23910AE97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50294" y="14966871"/>
          <a:ext cx="1735931" cy="950119"/>
        </a:xfrm>
        <a:prstGeom prst="rect">
          <a:avLst/>
        </a:prstGeom>
      </xdr:spPr>
    </xdr:pic>
    <xdr:clientData/>
  </xdr:twoCellAnchor>
  <xdr:twoCellAnchor editAs="oneCell">
    <xdr:from>
      <xdr:col>0</xdr:col>
      <xdr:colOff>407432</xdr:colOff>
      <xdr:row>17</xdr:row>
      <xdr:rowOff>61675</xdr:rowOff>
    </xdr:from>
    <xdr:to>
      <xdr:col>0</xdr:col>
      <xdr:colOff>2229088</xdr:colOff>
      <xdr:row>17</xdr:row>
      <xdr:rowOff>1226106</xdr:rowOff>
    </xdr:to>
    <xdr:pic>
      <xdr:nvPicPr>
        <xdr:cNvPr id="35" name="Picture 34" descr="Insight Picture 34">
          <a:extLst>
            <a:ext uri="{FF2B5EF4-FFF2-40B4-BE49-F238E27FC236}">
              <a16:creationId xmlns:a16="http://schemas.microsoft.com/office/drawing/2014/main" id="{64F98819-8129-4029-CE1B-C6D81EAA7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07432" y="16040815"/>
          <a:ext cx="1821656" cy="1164431"/>
        </a:xfrm>
        <a:prstGeom prst="rect">
          <a:avLst/>
        </a:prstGeom>
      </xdr:spPr>
    </xdr:pic>
    <xdr:clientData/>
  </xdr:twoCellAnchor>
  <xdr:twoCellAnchor editAs="oneCell">
    <xdr:from>
      <xdr:col>0</xdr:col>
      <xdr:colOff>407432</xdr:colOff>
      <xdr:row>18</xdr:row>
      <xdr:rowOff>61675</xdr:rowOff>
    </xdr:from>
    <xdr:to>
      <xdr:col>0</xdr:col>
      <xdr:colOff>2229088</xdr:colOff>
      <xdr:row>18</xdr:row>
      <xdr:rowOff>1226106</xdr:rowOff>
    </xdr:to>
    <xdr:pic>
      <xdr:nvPicPr>
        <xdr:cNvPr id="37" name="Picture 36" descr="Insight Picture 36">
          <a:extLst>
            <a:ext uri="{FF2B5EF4-FFF2-40B4-BE49-F238E27FC236}">
              <a16:creationId xmlns:a16="http://schemas.microsoft.com/office/drawing/2014/main" id="{9B9E4690-352B-188C-B643-6BBA37DFF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07432" y="17328595"/>
          <a:ext cx="1821656" cy="1164431"/>
        </a:xfrm>
        <a:prstGeom prst="rect">
          <a:avLst/>
        </a:prstGeom>
      </xdr:spPr>
    </xdr:pic>
    <xdr:clientData/>
  </xdr:twoCellAnchor>
  <xdr:twoCellAnchor editAs="oneCell">
    <xdr:from>
      <xdr:col>0</xdr:col>
      <xdr:colOff>343138</xdr:colOff>
      <xdr:row>19</xdr:row>
      <xdr:rowOff>63340</xdr:rowOff>
    </xdr:from>
    <xdr:to>
      <xdr:col>0</xdr:col>
      <xdr:colOff>2293382</xdr:colOff>
      <xdr:row>19</xdr:row>
      <xdr:rowOff>1049178</xdr:rowOff>
    </xdr:to>
    <xdr:pic>
      <xdr:nvPicPr>
        <xdr:cNvPr id="39" name="Picture 38" descr="Insight Picture 38">
          <a:extLst>
            <a:ext uri="{FF2B5EF4-FFF2-40B4-BE49-F238E27FC236}">
              <a16:creationId xmlns:a16="http://schemas.microsoft.com/office/drawing/2014/main" id="{87AC1953-B095-9A91-8E58-9F1C5C667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43138" y="18618040"/>
          <a:ext cx="1950244" cy="985838"/>
        </a:xfrm>
        <a:prstGeom prst="rect">
          <a:avLst/>
        </a:prstGeom>
      </xdr:spPr>
    </xdr:pic>
    <xdr:clientData/>
  </xdr:twoCellAnchor>
  <xdr:twoCellAnchor editAs="oneCell">
    <xdr:from>
      <xdr:col>0</xdr:col>
      <xdr:colOff>450294</xdr:colOff>
      <xdr:row>20</xdr:row>
      <xdr:rowOff>61436</xdr:rowOff>
    </xdr:from>
    <xdr:to>
      <xdr:col>0</xdr:col>
      <xdr:colOff>2186225</xdr:colOff>
      <xdr:row>20</xdr:row>
      <xdr:rowOff>1104424</xdr:rowOff>
    </xdr:to>
    <xdr:pic>
      <xdr:nvPicPr>
        <xdr:cNvPr id="41" name="Picture 40" descr="Insight Picture 40">
          <a:extLst>
            <a:ext uri="{FF2B5EF4-FFF2-40B4-BE49-F238E27FC236}">
              <a16:creationId xmlns:a16="http://schemas.microsoft.com/office/drawing/2014/main" id="{02A1171A-301A-993C-14EE-03A503CE5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50294" y="19728656"/>
          <a:ext cx="1735931" cy="1042988"/>
        </a:xfrm>
        <a:prstGeom prst="rect">
          <a:avLst/>
        </a:prstGeom>
      </xdr:spPr>
    </xdr:pic>
    <xdr:clientData/>
  </xdr:twoCellAnchor>
  <xdr:twoCellAnchor editAs="oneCell">
    <xdr:from>
      <xdr:col>0</xdr:col>
      <xdr:colOff>450294</xdr:colOff>
      <xdr:row>21</xdr:row>
      <xdr:rowOff>61435</xdr:rowOff>
    </xdr:from>
    <xdr:to>
      <xdr:col>0</xdr:col>
      <xdr:colOff>2186225</xdr:colOff>
      <xdr:row>21</xdr:row>
      <xdr:rowOff>1104423</xdr:rowOff>
    </xdr:to>
    <xdr:pic>
      <xdr:nvPicPr>
        <xdr:cNvPr id="43" name="Picture 42" descr="Insight Picture 42">
          <a:extLst>
            <a:ext uri="{FF2B5EF4-FFF2-40B4-BE49-F238E27FC236}">
              <a16:creationId xmlns:a16="http://schemas.microsoft.com/office/drawing/2014/main" id="{789B6527-92DD-439F-8536-33BC5F715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50294" y="20894515"/>
          <a:ext cx="1735931" cy="1042988"/>
        </a:xfrm>
        <a:prstGeom prst="rect">
          <a:avLst/>
        </a:prstGeom>
      </xdr:spPr>
    </xdr:pic>
    <xdr:clientData/>
  </xdr:twoCellAnchor>
  <xdr:twoCellAnchor editAs="oneCell">
    <xdr:from>
      <xdr:col>0</xdr:col>
      <xdr:colOff>564595</xdr:colOff>
      <xdr:row>22</xdr:row>
      <xdr:rowOff>61436</xdr:rowOff>
    </xdr:from>
    <xdr:to>
      <xdr:col>0</xdr:col>
      <xdr:colOff>2071926</xdr:colOff>
      <xdr:row>22</xdr:row>
      <xdr:rowOff>1104424</xdr:rowOff>
    </xdr:to>
    <xdr:pic>
      <xdr:nvPicPr>
        <xdr:cNvPr id="45" name="Picture 44" descr="Insight Picture 44">
          <a:extLst>
            <a:ext uri="{FF2B5EF4-FFF2-40B4-BE49-F238E27FC236}">
              <a16:creationId xmlns:a16="http://schemas.microsoft.com/office/drawing/2014/main" id="{217E440C-262C-6350-7740-09472CC52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64595" y="22060376"/>
          <a:ext cx="1507331" cy="1042988"/>
        </a:xfrm>
        <a:prstGeom prst="rect">
          <a:avLst/>
        </a:prstGeom>
      </xdr:spPr>
    </xdr:pic>
    <xdr:clientData/>
  </xdr:twoCellAnchor>
  <xdr:twoCellAnchor editAs="oneCell">
    <xdr:from>
      <xdr:col>0</xdr:col>
      <xdr:colOff>839628</xdr:colOff>
      <xdr:row>23</xdr:row>
      <xdr:rowOff>63579</xdr:rowOff>
    </xdr:from>
    <xdr:to>
      <xdr:col>0</xdr:col>
      <xdr:colOff>1796891</xdr:colOff>
      <xdr:row>23</xdr:row>
      <xdr:rowOff>1056560</xdr:rowOff>
    </xdr:to>
    <xdr:pic>
      <xdr:nvPicPr>
        <xdr:cNvPr id="47" name="Picture 46" descr="Insight Picture 46">
          <a:extLst>
            <a:ext uri="{FF2B5EF4-FFF2-40B4-BE49-F238E27FC236}">
              <a16:creationId xmlns:a16="http://schemas.microsoft.com/office/drawing/2014/main" id="{8F19EDA1-A9FA-8413-6CF2-6B1745E36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39628" y="23228379"/>
          <a:ext cx="957263" cy="992981"/>
        </a:xfrm>
        <a:prstGeom prst="rect">
          <a:avLst/>
        </a:prstGeom>
      </xdr:spPr>
    </xdr:pic>
    <xdr:clientData/>
  </xdr:twoCellAnchor>
  <xdr:twoCellAnchor editAs="oneCell">
    <xdr:from>
      <xdr:col>0</xdr:col>
      <xdr:colOff>796766</xdr:colOff>
      <xdr:row>24</xdr:row>
      <xdr:rowOff>63103</xdr:rowOff>
    </xdr:from>
    <xdr:to>
      <xdr:col>0</xdr:col>
      <xdr:colOff>1839754</xdr:colOff>
      <xdr:row>24</xdr:row>
      <xdr:rowOff>1041797</xdr:rowOff>
    </xdr:to>
    <xdr:pic>
      <xdr:nvPicPr>
        <xdr:cNvPr id="49" name="Picture 48" descr="Insight Picture 48">
          <a:extLst>
            <a:ext uri="{FF2B5EF4-FFF2-40B4-BE49-F238E27FC236}">
              <a16:creationId xmlns:a16="http://schemas.microsoft.com/office/drawing/2014/main" id="{DE05922F-B6A6-899B-BEE0-B9A55BFF7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96766" y="24348043"/>
          <a:ext cx="1042988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725328</xdr:colOff>
      <xdr:row>25</xdr:row>
      <xdr:rowOff>63103</xdr:rowOff>
    </xdr:from>
    <xdr:to>
      <xdr:col>0</xdr:col>
      <xdr:colOff>1911191</xdr:colOff>
      <xdr:row>25</xdr:row>
      <xdr:rowOff>1041797</xdr:rowOff>
    </xdr:to>
    <xdr:pic>
      <xdr:nvPicPr>
        <xdr:cNvPr id="51" name="Picture 50" descr="Insight Picture 50">
          <a:extLst>
            <a:ext uri="{FF2B5EF4-FFF2-40B4-BE49-F238E27FC236}">
              <a16:creationId xmlns:a16="http://schemas.microsoft.com/office/drawing/2014/main" id="{054F8CD5-E252-3720-95E4-606744A27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25328" y="25452943"/>
          <a:ext cx="1185863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264557</xdr:colOff>
      <xdr:row>26</xdr:row>
      <xdr:rowOff>60483</xdr:rowOff>
    </xdr:from>
    <xdr:to>
      <xdr:col>0</xdr:col>
      <xdr:colOff>2371963</xdr:colOff>
      <xdr:row>26</xdr:row>
      <xdr:rowOff>846296</xdr:rowOff>
    </xdr:to>
    <xdr:pic>
      <xdr:nvPicPr>
        <xdr:cNvPr id="53" name="Picture 52" descr="Insight Picture 52">
          <a:extLst>
            <a:ext uri="{FF2B5EF4-FFF2-40B4-BE49-F238E27FC236}">
              <a16:creationId xmlns:a16="http://schemas.microsoft.com/office/drawing/2014/main" id="{D6ACD6AB-DDFB-9553-C1DD-A75A59BFF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64557" y="26555223"/>
          <a:ext cx="2107406" cy="785813"/>
        </a:xfrm>
        <a:prstGeom prst="rect">
          <a:avLst/>
        </a:prstGeom>
      </xdr:spPr>
    </xdr:pic>
    <xdr:clientData/>
  </xdr:twoCellAnchor>
  <xdr:twoCellAnchor editAs="oneCell">
    <xdr:from>
      <xdr:col>0</xdr:col>
      <xdr:colOff>375285</xdr:colOff>
      <xdr:row>27</xdr:row>
      <xdr:rowOff>62866</xdr:rowOff>
    </xdr:from>
    <xdr:to>
      <xdr:col>0</xdr:col>
      <xdr:colOff>2261235</xdr:colOff>
      <xdr:row>27</xdr:row>
      <xdr:rowOff>920116</xdr:rowOff>
    </xdr:to>
    <xdr:pic>
      <xdr:nvPicPr>
        <xdr:cNvPr id="55" name="Picture 54" descr="Insight Picture 54">
          <a:extLst>
            <a:ext uri="{FF2B5EF4-FFF2-40B4-BE49-F238E27FC236}">
              <a16:creationId xmlns:a16="http://schemas.microsoft.com/office/drawing/2014/main" id="{E7D24AD4-7FF7-0086-F794-9ACFD744A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75285" y="27464386"/>
          <a:ext cx="18859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664607</xdr:colOff>
      <xdr:row>28</xdr:row>
      <xdr:rowOff>60244</xdr:rowOff>
    </xdr:from>
    <xdr:to>
      <xdr:col>0</xdr:col>
      <xdr:colOff>1971913</xdr:colOff>
      <xdr:row>28</xdr:row>
      <xdr:rowOff>838913</xdr:rowOff>
    </xdr:to>
    <xdr:pic>
      <xdr:nvPicPr>
        <xdr:cNvPr id="57" name="Picture 56" descr="Insight Picture 56">
          <a:extLst>
            <a:ext uri="{FF2B5EF4-FFF2-40B4-BE49-F238E27FC236}">
              <a16:creationId xmlns:a16="http://schemas.microsoft.com/office/drawing/2014/main" id="{01E17FE0-D114-295E-233C-A5DE061C4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64607" y="28444744"/>
          <a:ext cx="1307306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814625</xdr:colOff>
      <xdr:row>29</xdr:row>
      <xdr:rowOff>63342</xdr:rowOff>
    </xdr:from>
    <xdr:to>
      <xdr:col>0</xdr:col>
      <xdr:colOff>1821894</xdr:colOff>
      <xdr:row>29</xdr:row>
      <xdr:rowOff>934880</xdr:rowOff>
    </xdr:to>
    <xdr:pic>
      <xdr:nvPicPr>
        <xdr:cNvPr id="59" name="Picture 58" descr="Insight Picture 58">
          <a:extLst>
            <a:ext uri="{FF2B5EF4-FFF2-40B4-BE49-F238E27FC236}">
              <a16:creationId xmlns:a16="http://schemas.microsoft.com/office/drawing/2014/main" id="{41593BA9-18A6-C2E8-F69D-4DBD02109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14625" y="29347002"/>
          <a:ext cx="1007269" cy="871538"/>
        </a:xfrm>
        <a:prstGeom prst="rect">
          <a:avLst/>
        </a:prstGeom>
      </xdr:spPr>
    </xdr:pic>
    <xdr:clientData/>
  </xdr:twoCellAnchor>
  <xdr:twoCellAnchor editAs="oneCell">
    <xdr:from>
      <xdr:col>0</xdr:col>
      <xdr:colOff>307419</xdr:colOff>
      <xdr:row>30</xdr:row>
      <xdr:rowOff>60485</xdr:rowOff>
    </xdr:from>
    <xdr:to>
      <xdr:col>0</xdr:col>
      <xdr:colOff>2329100</xdr:colOff>
      <xdr:row>30</xdr:row>
      <xdr:rowOff>846298</xdr:rowOff>
    </xdr:to>
    <xdr:pic>
      <xdr:nvPicPr>
        <xdr:cNvPr id="61" name="Picture 60" descr="Insight Picture 60">
          <a:extLst>
            <a:ext uri="{FF2B5EF4-FFF2-40B4-BE49-F238E27FC236}">
              <a16:creationId xmlns:a16="http://schemas.microsoft.com/office/drawing/2014/main" id="{A3960DC9-2906-4FA5-E562-BB97A8181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07419" y="30342365"/>
          <a:ext cx="2021681" cy="785813"/>
        </a:xfrm>
        <a:prstGeom prst="rect">
          <a:avLst/>
        </a:prstGeom>
      </xdr:spPr>
    </xdr:pic>
    <xdr:clientData/>
  </xdr:twoCellAnchor>
  <xdr:twoCellAnchor editAs="oneCell">
    <xdr:from>
      <xdr:col>0</xdr:col>
      <xdr:colOff>525303</xdr:colOff>
      <xdr:row>31</xdr:row>
      <xdr:rowOff>62865</xdr:rowOff>
    </xdr:from>
    <xdr:to>
      <xdr:col>0</xdr:col>
      <xdr:colOff>2111216</xdr:colOff>
      <xdr:row>31</xdr:row>
      <xdr:rowOff>920115</xdr:rowOff>
    </xdr:to>
    <xdr:pic>
      <xdr:nvPicPr>
        <xdr:cNvPr id="63" name="Picture 62" descr="Insight Picture 62">
          <a:extLst>
            <a:ext uri="{FF2B5EF4-FFF2-40B4-BE49-F238E27FC236}">
              <a16:creationId xmlns:a16="http://schemas.microsoft.com/office/drawing/2014/main" id="{183169E2-CE4A-C3F9-C867-402F945BD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25303" y="31251525"/>
          <a:ext cx="1585913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314563</xdr:colOff>
      <xdr:row>32</xdr:row>
      <xdr:rowOff>62864</xdr:rowOff>
    </xdr:from>
    <xdr:to>
      <xdr:col>0</xdr:col>
      <xdr:colOff>2321957</xdr:colOff>
      <xdr:row>32</xdr:row>
      <xdr:rowOff>920114</xdr:rowOff>
    </xdr:to>
    <xdr:pic>
      <xdr:nvPicPr>
        <xdr:cNvPr id="65" name="Picture 64" descr="Insight Picture 64">
          <a:extLst>
            <a:ext uri="{FF2B5EF4-FFF2-40B4-BE49-F238E27FC236}">
              <a16:creationId xmlns:a16="http://schemas.microsoft.com/office/drawing/2014/main" id="{2C11155E-1807-F5C6-EC9B-7DC085980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14563" y="32234504"/>
          <a:ext cx="2007394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689610</xdr:colOff>
      <xdr:row>33</xdr:row>
      <xdr:rowOff>62627</xdr:rowOff>
    </xdr:from>
    <xdr:to>
      <xdr:col>0</xdr:col>
      <xdr:colOff>1946910</xdr:colOff>
      <xdr:row>33</xdr:row>
      <xdr:rowOff>798433</xdr:rowOff>
    </xdr:to>
    <xdr:pic>
      <xdr:nvPicPr>
        <xdr:cNvPr id="67" name="Picture 66" descr="Insight Picture 66">
          <a:extLst>
            <a:ext uri="{FF2B5EF4-FFF2-40B4-BE49-F238E27FC236}">
              <a16:creationId xmlns:a16="http://schemas.microsoft.com/office/drawing/2014/main" id="{B60513A0-C1AF-6E7B-CDBB-17C67161F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89610" y="33217247"/>
          <a:ext cx="1257300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618172</xdr:colOff>
      <xdr:row>34</xdr:row>
      <xdr:rowOff>62627</xdr:rowOff>
    </xdr:from>
    <xdr:to>
      <xdr:col>0</xdr:col>
      <xdr:colOff>2018347</xdr:colOff>
      <xdr:row>34</xdr:row>
      <xdr:rowOff>798433</xdr:rowOff>
    </xdr:to>
    <xdr:pic>
      <xdr:nvPicPr>
        <xdr:cNvPr id="69" name="Picture 68" descr="Insight Picture 68">
          <a:extLst>
            <a:ext uri="{FF2B5EF4-FFF2-40B4-BE49-F238E27FC236}">
              <a16:creationId xmlns:a16="http://schemas.microsoft.com/office/drawing/2014/main" id="{C36EE56D-B3EA-0807-2304-AEAD0E316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18172" y="34078307"/>
          <a:ext cx="1400175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600313</xdr:colOff>
      <xdr:row>35</xdr:row>
      <xdr:rowOff>61199</xdr:rowOff>
    </xdr:from>
    <xdr:to>
      <xdr:col>0</xdr:col>
      <xdr:colOff>2036207</xdr:colOff>
      <xdr:row>35</xdr:row>
      <xdr:rowOff>639843</xdr:rowOff>
    </xdr:to>
    <xdr:pic>
      <xdr:nvPicPr>
        <xdr:cNvPr id="71" name="Picture 70" descr="Insight Picture 70">
          <a:extLst>
            <a:ext uri="{FF2B5EF4-FFF2-40B4-BE49-F238E27FC236}">
              <a16:creationId xmlns:a16="http://schemas.microsoft.com/office/drawing/2014/main" id="{79967CF5-6107-F514-D075-E77602028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00313" y="34937939"/>
          <a:ext cx="1435894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703897</xdr:colOff>
      <xdr:row>36</xdr:row>
      <xdr:rowOff>61198</xdr:rowOff>
    </xdr:from>
    <xdr:to>
      <xdr:col>0</xdr:col>
      <xdr:colOff>1932622</xdr:colOff>
      <xdr:row>36</xdr:row>
      <xdr:rowOff>639842</xdr:rowOff>
    </xdr:to>
    <xdr:pic>
      <xdr:nvPicPr>
        <xdr:cNvPr id="73" name="Picture 72" descr="Insight Picture 72">
          <a:extLst>
            <a:ext uri="{FF2B5EF4-FFF2-40B4-BE49-F238E27FC236}">
              <a16:creationId xmlns:a16="http://schemas.microsoft.com/office/drawing/2014/main" id="{F7E33B9E-ED22-207A-51EE-1F67C622D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703897" y="35638978"/>
          <a:ext cx="1228725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689610</xdr:colOff>
      <xdr:row>37</xdr:row>
      <xdr:rowOff>60246</xdr:rowOff>
    </xdr:from>
    <xdr:to>
      <xdr:col>0</xdr:col>
      <xdr:colOff>1946910</xdr:colOff>
      <xdr:row>37</xdr:row>
      <xdr:rowOff>838915</xdr:rowOff>
    </xdr:to>
    <xdr:pic>
      <xdr:nvPicPr>
        <xdr:cNvPr id="75" name="Picture 74" descr="Insight Picture 74">
          <a:extLst>
            <a:ext uri="{FF2B5EF4-FFF2-40B4-BE49-F238E27FC236}">
              <a16:creationId xmlns:a16="http://schemas.microsoft.com/office/drawing/2014/main" id="{27596656-096E-CEBE-DEAE-F1FDD995B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89610" y="36339066"/>
          <a:ext cx="1257300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375285</xdr:colOff>
      <xdr:row>38</xdr:row>
      <xdr:rowOff>63341</xdr:rowOff>
    </xdr:from>
    <xdr:to>
      <xdr:col>0</xdr:col>
      <xdr:colOff>2261235</xdr:colOff>
      <xdr:row>38</xdr:row>
      <xdr:rowOff>591979</xdr:rowOff>
    </xdr:to>
    <xdr:pic>
      <xdr:nvPicPr>
        <xdr:cNvPr id="77" name="Picture 76" descr="Insight Picture 76">
          <a:extLst>
            <a:ext uri="{FF2B5EF4-FFF2-40B4-BE49-F238E27FC236}">
              <a16:creationId xmlns:a16="http://schemas.microsoft.com/office/drawing/2014/main" id="{8856BFFF-05FA-4F8B-E910-B25945C45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75285" y="37241321"/>
          <a:ext cx="1885950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418147</xdr:colOff>
      <xdr:row>39</xdr:row>
      <xdr:rowOff>60961</xdr:rowOff>
    </xdr:from>
    <xdr:to>
      <xdr:col>0</xdr:col>
      <xdr:colOff>2218372</xdr:colOff>
      <xdr:row>39</xdr:row>
      <xdr:rowOff>632461</xdr:rowOff>
    </xdr:to>
    <xdr:pic>
      <xdr:nvPicPr>
        <xdr:cNvPr id="79" name="Picture 78" descr="Insight Picture 78">
          <a:extLst>
            <a:ext uri="{FF2B5EF4-FFF2-40B4-BE49-F238E27FC236}">
              <a16:creationId xmlns:a16="http://schemas.microsoft.com/office/drawing/2014/main" id="{78EBED32-8B8A-AE75-8C70-E89D547C1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18147" y="37894261"/>
          <a:ext cx="180022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525303</xdr:colOff>
      <xdr:row>40</xdr:row>
      <xdr:rowOff>61914</xdr:rowOff>
    </xdr:from>
    <xdr:to>
      <xdr:col>0</xdr:col>
      <xdr:colOff>2111216</xdr:colOff>
      <xdr:row>40</xdr:row>
      <xdr:rowOff>890589</xdr:rowOff>
    </xdr:to>
    <xdr:pic>
      <xdr:nvPicPr>
        <xdr:cNvPr id="81" name="Picture 80" descr="Insight Picture 80">
          <a:extLst>
            <a:ext uri="{FF2B5EF4-FFF2-40B4-BE49-F238E27FC236}">
              <a16:creationId xmlns:a16="http://schemas.microsoft.com/office/drawing/2014/main" id="{57F4E230-02FB-FEB1-0D95-DEFEE818E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25303" y="38588634"/>
          <a:ext cx="1585913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628888</xdr:colOff>
      <xdr:row>41</xdr:row>
      <xdr:rowOff>62149</xdr:rowOff>
    </xdr:from>
    <xdr:to>
      <xdr:col>0</xdr:col>
      <xdr:colOff>2007632</xdr:colOff>
      <xdr:row>41</xdr:row>
      <xdr:rowOff>897968</xdr:rowOff>
    </xdr:to>
    <xdr:pic>
      <xdr:nvPicPr>
        <xdr:cNvPr id="83" name="Picture 82" descr="Insight Picture 82">
          <a:extLst>
            <a:ext uri="{FF2B5EF4-FFF2-40B4-BE49-F238E27FC236}">
              <a16:creationId xmlns:a16="http://schemas.microsoft.com/office/drawing/2014/main" id="{E806AEAB-3F7A-0B52-7455-407F1360F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628888" y="39541369"/>
          <a:ext cx="1378744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643175</xdr:colOff>
      <xdr:row>42</xdr:row>
      <xdr:rowOff>62389</xdr:rowOff>
    </xdr:from>
    <xdr:to>
      <xdr:col>0</xdr:col>
      <xdr:colOff>1993344</xdr:colOff>
      <xdr:row>42</xdr:row>
      <xdr:rowOff>1019652</xdr:rowOff>
    </xdr:to>
    <xdr:pic>
      <xdr:nvPicPr>
        <xdr:cNvPr id="85" name="Picture 84" descr="Insight Picture 84">
          <a:extLst>
            <a:ext uri="{FF2B5EF4-FFF2-40B4-BE49-F238E27FC236}">
              <a16:creationId xmlns:a16="http://schemas.microsoft.com/office/drawing/2014/main" id="{BB10A48A-14E7-AE7B-1DF5-65122F5BB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43175" y="40501729"/>
          <a:ext cx="1350169" cy="957263"/>
        </a:xfrm>
        <a:prstGeom prst="rect">
          <a:avLst/>
        </a:prstGeom>
      </xdr:spPr>
    </xdr:pic>
    <xdr:clientData/>
  </xdr:twoCellAnchor>
  <xdr:twoCellAnchor editAs="oneCell">
    <xdr:from>
      <xdr:col>0</xdr:col>
      <xdr:colOff>643175</xdr:colOff>
      <xdr:row>43</xdr:row>
      <xdr:rowOff>62389</xdr:rowOff>
    </xdr:from>
    <xdr:to>
      <xdr:col>0</xdr:col>
      <xdr:colOff>1993344</xdr:colOff>
      <xdr:row>43</xdr:row>
      <xdr:rowOff>1019652</xdr:rowOff>
    </xdr:to>
    <xdr:pic>
      <xdr:nvPicPr>
        <xdr:cNvPr id="87" name="Picture 86" descr="Insight Picture 86">
          <a:extLst>
            <a:ext uri="{FF2B5EF4-FFF2-40B4-BE49-F238E27FC236}">
              <a16:creationId xmlns:a16="http://schemas.microsoft.com/office/drawing/2014/main" id="{0AB591EB-66DA-6FFC-4FD4-77ECBA3AA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43175" y="41583769"/>
          <a:ext cx="1350169" cy="957263"/>
        </a:xfrm>
        <a:prstGeom prst="rect">
          <a:avLst/>
        </a:prstGeom>
      </xdr:spPr>
    </xdr:pic>
    <xdr:clientData/>
  </xdr:twoCellAnchor>
  <xdr:twoCellAnchor editAs="oneCell">
    <xdr:from>
      <xdr:col>0</xdr:col>
      <xdr:colOff>432435</xdr:colOff>
      <xdr:row>44</xdr:row>
      <xdr:rowOff>62149</xdr:rowOff>
    </xdr:from>
    <xdr:to>
      <xdr:col>0</xdr:col>
      <xdr:colOff>2204085</xdr:colOff>
      <xdr:row>44</xdr:row>
      <xdr:rowOff>897968</xdr:rowOff>
    </xdr:to>
    <xdr:pic>
      <xdr:nvPicPr>
        <xdr:cNvPr id="89" name="Picture 88" descr="Insight Picture 88">
          <a:extLst>
            <a:ext uri="{FF2B5EF4-FFF2-40B4-BE49-F238E27FC236}">
              <a16:creationId xmlns:a16="http://schemas.microsoft.com/office/drawing/2014/main" id="{C32F172E-C06D-CD31-869C-3502CCD84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32435" y="42665569"/>
          <a:ext cx="1771650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525303</xdr:colOff>
      <xdr:row>45</xdr:row>
      <xdr:rowOff>61912</xdr:rowOff>
    </xdr:from>
    <xdr:to>
      <xdr:col>0</xdr:col>
      <xdr:colOff>2111216</xdr:colOff>
      <xdr:row>45</xdr:row>
      <xdr:rowOff>890587</xdr:rowOff>
    </xdr:to>
    <xdr:pic>
      <xdr:nvPicPr>
        <xdr:cNvPr id="91" name="Picture 90" descr="Insight Picture 90">
          <a:extLst>
            <a:ext uri="{FF2B5EF4-FFF2-40B4-BE49-F238E27FC236}">
              <a16:creationId xmlns:a16="http://schemas.microsoft.com/office/drawing/2014/main" id="{861C1492-2FDE-5439-C843-4CB0656ED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25303" y="43625452"/>
          <a:ext cx="1585913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521732</xdr:colOff>
      <xdr:row>46</xdr:row>
      <xdr:rowOff>63580</xdr:rowOff>
    </xdr:from>
    <xdr:to>
      <xdr:col>0</xdr:col>
      <xdr:colOff>2114788</xdr:colOff>
      <xdr:row>46</xdr:row>
      <xdr:rowOff>942261</xdr:rowOff>
    </xdr:to>
    <xdr:pic>
      <xdr:nvPicPr>
        <xdr:cNvPr id="93" name="Picture 92" descr="Insight Picture 92">
          <a:extLst>
            <a:ext uri="{FF2B5EF4-FFF2-40B4-BE49-F238E27FC236}">
              <a16:creationId xmlns:a16="http://schemas.microsoft.com/office/drawing/2014/main" id="{C0A28D58-BA1A-07FA-65EE-B70243D39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21732" y="44579620"/>
          <a:ext cx="1593056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546735</xdr:colOff>
      <xdr:row>47</xdr:row>
      <xdr:rowOff>61911</xdr:rowOff>
    </xdr:from>
    <xdr:to>
      <xdr:col>0</xdr:col>
      <xdr:colOff>2089785</xdr:colOff>
      <xdr:row>47</xdr:row>
      <xdr:rowOff>890586</xdr:rowOff>
    </xdr:to>
    <xdr:pic>
      <xdr:nvPicPr>
        <xdr:cNvPr id="95" name="Picture 94" descr="Insight Picture 94">
          <a:extLst>
            <a:ext uri="{FF2B5EF4-FFF2-40B4-BE49-F238E27FC236}">
              <a16:creationId xmlns:a16="http://schemas.microsoft.com/office/drawing/2014/main" id="{42425FD9-C80C-7C07-96EC-C5CC86E86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46735" y="45583791"/>
          <a:ext cx="154305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586025</xdr:colOff>
      <xdr:row>48</xdr:row>
      <xdr:rowOff>62150</xdr:rowOff>
    </xdr:from>
    <xdr:to>
      <xdr:col>0</xdr:col>
      <xdr:colOff>2050494</xdr:colOff>
      <xdr:row>48</xdr:row>
      <xdr:rowOff>897969</xdr:rowOff>
    </xdr:to>
    <xdr:pic>
      <xdr:nvPicPr>
        <xdr:cNvPr id="97" name="Picture 96" descr="Insight Picture 96">
          <a:extLst>
            <a:ext uri="{FF2B5EF4-FFF2-40B4-BE49-F238E27FC236}">
              <a16:creationId xmlns:a16="http://schemas.microsoft.com/office/drawing/2014/main" id="{2D761807-25CA-65A0-B97C-FD1F4012F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86025" y="46536530"/>
          <a:ext cx="1464469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571738</xdr:colOff>
      <xdr:row>49</xdr:row>
      <xdr:rowOff>62864</xdr:rowOff>
    </xdr:from>
    <xdr:to>
      <xdr:col>0</xdr:col>
      <xdr:colOff>2064782</xdr:colOff>
      <xdr:row>49</xdr:row>
      <xdr:rowOff>920114</xdr:rowOff>
    </xdr:to>
    <xdr:pic>
      <xdr:nvPicPr>
        <xdr:cNvPr id="99" name="Picture 98" descr="Insight Picture 98">
          <a:extLst>
            <a:ext uri="{FF2B5EF4-FFF2-40B4-BE49-F238E27FC236}">
              <a16:creationId xmlns:a16="http://schemas.microsoft.com/office/drawing/2014/main" id="{1D84C7C2-874C-1036-034A-8614E3D6D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1738" y="47497364"/>
          <a:ext cx="1493044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839628</xdr:colOff>
      <xdr:row>50</xdr:row>
      <xdr:rowOff>62150</xdr:rowOff>
    </xdr:from>
    <xdr:to>
      <xdr:col>0</xdr:col>
      <xdr:colOff>1796891</xdr:colOff>
      <xdr:row>50</xdr:row>
      <xdr:rowOff>897969</xdr:rowOff>
    </xdr:to>
    <xdr:pic>
      <xdr:nvPicPr>
        <xdr:cNvPr id="101" name="Picture 100" descr="Insight Picture 100">
          <a:extLst>
            <a:ext uri="{FF2B5EF4-FFF2-40B4-BE49-F238E27FC236}">
              <a16:creationId xmlns:a16="http://schemas.microsoft.com/office/drawing/2014/main" id="{80F31451-79E7-F675-E7E7-6F9F380E2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839628" y="48479630"/>
          <a:ext cx="957263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753903</xdr:colOff>
      <xdr:row>51</xdr:row>
      <xdr:rowOff>62151</xdr:rowOff>
    </xdr:from>
    <xdr:to>
      <xdr:col>0</xdr:col>
      <xdr:colOff>1882616</xdr:colOff>
      <xdr:row>51</xdr:row>
      <xdr:rowOff>897970</xdr:rowOff>
    </xdr:to>
    <xdr:pic>
      <xdr:nvPicPr>
        <xdr:cNvPr id="103" name="Picture 102" descr="Insight Picture 102">
          <a:extLst>
            <a:ext uri="{FF2B5EF4-FFF2-40B4-BE49-F238E27FC236}">
              <a16:creationId xmlns:a16="http://schemas.microsoft.com/office/drawing/2014/main" id="{3B1A777D-5125-165D-6B7D-FBE3DC984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753903" y="49439751"/>
          <a:ext cx="1128713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650320</xdr:colOff>
      <xdr:row>52</xdr:row>
      <xdr:rowOff>61914</xdr:rowOff>
    </xdr:from>
    <xdr:to>
      <xdr:col>0</xdr:col>
      <xdr:colOff>1986201</xdr:colOff>
      <xdr:row>52</xdr:row>
      <xdr:rowOff>890589</xdr:rowOff>
    </xdr:to>
    <xdr:pic>
      <xdr:nvPicPr>
        <xdr:cNvPr id="105" name="Picture 104" descr="Insight Picture 104">
          <a:extLst>
            <a:ext uri="{FF2B5EF4-FFF2-40B4-BE49-F238E27FC236}">
              <a16:creationId xmlns:a16="http://schemas.microsoft.com/office/drawing/2014/main" id="{DA9D9609-B978-90D2-A08C-0D7D1E256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50320" y="50399634"/>
          <a:ext cx="1335881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514588</xdr:colOff>
      <xdr:row>53</xdr:row>
      <xdr:rowOff>61198</xdr:rowOff>
    </xdr:from>
    <xdr:to>
      <xdr:col>0</xdr:col>
      <xdr:colOff>2121932</xdr:colOff>
      <xdr:row>53</xdr:row>
      <xdr:rowOff>639842</xdr:rowOff>
    </xdr:to>
    <xdr:pic>
      <xdr:nvPicPr>
        <xdr:cNvPr id="107" name="Picture 106" descr="Insight Picture 106">
          <a:extLst>
            <a:ext uri="{FF2B5EF4-FFF2-40B4-BE49-F238E27FC236}">
              <a16:creationId xmlns:a16="http://schemas.microsoft.com/office/drawing/2014/main" id="{238B741A-3D5F-76DB-2CC3-B09E929C3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14588" y="51351418"/>
          <a:ext cx="1607344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736045</xdr:colOff>
      <xdr:row>54</xdr:row>
      <xdr:rowOff>62865</xdr:rowOff>
    </xdr:from>
    <xdr:to>
      <xdr:col>0</xdr:col>
      <xdr:colOff>1900476</xdr:colOff>
      <xdr:row>54</xdr:row>
      <xdr:rowOff>805815</xdr:rowOff>
    </xdr:to>
    <xdr:pic>
      <xdr:nvPicPr>
        <xdr:cNvPr id="109" name="Picture 108" descr="Insight Picture 108">
          <a:extLst>
            <a:ext uri="{FF2B5EF4-FFF2-40B4-BE49-F238E27FC236}">
              <a16:creationId xmlns:a16="http://schemas.microsoft.com/office/drawing/2014/main" id="{F958A8A1-8B5C-369D-1B34-867335805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736045" y="52054125"/>
          <a:ext cx="1164431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714613</xdr:colOff>
      <xdr:row>55</xdr:row>
      <xdr:rowOff>63341</xdr:rowOff>
    </xdr:from>
    <xdr:to>
      <xdr:col>0</xdr:col>
      <xdr:colOff>1921907</xdr:colOff>
      <xdr:row>55</xdr:row>
      <xdr:rowOff>934879</xdr:rowOff>
    </xdr:to>
    <xdr:pic>
      <xdr:nvPicPr>
        <xdr:cNvPr id="111" name="Picture 110" descr="Insight Picture 110">
          <a:extLst>
            <a:ext uri="{FF2B5EF4-FFF2-40B4-BE49-F238E27FC236}">
              <a16:creationId xmlns:a16="http://schemas.microsoft.com/office/drawing/2014/main" id="{2A6DBAB9-A41E-D776-CE7C-34BBFD67F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714613" y="52923281"/>
          <a:ext cx="1207294" cy="871538"/>
        </a:xfrm>
        <a:prstGeom prst="rect">
          <a:avLst/>
        </a:prstGeom>
      </xdr:spPr>
    </xdr:pic>
    <xdr:clientData/>
  </xdr:twoCellAnchor>
  <xdr:twoCellAnchor editAs="oneCell">
    <xdr:from>
      <xdr:col>0</xdr:col>
      <xdr:colOff>753903</xdr:colOff>
      <xdr:row>56</xdr:row>
      <xdr:rowOff>60248</xdr:rowOff>
    </xdr:from>
    <xdr:to>
      <xdr:col>0</xdr:col>
      <xdr:colOff>1882616</xdr:colOff>
      <xdr:row>56</xdr:row>
      <xdr:rowOff>838917</xdr:rowOff>
    </xdr:to>
    <xdr:pic>
      <xdr:nvPicPr>
        <xdr:cNvPr id="113" name="Picture 112" descr="Insight Picture 112">
          <a:extLst>
            <a:ext uri="{FF2B5EF4-FFF2-40B4-BE49-F238E27FC236}">
              <a16:creationId xmlns:a16="http://schemas.microsoft.com/office/drawing/2014/main" id="{A836552B-DECB-895D-6A13-63F242C5A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753903" y="53918408"/>
          <a:ext cx="1128713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664607</xdr:colOff>
      <xdr:row>57</xdr:row>
      <xdr:rowOff>60246</xdr:rowOff>
    </xdr:from>
    <xdr:to>
      <xdr:col>0</xdr:col>
      <xdr:colOff>1971913</xdr:colOff>
      <xdr:row>57</xdr:row>
      <xdr:rowOff>838915</xdr:rowOff>
    </xdr:to>
    <xdr:pic>
      <xdr:nvPicPr>
        <xdr:cNvPr id="115" name="Picture 114" descr="Insight Picture 114">
          <a:extLst>
            <a:ext uri="{FF2B5EF4-FFF2-40B4-BE49-F238E27FC236}">
              <a16:creationId xmlns:a16="http://schemas.microsoft.com/office/drawing/2014/main" id="{7F3B71E6-B7AD-BF0B-C6C3-A56FDF449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664607" y="54817566"/>
          <a:ext cx="1307306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525303</xdr:colOff>
      <xdr:row>58</xdr:row>
      <xdr:rowOff>62866</xdr:rowOff>
    </xdr:from>
    <xdr:to>
      <xdr:col>0</xdr:col>
      <xdr:colOff>2111216</xdr:colOff>
      <xdr:row>58</xdr:row>
      <xdr:rowOff>920116</xdr:rowOff>
    </xdr:to>
    <xdr:pic>
      <xdr:nvPicPr>
        <xdr:cNvPr id="117" name="Picture 116" descr="Insight Picture 116">
          <a:extLst>
            <a:ext uri="{FF2B5EF4-FFF2-40B4-BE49-F238E27FC236}">
              <a16:creationId xmlns:a16="http://schemas.microsoft.com/office/drawing/2014/main" id="{B793DAC7-B953-2D36-C1C2-17C33EAB7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25303" y="55719346"/>
          <a:ext cx="1585913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478869</xdr:colOff>
      <xdr:row>59</xdr:row>
      <xdr:rowOff>63820</xdr:rowOff>
    </xdr:from>
    <xdr:to>
      <xdr:col>0</xdr:col>
      <xdr:colOff>2157650</xdr:colOff>
      <xdr:row>59</xdr:row>
      <xdr:rowOff>721045</xdr:rowOff>
    </xdr:to>
    <xdr:pic>
      <xdr:nvPicPr>
        <xdr:cNvPr id="119" name="Picture 118" descr="Insight Picture 118">
          <a:extLst>
            <a:ext uri="{FF2B5EF4-FFF2-40B4-BE49-F238E27FC236}">
              <a16:creationId xmlns:a16="http://schemas.microsoft.com/office/drawing/2014/main" id="{7FE49724-4B70-7D89-3559-C98DADC33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78869" y="56703280"/>
          <a:ext cx="1678781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557450</xdr:colOff>
      <xdr:row>60</xdr:row>
      <xdr:rowOff>61201</xdr:rowOff>
    </xdr:from>
    <xdr:to>
      <xdr:col>0</xdr:col>
      <xdr:colOff>2079069</xdr:colOff>
      <xdr:row>60</xdr:row>
      <xdr:rowOff>639845</xdr:rowOff>
    </xdr:to>
    <xdr:pic>
      <xdr:nvPicPr>
        <xdr:cNvPr id="121" name="Picture 120" descr="Insight Picture 120">
          <a:extLst>
            <a:ext uri="{FF2B5EF4-FFF2-40B4-BE49-F238E27FC236}">
              <a16:creationId xmlns:a16="http://schemas.microsoft.com/office/drawing/2014/main" id="{FCBECDAF-7BEF-5CFC-7A7B-00AFFA334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57450" y="57485521"/>
          <a:ext cx="1521619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643175</xdr:colOff>
      <xdr:row>61</xdr:row>
      <xdr:rowOff>60248</xdr:rowOff>
    </xdr:from>
    <xdr:to>
      <xdr:col>0</xdr:col>
      <xdr:colOff>1993344</xdr:colOff>
      <xdr:row>61</xdr:row>
      <xdr:rowOff>838917</xdr:rowOff>
    </xdr:to>
    <xdr:pic>
      <xdr:nvPicPr>
        <xdr:cNvPr id="123" name="Picture 122" descr="Insight Picture 122">
          <a:extLst>
            <a:ext uri="{FF2B5EF4-FFF2-40B4-BE49-F238E27FC236}">
              <a16:creationId xmlns:a16="http://schemas.microsoft.com/office/drawing/2014/main" id="{4083AF76-C865-D9C8-982C-B6F79907A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43175" y="58185608"/>
          <a:ext cx="1350169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546735</xdr:colOff>
      <xdr:row>62</xdr:row>
      <xdr:rowOff>63818</xdr:rowOff>
    </xdr:from>
    <xdr:to>
      <xdr:col>0</xdr:col>
      <xdr:colOff>2089785</xdr:colOff>
      <xdr:row>62</xdr:row>
      <xdr:rowOff>721043</xdr:rowOff>
    </xdr:to>
    <xdr:pic>
      <xdr:nvPicPr>
        <xdr:cNvPr id="125" name="Picture 124" descr="Insight Picture 124">
          <a:extLst>
            <a:ext uri="{FF2B5EF4-FFF2-40B4-BE49-F238E27FC236}">
              <a16:creationId xmlns:a16="http://schemas.microsoft.com/office/drawing/2014/main" id="{8C1C15D4-E89E-4264-0BD4-AC3FB8C37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46735" y="59088338"/>
          <a:ext cx="1543050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407432</xdr:colOff>
      <xdr:row>63</xdr:row>
      <xdr:rowOff>63815</xdr:rowOff>
    </xdr:from>
    <xdr:to>
      <xdr:col>0</xdr:col>
      <xdr:colOff>2229088</xdr:colOff>
      <xdr:row>63</xdr:row>
      <xdr:rowOff>835340</xdr:rowOff>
    </xdr:to>
    <xdr:pic>
      <xdr:nvPicPr>
        <xdr:cNvPr id="127" name="Picture 126" descr="Insight Picture 126">
          <a:extLst>
            <a:ext uri="{FF2B5EF4-FFF2-40B4-BE49-F238E27FC236}">
              <a16:creationId xmlns:a16="http://schemas.microsoft.com/office/drawing/2014/main" id="{0C87C564-9FE6-0602-B73C-E0E404C4A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407432" y="59873195"/>
          <a:ext cx="1821656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775335</xdr:colOff>
      <xdr:row>64</xdr:row>
      <xdr:rowOff>62628</xdr:rowOff>
    </xdr:from>
    <xdr:to>
      <xdr:col>0</xdr:col>
      <xdr:colOff>1861185</xdr:colOff>
      <xdr:row>64</xdr:row>
      <xdr:rowOff>798434</xdr:rowOff>
    </xdr:to>
    <xdr:pic>
      <xdr:nvPicPr>
        <xdr:cNvPr id="129" name="Picture 128" descr="Insight Picture 128">
          <a:extLst>
            <a:ext uri="{FF2B5EF4-FFF2-40B4-BE49-F238E27FC236}">
              <a16:creationId xmlns:a16="http://schemas.microsoft.com/office/drawing/2014/main" id="{36DC4985-BD2A-5CDE-B2F2-07B09DF44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775335" y="60771168"/>
          <a:ext cx="1085850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775335</xdr:colOff>
      <xdr:row>65</xdr:row>
      <xdr:rowOff>60244</xdr:rowOff>
    </xdr:from>
    <xdr:to>
      <xdr:col>0</xdr:col>
      <xdr:colOff>1861185</xdr:colOff>
      <xdr:row>65</xdr:row>
      <xdr:rowOff>838913</xdr:rowOff>
    </xdr:to>
    <xdr:pic>
      <xdr:nvPicPr>
        <xdr:cNvPr id="131" name="Picture 130" descr="Insight Picture 130">
          <a:extLst>
            <a:ext uri="{FF2B5EF4-FFF2-40B4-BE49-F238E27FC236}">
              <a16:creationId xmlns:a16="http://schemas.microsoft.com/office/drawing/2014/main" id="{1E938F82-86A2-30C3-A6BE-CCB8AE5BC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775335" y="61629844"/>
          <a:ext cx="1085850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507445</xdr:colOff>
      <xdr:row>66</xdr:row>
      <xdr:rowOff>63578</xdr:rowOff>
    </xdr:from>
    <xdr:to>
      <xdr:col>0</xdr:col>
      <xdr:colOff>2129076</xdr:colOff>
      <xdr:row>66</xdr:row>
      <xdr:rowOff>1056559</xdr:rowOff>
    </xdr:to>
    <xdr:pic>
      <xdr:nvPicPr>
        <xdr:cNvPr id="133" name="Picture 132" descr="Insight Picture 132">
          <a:extLst>
            <a:ext uri="{FF2B5EF4-FFF2-40B4-BE49-F238E27FC236}">
              <a16:creationId xmlns:a16="http://schemas.microsoft.com/office/drawing/2014/main" id="{F1BA5CA7-FDFC-5429-4B1A-09A47D9D7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07445" y="62532338"/>
          <a:ext cx="1621631" cy="992981"/>
        </a:xfrm>
        <a:prstGeom prst="rect">
          <a:avLst/>
        </a:prstGeom>
      </xdr:spPr>
    </xdr:pic>
    <xdr:clientData/>
  </xdr:twoCellAnchor>
  <xdr:twoCellAnchor editAs="oneCell">
    <xdr:from>
      <xdr:col>0</xdr:col>
      <xdr:colOff>775335</xdr:colOff>
      <xdr:row>67</xdr:row>
      <xdr:rowOff>61199</xdr:rowOff>
    </xdr:from>
    <xdr:to>
      <xdr:col>0</xdr:col>
      <xdr:colOff>1861185</xdr:colOff>
      <xdr:row>67</xdr:row>
      <xdr:rowOff>639843</xdr:rowOff>
    </xdr:to>
    <xdr:pic>
      <xdr:nvPicPr>
        <xdr:cNvPr id="135" name="Picture 134" descr="Insight Picture 134">
          <a:extLst>
            <a:ext uri="{FF2B5EF4-FFF2-40B4-BE49-F238E27FC236}">
              <a16:creationId xmlns:a16="http://schemas.microsoft.com/office/drawing/2014/main" id="{F425E970-7785-24B4-6999-ED7EF67C0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775335" y="63650099"/>
          <a:ext cx="1085850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643175</xdr:colOff>
      <xdr:row>68</xdr:row>
      <xdr:rowOff>63819</xdr:rowOff>
    </xdr:from>
    <xdr:to>
      <xdr:col>0</xdr:col>
      <xdr:colOff>1993344</xdr:colOff>
      <xdr:row>68</xdr:row>
      <xdr:rowOff>721044</xdr:rowOff>
    </xdr:to>
    <xdr:pic>
      <xdr:nvPicPr>
        <xdr:cNvPr id="137" name="Picture 136" descr="Insight Picture 136">
          <a:extLst>
            <a:ext uri="{FF2B5EF4-FFF2-40B4-BE49-F238E27FC236}">
              <a16:creationId xmlns:a16="http://schemas.microsoft.com/office/drawing/2014/main" id="{07341FF8-6EC0-DCE0-BFD6-9E8E40046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643175" y="64353759"/>
          <a:ext cx="1350169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557450</xdr:colOff>
      <xdr:row>69</xdr:row>
      <xdr:rowOff>62148</xdr:rowOff>
    </xdr:from>
    <xdr:to>
      <xdr:col>0</xdr:col>
      <xdr:colOff>2079069</xdr:colOff>
      <xdr:row>69</xdr:row>
      <xdr:rowOff>897967</xdr:rowOff>
    </xdr:to>
    <xdr:pic>
      <xdr:nvPicPr>
        <xdr:cNvPr id="139" name="Picture 138" descr="Insight Picture 138">
          <a:extLst>
            <a:ext uri="{FF2B5EF4-FFF2-40B4-BE49-F238E27FC236}">
              <a16:creationId xmlns:a16="http://schemas.microsoft.com/office/drawing/2014/main" id="{35193CA8-9B45-F140-BDB0-1E27C04F9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557450" y="65136948"/>
          <a:ext cx="1521619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557450</xdr:colOff>
      <xdr:row>70</xdr:row>
      <xdr:rowOff>62149</xdr:rowOff>
    </xdr:from>
    <xdr:to>
      <xdr:col>0</xdr:col>
      <xdr:colOff>2079069</xdr:colOff>
      <xdr:row>70</xdr:row>
      <xdr:rowOff>897968</xdr:rowOff>
    </xdr:to>
    <xdr:pic>
      <xdr:nvPicPr>
        <xdr:cNvPr id="141" name="Picture 140" descr="Insight Picture 140">
          <a:extLst>
            <a:ext uri="{FF2B5EF4-FFF2-40B4-BE49-F238E27FC236}">
              <a16:creationId xmlns:a16="http://schemas.microsoft.com/office/drawing/2014/main" id="{22A3C91D-FB12-52F2-A09D-126ABA660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57450" y="66097069"/>
          <a:ext cx="1521619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525303</xdr:colOff>
      <xdr:row>71</xdr:row>
      <xdr:rowOff>61915</xdr:rowOff>
    </xdr:from>
    <xdr:to>
      <xdr:col>0</xdr:col>
      <xdr:colOff>2111216</xdr:colOff>
      <xdr:row>71</xdr:row>
      <xdr:rowOff>890590</xdr:rowOff>
    </xdr:to>
    <xdr:pic>
      <xdr:nvPicPr>
        <xdr:cNvPr id="143" name="Picture 142" descr="Insight Picture 142">
          <a:extLst>
            <a:ext uri="{FF2B5EF4-FFF2-40B4-BE49-F238E27FC236}">
              <a16:creationId xmlns:a16="http://schemas.microsoft.com/office/drawing/2014/main" id="{49DE01B1-C4E0-9F74-3D72-48829D501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25303" y="67056955"/>
          <a:ext cx="1585913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393144</xdr:colOff>
      <xdr:row>72</xdr:row>
      <xdr:rowOff>61437</xdr:rowOff>
    </xdr:from>
    <xdr:to>
      <xdr:col>0</xdr:col>
      <xdr:colOff>2243375</xdr:colOff>
      <xdr:row>72</xdr:row>
      <xdr:rowOff>1104425</xdr:rowOff>
    </xdr:to>
    <xdr:pic>
      <xdr:nvPicPr>
        <xdr:cNvPr id="145" name="Picture 144" descr="Insight Picture 144">
          <a:extLst>
            <a:ext uri="{FF2B5EF4-FFF2-40B4-BE49-F238E27FC236}">
              <a16:creationId xmlns:a16="http://schemas.microsoft.com/office/drawing/2014/main" id="{293AFA4B-D77D-CFF6-494C-A11B92E87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393144" y="68008977"/>
          <a:ext cx="1850231" cy="1042988"/>
        </a:xfrm>
        <a:prstGeom prst="rect">
          <a:avLst/>
        </a:prstGeom>
      </xdr:spPr>
    </xdr:pic>
    <xdr:clientData/>
  </xdr:twoCellAnchor>
  <xdr:twoCellAnchor editAs="oneCell">
    <xdr:from>
      <xdr:col>0</xdr:col>
      <xdr:colOff>432435</xdr:colOff>
      <xdr:row>73</xdr:row>
      <xdr:rowOff>62148</xdr:rowOff>
    </xdr:from>
    <xdr:to>
      <xdr:col>0</xdr:col>
      <xdr:colOff>2204085</xdr:colOff>
      <xdr:row>73</xdr:row>
      <xdr:rowOff>897967</xdr:rowOff>
    </xdr:to>
    <xdr:pic>
      <xdr:nvPicPr>
        <xdr:cNvPr id="147" name="Picture 146" descr="Insight Picture 146">
          <a:extLst>
            <a:ext uri="{FF2B5EF4-FFF2-40B4-BE49-F238E27FC236}">
              <a16:creationId xmlns:a16="http://schemas.microsoft.com/office/drawing/2014/main" id="{B0EE4517-7736-254F-5B71-68B8EDB9C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432435" y="69175548"/>
          <a:ext cx="1771650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150257</xdr:colOff>
      <xdr:row>74</xdr:row>
      <xdr:rowOff>61436</xdr:rowOff>
    </xdr:from>
    <xdr:to>
      <xdr:col>0</xdr:col>
      <xdr:colOff>2486263</xdr:colOff>
      <xdr:row>74</xdr:row>
      <xdr:rowOff>875824</xdr:rowOff>
    </xdr:to>
    <xdr:pic>
      <xdr:nvPicPr>
        <xdr:cNvPr id="149" name="Picture 148" descr="Insight Picture 148">
          <a:extLst>
            <a:ext uri="{FF2B5EF4-FFF2-40B4-BE49-F238E27FC236}">
              <a16:creationId xmlns:a16="http://schemas.microsoft.com/office/drawing/2014/main" id="{0F39CEC2-CDC7-41E9-0AE8-C20251362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50257" y="70134956"/>
          <a:ext cx="2336006" cy="814388"/>
        </a:xfrm>
        <a:prstGeom prst="rect">
          <a:avLst/>
        </a:prstGeom>
      </xdr:spPr>
    </xdr:pic>
    <xdr:clientData/>
  </xdr:twoCellAnchor>
  <xdr:twoCellAnchor editAs="oneCell">
    <xdr:from>
      <xdr:col>0</xdr:col>
      <xdr:colOff>650320</xdr:colOff>
      <xdr:row>75</xdr:row>
      <xdr:rowOff>63815</xdr:rowOff>
    </xdr:from>
    <xdr:to>
      <xdr:col>0</xdr:col>
      <xdr:colOff>1986201</xdr:colOff>
      <xdr:row>75</xdr:row>
      <xdr:rowOff>721040</xdr:rowOff>
    </xdr:to>
    <xdr:pic>
      <xdr:nvPicPr>
        <xdr:cNvPr id="151" name="Picture 150" descr="Insight Picture 150">
          <a:extLst>
            <a:ext uri="{FF2B5EF4-FFF2-40B4-BE49-F238E27FC236}">
              <a16:creationId xmlns:a16="http://schemas.microsoft.com/office/drawing/2014/main" id="{0BE6D19A-54F7-A1AC-468C-EE0909629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650320" y="71074595"/>
          <a:ext cx="1335881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557450</xdr:colOff>
      <xdr:row>76</xdr:row>
      <xdr:rowOff>63106</xdr:rowOff>
    </xdr:from>
    <xdr:to>
      <xdr:col>0</xdr:col>
      <xdr:colOff>2079069</xdr:colOff>
      <xdr:row>76</xdr:row>
      <xdr:rowOff>1041800</xdr:rowOff>
    </xdr:to>
    <xdr:pic>
      <xdr:nvPicPr>
        <xdr:cNvPr id="153" name="Picture 152" descr="Insight Picture 152">
          <a:extLst>
            <a:ext uri="{FF2B5EF4-FFF2-40B4-BE49-F238E27FC236}">
              <a16:creationId xmlns:a16="http://schemas.microsoft.com/office/drawing/2014/main" id="{690B9727-827B-E631-7550-8C3B430EB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557450" y="71858746"/>
          <a:ext cx="1521619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475297</xdr:colOff>
      <xdr:row>77</xdr:row>
      <xdr:rowOff>61437</xdr:rowOff>
    </xdr:from>
    <xdr:to>
      <xdr:col>0</xdr:col>
      <xdr:colOff>2161222</xdr:colOff>
      <xdr:row>77</xdr:row>
      <xdr:rowOff>1104425</xdr:rowOff>
    </xdr:to>
    <xdr:pic>
      <xdr:nvPicPr>
        <xdr:cNvPr id="155" name="Picture 154" descr="Insight Picture 154">
          <a:extLst>
            <a:ext uri="{FF2B5EF4-FFF2-40B4-BE49-F238E27FC236}">
              <a16:creationId xmlns:a16="http://schemas.microsoft.com/office/drawing/2014/main" id="{DD3A724B-41AD-53D1-2A95-7554FA28D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475297" y="72961977"/>
          <a:ext cx="1685925" cy="1042988"/>
        </a:xfrm>
        <a:prstGeom prst="rect">
          <a:avLst/>
        </a:prstGeom>
      </xdr:spPr>
    </xdr:pic>
    <xdr:clientData/>
  </xdr:twoCellAnchor>
  <xdr:twoCellAnchor editAs="oneCell">
    <xdr:from>
      <xdr:col>0</xdr:col>
      <xdr:colOff>528875</xdr:colOff>
      <xdr:row>78</xdr:row>
      <xdr:rowOff>63816</xdr:rowOff>
    </xdr:from>
    <xdr:to>
      <xdr:col>0</xdr:col>
      <xdr:colOff>2107644</xdr:colOff>
      <xdr:row>78</xdr:row>
      <xdr:rowOff>835341</xdr:rowOff>
    </xdr:to>
    <xdr:pic>
      <xdr:nvPicPr>
        <xdr:cNvPr id="157" name="Picture 156" descr="Insight Picture 156">
          <a:extLst>
            <a:ext uri="{FF2B5EF4-FFF2-40B4-BE49-F238E27FC236}">
              <a16:creationId xmlns:a16="http://schemas.microsoft.com/office/drawing/2014/main" id="{FCA0D804-C70C-9177-8C59-2043726F8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28875" y="74130216"/>
          <a:ext cx="1578769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314563</xdr:colOff>
      <xdr:row>79</xdr:row>
      <xdr:rowOff>61439</xdr:rowOff>
    </xdr:from>
    <xdr:to>
      <xdr:col>0</xdr:col>
      <xdr:colOff>2321957</xdr:colOff>
      <xdr:row>79</xdr:row>
      <xdr:rowOff>1104427</xdr:rowOff>
    </xdr:to>
    <xdr:pic>
      <xdr:nvPicPr>
        <xdr:cNvPr id="159" name="Picture 158" descr="Insight Picture 158">
          <a:extLst>
            <a:ext uri="{FF2B5EF4-FFF2-40B4-BE49-F238E27FC236}">
              <a16:creationId xmlns:a16="http://schemas.microsoft.com/office/drawing/2014/main" id="{6C59B41E-6D9A-8C6C-E061-92A04A396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314563" y="75026999"/>
          <a:ext cx="2007394" cy="1042988"/>
        </a:xfrm>
        <a:prstGeom prst="rect">
          <a:avLst/>
        </a:prstGeom>
      </xdr:spPr>
    </xdr:pic>
    <xdr:clientData/>
  </xdr:twoCellAnchor>
  <xdr:twoCellAnchor editAs="oneCell">
    <xdr:from>
      <xdr:col>0</xdr:col>
      <xdr:colOff>811053</xdr:colOff>
      <xdr:row>80</xdr:row>
      <xdr:rowOff>60246</xdr:rowOff>
    </xdr:from>
    <xdr:to>
      <xdr:col>0</xdr:col>
      <xdr:colOff>1825466</xdr:colOff>
      <xdr:row>80</xdr:row>
      <xdr:rowOff>838915</xdr:rowOff>
    </xdr:to>
    <xdr:pic>
      <xdr:nvPicPr>
        <xdr:cNvPr id="161" name="Picture 160" descr="Insight Picture 160">
          <a:extLst>
            <a:ext uri="{FF2B5EF4-FFF2-40B4-BE49-F238E27FC236}">
              <a16:creationId xmlns:a16="http://schemas.microsoft.com/office/drawing/2014/main" id="{44BAC19B-DA09-D169-165E-B57E86CB9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811053" y="76191666"/>
          <a:ext cx="1014413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796766</xdr:colOff>
      <xdr:row>81</xdr:row>
      <xdr:rowOff>60243</xdr:rowOff>
    </xdr:from>
    <xdr:to>
      <xdr:col>0</xdr:col>
      <xdr:colOff>1839754</xdr:colOff>
      <xdr:row>81</xdr:row>
      <xdr:rowOff>838912</xdr:rowOff>
    </xdr:to>
    <xdr:pic>
      <xdr:nvPicPr>
        <xdr:cNvPr id="163" name="Picture 162" descr="Insight Picture 162">
          <a:extLst>
            <a:ext uri="{FF2B5EF4-FFF2-40B4-BE49-F238E27FC236}">
              <a16:creationId xmlns:a16="http://schemas.microsoft.com/office/drawing/2014/main" id="{62C829DD-0993-EBC8-D910-211C51C17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796766" y="77090823"/>
          <a:ext cx="1042988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193119</xdr:colOff>
      <xdr:row>82</xdr:row>
      <xdr:rowOff>61915</xdr:rowOff>
    </xdr:from>
    <xdr:to>
      <xdr:col>0</xdr:col>
      <xdr:colOff>2443400</xdr:colOff>
      <xdr:row>82</xdr:row>
      <xdr:rowOff>890590</xdr:rowOff>
    </xdr:to>
    <xdr:pic>
      <xdr:nvPicPr>
        <xdr:cNvPr id="165" name="Picture 164" descr="Insight Picture 164">
          <a:extLst>
            <a:ext uri="{FF2B5EF4-FFF2-40B4-BE49-F238E27FC236}">
              <a16:creationId xmlns:a16="http://schemas.microsoft.com/office/drawing/2014/main" id="{33FCB6D1-2AB0-A50F-AACF-2C0E8A9E4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93119" y="77991655"/>
          <a:ext cx="2250281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450294</xdr:colOff>
      <xdr:row>83</xdr:row>
      <xdr:rowOff>63106</xdr:rowOff>
    </xdr:from>
    <xdr:to>
      <xdr:col>0</xdr:col>
      <xdr:colOff>2186225</xdr:colOff>
      <xdr:row>83</xdr:row>
      <xdr:rowOff>1041800</xdr:rowOff>
    </xdr:to>
    <xdr:pic>
      <xdr:nvPicPr>
        <xdr:cNvPr id="167" name="Picture 166" descr="Insight Picture 166">
          <a:extLst>
            <a:ext uri="{FF2B5EF4-FFF2-40B4-BE49-F238E27FC236}">
              <a16:creationId xmlns:a16="http://schemas.microsoft.com/office/drawing/2014/main" id="{1E286BEF-9C05-37D5-A7F5-50176A526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450294" y="78945346"/>
          <a:ext cx="1735931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432435</xdr:colOff>
      <xdr:row>84</xdr:row>
      <xdr:rowOff>63106</xdr:rowOff>
    </xdr:from>
    <xdr:to>
      <xdr:col>0</xdr:col>
      <xdr:colOff>2204085</xdr:colOff>
      <xdr:row>84</xdr:row>
      <xdr:rowOff>1041800</xdr:rowOff>
    </xdr:to>
    <xdr:pic>
      <xdr:nvPicPr>
        <xdr:cNvPr id="169" name="Picture 168" descr="Insight Picture 168">
          <a:extLst>
            <a:ext uri="{FF2B5EF4-FFF2-40B4-BE49-F238E27FC236}">
              <a16:creationId xmlns:a16="http://schemas.microsoft.com/office/drawing/2014/main" id="{2E79F9D9-89F3-C5F5-E4C9-8F54CEA36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432435" y="80050246"/>
          <a:ext cx="1771650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796766</xdr:colOff>
      <xdr:row>85</xdr:row>
      <xdr:rowOff>60247</xdr:rowOff>
    </xdr:from>
    <xdr:to>
      <xdr:col>0</xdr:col>
      <xdr:colOff>1839754</xdr:colOff>
      <xdr:row>85</xdr:row>
      <xdr:rowOff>838916</xdr:rowOff>
    </xdr:to>
    <xdr:pic>
      <xdr:nvPicPr>
        <xdr:cNvPr id="171" name="Picture 170" descr="Insight Picture 170">
          <a:extLst>
            <a:ext uri="{FF2B5EF4-FFF2-40B4-BE49-F238E27FC236}">
              <a16:creationId xmlns:a16="http://schemas.microsoft.com/office/drawing/2014/main" id="{FD68DB51-0BD2-813C-9670-519AD2563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796766" y="81152287"/>
          <a:ext cx="1042988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725328</xdr:colOff>
      <xdr:row>86</xdr:row>
      <xdr:rowOff>60244</xdr:rowOff>
    </xdr:from>
    <xdr:to>
      <xdr:col>0</xdr:col>
      <xdr:colOff>1911191</xdr:colOff>
      <xdr:row>86</xdr:row>
      <xdr:rowOff>838913</xdr:rowOff>
    </xdr:to>
    <xdr:pic>
      <xdr:nvPicPr>
        <xdr:cNvPr id="173" name="Picture 172" descr="Insight Picture 172">
          <a:extLst>
            <a:ext uri="{FF2B5EF4-FFF2-40B4-BE49-F238E27FC236}">
              <a16:creationId xmlns:a16="http://schemas.microsoft.com/office/drawing/2014/main" id="{DAF9BBCB-6357-42E9-0111-624E21CF9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725328" y="82051444"/>
          <a:ext cx="1185863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646747</xdr:colOff>
      <xdr:row>87</xdr:row>
      <xdr:rowOff>63101</xdr:rowOff>
    </xdr:from>
    <xdr:to>
      <xdr:col>0</xdr:col>
      <xdr:colOff>1989772</xdr:colOff>
      <xdr:row>87</xdr:row>
      <xdr:rowOff>584595</xdr:rowOff>
    </xdr:to>
    <xdr:pic>
      <xdr:nvPicPr>
        <xdr:cNvPr id="175" name="Picture 174" descr="Insight Picture 174">
          <a:extLst>
            <a:ext uri="{FF2B5EF4-FFF2-40B4-BE49-F238E27FC236}">
              <a16:creationId xmlns:a16="http://schemas.microsoft.com/office/drawing/2014/main" id="{82FCB58A-C1F1-E6F0-448D-20E060CF4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646747" y="82953461"/>
          <a:ext cx="1343025" cy="521494"/>
        </a:xfrm>
        <a:prstGeom prst="rect">
          <a:avLst/>
        </a:prstGeom>
      </xdr:spPr>
    </xdr:pic>
    <xdr:clientData/>
  </xdr:twoCellAnchor>
  <xdr:twoCellAnchor editAs="oneCell">
    <xdr:from>
      <xdr:col>0</xdr:col>
      <xdr:colOff>421719</xdr:colOff>
      <xdr:row>88</xdr:row>
      <xdr:rowOff>60248</xdr:rowOff>
    </xdr:from>
    <xdr:to>
      <xdr:col>0</xdr:col>
      <xdr:colOff>2214800</xdr:colOff>
      <xdr:row>88</xdr:row>
      <xdr:rowOff>838917</xdr:rowOff>
    </xdr:to>
    <xdr:pic>
      <xdr:nvPicPr>
        <xdr:cNvPr id="177" name="Picture 176" descr="Insight Picture 176">
          <a:extLst>
            <a:ext uri="{FF2B5EF4-FFF2-40B4-BE49-F238E27FC236}">
              <a16:creationId xmlns:a16="http://schemas.microsoft.com/office/drawing/2014/main" id="{DD074DD6-58EC-1C65-0977-C2CBD7EAC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421719" y="83598308"/>
          <a:ext cx="1793081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332422</xdr:colOff>
      <xdr:row>89</xdr:row>
      <xdr:rowOff>60959</xdr:rowOff>
    </xdr:from>
    <xdr:to>
      <xdr:col>0</xdr:col>
      <xdr:colOff>2304097</xdr:colOff>
      <xdr:row>89</xdr:row>
      <xdr:rowOff>975359</xdr:rowOff>
    </xdr:to>
    <xdr:pic>
      <xdr:nvPicPr>
        <xdr:cNvPr id="179" name="Picture 178" descr="Insight Picture 178">
          <a:extLst>
            <a:ext uri="{FF2B5EF4-FFF2-40B4-BE49-F238E27FC236}">
              <a16:creationId xmlns:a16="http://schemas.microsoft.com/office/drawing/2014/main" id="{378C8D29-FED2-1FE5-DB7D-15B7F3022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332422" y="84498179"/>
          <a:ext cx="1971675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300276</xdr:colOff>
      <xdr:row>90</xdr:row>
      <xdr:rowOff>60247</xdr:rowOff>
    </xdr:from>
    <xdr:to>
      <xdr:col>0</xdr:col>
      <xdr:colOff>2336245</xdr:colOff>
      <xdr:row>90</xdr:row>
      <xdr:rowOff>838916</xdr:rowOff>
    </xdr:to>
    <xdr:pic>
      <xdr:nvPicPr>
        <xdr:cNvPr id="181" name="Picture 180" descr="Insight Picture 180">
          <a:extLst>
            <a:ext uri="{FF2B5EF4-FFF2-40B4-BE49-F238E27FC236}">
              <a16:creationId xmlns:a16="http://schemas.microsoft.com/office/drawing/2014/main" id="{202BAC3E-4297-D177-3E93-4169860E8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300276" y="85533787"/>
          <a:ext cx="2035969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650320</xdr:colOff>
      <xdr:row>91</xdr:row>
      <xdr:rowOff>62867</xdr:rowOff>
    </xdr:from>
    <xdr:to>
      <xdr:col>0</xdr:col>
      <xdr:colOff>1986201</xdr:colOff>
      <xdr:row>91</xdr:row>
      <xdr:rowOff>462917</xdr:rowOff>
    </xdr:to>
    <xdr:pic>
      <xdr:nvPicPr>
        <xdr:cNvPr id="183" name="Picture 182" descr="Insight Picture 182">
          <a:extLst>
            <a:ext uri="{FF2B5EF4-FFF2-40B4-BE49-F238E27FC236}">
              <a16:creationId xmlns:a16="http://schemas.microsoft.com/office/drawing/2014/main" id="{14A43E6F-FAA2-1694-64E6-632CD26F8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650320" y="86435567"/>
          <a:ext cx="1335881" cy="400050"/>
        </a:xfrm>
        <a:prstGeom prst="rect">
          <a:avLst/>
        </a:prstGeom>
      </xdr:spPr>
    </xdr:pic>
    <xdr:clientData/>
  </xdr:twoCellAnchor>
  <xdr:twoCellAnchor editAs="oneCell">
    <xdr:from>
      <xdr:col>0</xdr:col>
      <xdr:colOff>353853</xdr:colOff>
      <xdr:row>92</xdr:row>
      <xdr:rowOff>63579</xdr:rowOff>
    </xdr:from>
    <xdr:to>
      <xdr:col>0</xdr:col>
      <xdr:colOff>2282666</xdr:colOff>
      <xdr:row>92</xdr:row>
      <xdr:rowOff>599360</xdr:rowOff>
    </xdr:to>
    <xdr:pic>
      <xdr:nvPicPr>
        <xdr:cNvPr id="185" name="Picture 184" descr="Insight Picture 184">
          <a:extLst>
            <a:ext uri="{FF2B5EF4-FFF2-40B4-BE49-F238E27FC236}">
              <a16:creationId xmlns:a16="http://schemas.microsoft.com/office/drawing/2014/main" id="{110429A4-B45C-9659-EA99-ABBB5C9E7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353853" y="86962059"/>
          <a:ext cx="1928813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332422</xdr:colOff>
      <xdr:row>93</xdr:row>
      <xdr:rowOff>60959</xdr:rowOff>
    </xdr:from>
    <xdr:to>
      <xdr:col>0</xdr:col>
      <xdr:colOff>2304097</xdr:colOff>
      <xdr:row>93</xdr:row>
      <xdr:rowOff>975359</xdr:rowOff>
    </xdr:to>
    <xdr:pic>
      <xdr:nvPicPr>
        <xdr:cNvPr id="187" name="Picture 186" descr="Insight Picture 186">
          <a:extLst>
            <a:ext uri="{FF2B5EF4-FFF2-40B4-BE49-F238E27FC236}">
              <a16:creationId xmlns:a16="http://schemas.microsoft.com/office/drawing/2014/main" id="{B368290B-CED1-0C91-63B8-8508E35E0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332422" y="87622379"/>
          <a:ext cx="1971675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353853</xdr:colOff>
      <xdr:row>94</xdr:row>
      <xdr:rowOff>63577</xdr:rowOff>
    </xdr:from>
    <xdr:to>
      <xdr:col>0</xdr:col>
      <xdr:colOff>2282666</xdr:colOff>
      <xdr:row>94</xdr:row>
      <xdr:rowOff>599358</xdr:rowOff>
    </xdr:to>
    <xdr:pic>
      <xdr:nvPicPr>
        <xdr:cNvPr id="189" name="Picture 188" descr="Insight Picture 188">
          <a:extLst>
            <a:ext uri="{FF2B5EF4-FFF2-40B4-BE49-F238E27FC236}">
              <a16:creationId xmlns:a16="http://schemas.microsoft.com/office/drawing/2014/main" id="{7C8C9AD2-C90C-CC0B-33E7-4819DEDA9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353853" y="88661317"/>
          <a:ext cx="1928813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421719</xdr:colOff>
      <xdr:row>95</xdr:row>
      <xdr:rowOff>61676</xdr:rowOff>
    </xdr:from>
    <xdr:to>
      <xdr:col>0</xdr:col>
      <xdr:colOff>2214800</xdr:colOff>
      <xdr:row>95</xdr:row>
      <xdr:rowOff>883207</xdr:rowOff>
    </xdr:to>
    <xdr:pic>
      <xdr:nvPicPr>
        <xdr:cNvPr id="191" name="Picture 190" descr="Insight Picture 190">
          <a:extLst>
            <a:ext uri="{FF2B5EF4-FFF2-40B4-BE49-F238E27FC236}">
              <a16:creationId xmlns:a16="http://schemas.microsoft.com/office/drawing/2014/main" id="{BEFB3012-9512-CE59-0A38-033271EC1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421719" y="89322356"/>
          <a:ext cx="1793081" cy="821531"/>
        </a:xfrm>
        <a:prstGeom prst="rect">
          <a:avLst/>
        </a:prstGeom>
      </xdr:spPr>
    </xdr:pic>
    <xdr:clientData/>
  </xdr:twoCellAnchor>
  <xdr:twoCellAnchor editAs="oneCell">
    <xdr:from>
      <xdr:col>0</xdr:col>
      <xdr:colOff>332422</xdr:colOff>
      <xdr:row>96</xdr:row>
      <xdr:rowOff>60961</xdr:rowOff>
    </xdr:from>
    <xdr:to>
      <xdr:col>0</xdr:col>
      <xdr:colOff>2304097</xdr:colOff>
      <xdr:row>96</xdr:row>
      <xdr:rowOff>975361</xdr:rowOff>
    </xdr:to>
    <xdr:pic>
      <xdr:nvPicPr>
        <xdr:cNvPr id="193" name="Picture 192" descr="Insight Picture 192">
          <a:extLst>
            <a:ext uri="{FF2B5EF4-FFF2-40B4-BE49-F238E27FC236}">
              <a16:creationId xmlns:a16="http://schemas.microsoft.com/office/drawing/2014/main" id="{77AFCF8A-82E1-AED1-452D-E9022D53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332422" y="90266521"/>
          <a:ext cx="1971675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300276</xdr:colOff>
      <xdr:row>97</xdr:row>
      <xdr:rowOff>61676</xdr:rowOff>
    </xdr:from>
    <xdr:to>
      <xdr:col>0</xdr:col>
      <xdr:colOff>2336245</xdr:colOff>
      <xdr:row>97</xdr:row>
      <xdr:rowOff>883207</xdr:rowOff>
    </xdr:to>
    <xdr:pic>
      <xdr:nvPicPr>
        <xdr:cNvPr id="195" name="Picture 194" descr="Insight Picture 194">
          <a:extLst>
            <a:ext uri="{FF2B5EF4-FFF2-40B4-BE49-F238E27FC236}">
              <a16:creationId xmlns:a16="http://schemas.microsoft.com/office/drawing/2014/main" id="{66149B30-0F81-4DAE-F1D8-A39CC28E3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300276" y="91303556"/>
          <a:ext cx="2035969" cy="821531"/>
        </a:xfrm>
        <a:prstGeom prst="rect">
          <a:avLst/>
        </a:prstGeom>
      </xdr:spPr>
    </xdr:pic>
    <xdr:clientData/>
  </xdr:twoCellAnchor>
  <xdr:twoCellAnchor editAs="oneCell">
    <xdr:from>
      <xdr:col>0</xdr:col>
      <xdr:colOff>332422</xdr:colOff>
      <xdr:row>98</xdr:row>
      <xdr:rowOff>60961</xdr:rowOff>
    </xdr:from>
    <xdr:to>
      <xdr:col>0</xdr:col>
      <xdr:colOff>2304097</xdr:colOff>
      <xdr:row>98</xdr:row>
      <xdr:rowOff>975361</xdr:rowOff>
    </xdr:to>
    <xdr:pic>
      <xdr:nvPicPr>
        <xdr:cNvPr id="197" name="Picture 196" descr="Insight Picture 196">
          <a:extLst>
            <a:ext uri="{FF2B5EF4-FFF2-40B4-BE49-F238E27FC236}">
              <a16:creationId xmlns:a16="http://schemas.microsoft.com/office/drawing/2014/main" id="{CEF34A36-D60C-46C3-A5FE-100A08C5F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332422" y="92247721"/>
          <a:ext cx="1971675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375285</xdr:colOff>
      <xdr:row>99</xdr:row>
      <xdr:rowOff>63815</xdr:rowOff>
    </xdr:from>
    <xdr:to>
      <xdr:col>0</xdr:col>
      <xdr:colOff>2261235</xdr:colOff>
      <xdr:row>99</xdr:row>
      <xdr:rowOff>721040</xdr:rowOff>
    </xdr:to>
    <xdr:pic>
      <xdr:nvPicPr>
        <xdr:cNvPr id="199" name="Picture 198" descr="Insight Picture 198">
          <a:extLst>
            <a:ext uri="{FF2B5EF4-FFF2-40B4-BE49-F238E27FC236}">
              <a16:creationId xmlns:a16="http://schemas.microsoft.com/office/drawing/2014/main" id="{73505D16-B070-E617-8602-E55CCC546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375285" y="93286895"/>
          <a:ext cx="1885950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414576</xdr:colOff>
      <xdr:row>100</xdr:row>
      <xdr:rowOff>62151</xdr:rowOff>
    </xdr:from>
    <xdr:to>
      <xdr:col>0</xdr:col>
      <xdr:colOff>2221945</xdr:colOff>
      <xdr:row>100</xdr:row>
      <xdr:rowOff>897970</xdr:rowOff>
    </xdr:to>
    <xdr:pic>
      <xdr:nvPicPr>
        <xdr:cNvPr id="201" name="Picture 200" descr="Insight Picture 200">
          <a:extLst>
            <a:ext uri="{FF2B5EF4-FFF2-40B4-BE49-F238E27FC236}">
              <a16:creationId xmlns:a16="http://schemas.microsoft.com/office/drawing/2014/main" id="{F471E855-BACF-385C-EC66-7C4B141BB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414576" y="94070091"/>
          <a:ext cx="1807369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607457</xdr:colOff>
      <xdr:row>101</xdr:row>
      <xdr:rowOff>63578</xdr:rowOff>
    </xdr:from>
    <xdr:to>
      <xdr:col>0</xdr:col>
      <xdr:colOff>2029063</xdr:colOff>
      <xdr:row>101</xdr:row>
      <xdr:rowOff>599359</xdr:rowOff>
    </xdr:to>
    <xdr:pic>
      <xdr:nvPicPr>
        <xdr:cNvPr id="203" name="Picture 202" descr="Insight Picture 202">
          <a:extLst>
            <a:ext uri="{FF2B5EF4-FFF2-40B4-BE49-F238E27FC236}">
              <a16:creationId xmlns:a16="http://schemas.microsoft.com/office/drawing/2014/main" id="{1D3B7BE1-CA98-70E9-23E7-549782FC3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607457" y="95031638"/>
          <a:ext cx="1421606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589597</xdr:colOff>
      <xdr:row>102</xdr:row>
      <xdr:rowOff>63816</xdr:rowOff>
    </xdr:from>
    <xdr:to>
      <xdr:col>0</xdr:col>
      <xdr:colOff>2046922</xdr:colOff>
      <xdr:row>102</xdr:row>
      <xdr:rowOff>721041</xdr:rowOff>
    </xdr:to>
    <xdr:pic>
      <xdr:nvPicPr>
        <xdr:cNvPr id="205" name="Picture 204" descr="Insight Picture 204">
          <a:extLst>
            <a:ext uri="{FF2B5EF4-FFF2-40B4-BE49-F238E27FC236}">
              <a16:creationId xmlns:a16="http://schemas.microsoft.com/office/drawing/2014/main" id="{1B372F1A-7292-FC48-800A-67C472BD4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89597" y="95694816"/>
          <a:ext cx="1457325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475297</xdr:colOff>
      <xdr:row>103</xdr:row>
      <xdr:rowOff>61439</xdr:rowOff>
    </xdr:from>
    <xdr:to>
      <xdr:col>0</xdr:col>
      <xdr:colOff>2161222</xdr:colOff>
      <xdr:row>103</xdr:row>
      <xdr:rowOff>761527</xdr:rowOff>
    </xdr:to>
    <xdr:pic>
      <xdr:nvPicPr>
        <xdr:cNvPr id="207" name="Picture 206" descr="Insight Picture 206">
          <a:extLst>
            <a:ext uri="{FF2B5EF4-FFF2-40B4-BE49-F238E27FC236}">
              <a16:creationId xmlns:a16="http://schemas.microsoft.com/office/drawing/2014/main" id="{AA40BEEA-BA6B-9AF0-BA36-CBACD50E8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475297" y="96477299"/>
          <a:ext cx="1685925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432435</xdr:colOff>
      <xdr:row>104</xdr:row>
      <xdr:rowOff>60723</xdr:rowOff>
    </xdr:from>
    <xdr:to>
      <xdr:col>0</xdr:col>
      <xdr:colOff>2204085</xdr:colOff>
      <xdr:row>104</xdr:row>
      <xdr:rowOff>853679</xdr:rowOff>
    </xdr:to>
    <xdr:pic>
      <xdr:nvPicPr>
        <xdr:cNvPr id="209" name="Picture 208" descr="Insight Picture 208">
          <a:extLst>
            <a:ext uri="{FF2B5EF4-FFF2-40B4-BE49-F238E27FC236}">
              <a16:creationId xmlns:a16="http://schemas.microsoft.com/office/drawing/2014/main" id="{F44AB40E-1688-3736-A4A4-F2217FD5C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432435" y="97299543"/>
          <a:ext cx="1771650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193119</xdr:colOff>
      <xdr:row>105</xdr:row>
      <xdr:rowOff>61914</xdr:rowOff>
    </xdr:from>
    <xdr:to>
      <xdr:col>0</xdr:col>
      <xdr:colOff>2443400</xdr:colOff>
      <xdr:row>105</xdr:row>
      <xdr:rowOff>890589</xdr:rowOff>
    </xdr:to>
    <xdr:pic>
      <xdr:nvPicPr>
        <xdr:cNvPr id="211" name="Picture 210" descr="Insight Picture 210">
          <a:extLst>
            <a:ext uri="{FF2B5EF4-FFF2-40B4-BE49-F238E27FC236}">
              <a16:creationId xmlns:a16="http://schemas.microsoft.com/office/drawing/2014/main" id="{BD9BD7F8-B091-F4FD-D4CE-DF5B06CDD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93119" y="98215134"/>
          <a:ext cx="2250281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371713</xdr:colOff>
      <xdr:row>106</xdr:row>
      <xdr:rowOff>63818</xdr:rowOff>
    </xdr:from>
    <xdr:to>
      <xdr:col>0</xdr:col>
      <xdr:colOff>2264807</xdr:colOff>
      <xdr:row>106</xdr:row>
      <xdr:rowOff>721043</xdr:rowOff>
    </xdr:to>
    <xdr:pic>
      <xdr:nvPicPr>
        <xdr:cNvPr id="213" name="Picture 212" descr="Insight Picture 212">
          <a:extLst>
            <a:ext uri="{FF2B5EF4-FFF2-40B4-BE49-F238E27FC236}">
              <a16:creationId xmlns:a16="http://schemas.microsoft.com/office/drawing/2014/main" id="{968C9AEF-1068-906B-C765-08735E242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371713" y="99169538"/>
          <a:ext cx="1893094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371713</xdr:colOff>
      <xdr:row>107</xdr:row>
      <xdr:rowOff>63815</xdr:rowOff>
    </xdr:from>
    <xdr:to>
      <xdr:col>0</xdr:col>
      <xdr:colOff>2264807</xdr:colOff>
      <xdr:row>107</xdr:row>
      <xdr:rowOff>721040</xdr:rowOff>
    </xdr:to>
    <xdr:pic>
      <xdr:nvPicPr>
        <xdr:cNvPr id="215" name="Picture 214" descr="Insight Picture 214">
          <a:extLst>
            <a:ext uri="{FF2B5EF4-FFF2-40B4-BE49-F238E27FC236}">
              <a16:creationId xmlns:a16="http://schemas.microsoft.com/office/drawing/2014/main" id="{C0D9F3EE-CF54-C4E4-F674-C078A0C99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371713" y="99954395"/>
          <a:ext cx="1893094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521732</xdr:colOff>
      <xdr:row>108</xdr:row>
      <xdr:rowOff>61673</xdr:rowOff>
    </xdr:from>
    <xdr:to>
      <xdr:col>0</xdr:col>
      <xdr:colOff>2114788</xdr:colOff>
      <xdr:row>108</xdr:row>
      <xdr:rowOff>768904</xdr:rowOff>
    </xdr:to>
    <xdr:pic>
      <xdr:nvPicPr>
        <xdr:cNvPr id="217" name="Picture 216" descr="Insight Picture 216">
          <a:extLst>
            <a:ext uri="{FF2B5EF4-FFF2-40B4-BE49-F238E27FC236}">
              <a16:creationId xmlns:a16="http://schemas.microsoft.com/office/drawing/2014/main" id="{E7FE864B-9987-D7B3-60F6-1DC105467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21732" y="100737113"/>
          <a:ext cx="1593056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253841</xdr:colOff>
      <xdr:row>109</xdr:row>
      <xdr:rowOff>62627</xdr:rowOff>
    </xdr:from>
    <xdr:to>
      <xdr:col>0</xdr:col>
      <xdr:colOff>2382679</xdr:colOff>
      <xdr:row>109</xdr:row>
      <xdr:rowOff>912733</xdr:rowOff>
    </xdr:to>
    <xdr:pic>
      <xdr:nvPicPr>
        <xdr:cNvPr id="219" name="Picture 218" descr="Insight Picture 218">
          <a:extLst>
            <a:ext uri="{FF2B5EF4-FFF2-40B4-BE49-F238E27FC236}">
              <a16:creationId xmlns:a16="http://schemas.microsoft.com/office/drawing/2014/main" id="{52421A7B-CBF5-B0FA-9B40-05C7B3E89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53841" y="101568647"/>
          <a:ext cx="2128838" cy="850106"/>
        </a:xfrm>
        <a:prstGeom prst="rect">
          <a:avLst/>
        </a:prstGeom>
      </xdr:spPr>
    </xdr:pic>
    <xdr:clientData/>
  </xdr:twoCellAnchor>
  <xdr:twoCellAnchor editAs="oneCell">
    <xdr:from>
      <xdr:col>0</xdr:col>
      <xdr:colOff>536020</xdr:colOff>
      <xdr:row>110</xdr:row>
      <xdr:rowOff>60243</xdr:rowOff>
    </xdr:from>
    <xdr:to>
      <xdr:col>0</xdr:col>
      <xdr:colOff>2100501</xdr:colOff>
      <xdr:row>110</xdr:row>
      <xdr:rowOff>838912</xdr:rowOff>
    </xdr:to>
    <xdr:pic>
      <xdr:nvPicPr>
        <xdr:cNvPr id="221" name="Picture 220" descr="Insight Picture 220">
          <a:extLst>
            <a:ext uri="{FF2B5EF4-FFF2-40B4-BE49-F238E27FC236}">
              <a16:creationId xmlns:a16="http://schemas.microsoft.com/office/drawing/2014/main" id="{EB730BFC-F411-7961-B88D-9853D164A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36020" y="102541623"/>
          <a:ext cx="1564481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589597</xdr:colOff>
      <xdr:row>111</xdr:row>
      <xdr:rowOff>63577</xdr:rowOff>
    </xdr:from>
    <xdr:to>
      <xdr:col>0</xdr:col>
      <xdr:colOff>2046922</xdr:colOff>
      <xdr:row>111</xdr:row>
      <xdr:rowOff>599358</xdr:rowOff>
    </xdr:to>
    <xdr:pic>
      <xdr:nvPicPr>
        <xdr:cNvPr id="223" name="Picture 222" descr="Insight Picture 222">
          <a:extLst>
            <a:ext uri="{FF2B5EF4-FFF2-40B4-BE49-F238E27FC236}">
              <a16:creationId xmlns:a16="http://schemas.microsoft.com/office/drawing/2014/main" id="{4946B493-2119-E3C0-5508-07FB8FA4D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589597" y="103444117"/>
          <a:ext cx="1457325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371713</xdr:colOff>
      <xdr:row>112</xdr:row>
      <xdr:rowOff>62389</xdr:rowOff>
    </xdr:from>
    <xdr:to>
      <xdr:col>0</xdr:col>
      <xdr:colOff>2264807</xdr:colOff>
      <xdr:row>112</xdr:row>
      <xdr:rowOff>676752</xdr:rowOff>
    </xdr:to>
    <xdr:pic>
      <xdr:nvPicPr>
        <xdr:cNvPr id="225" name="Picture 224" descr="Insight Picture 224">
          <a:extLst>
            <a:ext uri="{FF2B5EF4-FFF2-40B4-BE49-F238E27FC236}">
              <a16:creationId xmlns:a16="http://schemas.microsoft.com/office/drawing/2014/main" id="{0AAEF387-726C-4809-7AC1-21C720EB2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371713" y="104105869"/>
          <a:ext cx="1893094" cy="614363"/>
        </a:xfrm>
        <a:prstGeom prst="rect">
          <a:avLst/>
        </a:prstGeom>
      </xdr:spPr>
    </xdr:pic>
    <xdr:clientData/>
  </xdr:twoCellAnchor>
  <xdr:twoCellAnchor editAs="oneCell">
    <xdr:from>
      <xdr:col>0</xdr:col>
      <xdr:colOff>121682</xdr:colOff>
      <xdr:row>113</xdr:row>
      <xdr:rowOff>62863</xdr:rowOff>
    </xdr:from>
    <xdr:to>
      <xdr:col>0</xdr:col>
      <xdr:colOff>2514838</xdr:colOff>
      <xdr:row>113</xdr:row>
      <xdr:rowOff>920113</xdr:rowOff>
    </xdr:to>
    <xdr:pic>
      <xdr:nvPicPr>
        <xdr:cNvPr id="227" name="Picture 226" descr="Insight Picture 226">
          <a:extLst>
            <a:ext uri="{FF2B5EF4-FFF2-40B4-BE49-F238E27FC236}">
              <a16:creationId xmlns:a16="http://schemas.microsoft.com/office/drawing/2014/main" id="{6D3B5D54-FB7F-FCE1-2CE5-EDDB1A3F5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21682" y="104845483"/>
          <a:ext cx="2393156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521732</xdr:colOff>
      <xdr:row>114</xdr:row>
      <xdr:rowOff>63574</xdr:rowOff>
    </xdr:from>
    <xdr:to>
      <xdr:col>0</xdr:col>
      <xdr:colOff>2114788</xdr:colOff>
      <xdr:row>114</xdr:row>
      <xdr:rowOff>599355</xdr:rowOff>
    </xdr:to>
    <xdr:pic>
      <xdr:nvPicPr>
        <xdr:cNvPr id="229" name="Picture 228" descr="Insight Picture 228">
          <a:extLst>
            <a:ext uri="{FF2B5EF4-FFF2-40B4-BE49-F238E27FC236}">
              <a16:creationId xmlns:a16="http://schemas.microsoft.com/office/drawing/2014/main" id="{FBF678EE-F9EC-B47F-19E5-DA49FFD1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21732" y="105829174"/>
          <a:ext cx="1593056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521732</xdr:colOff>
      <xdr:row>115</xdr:row>
      <xdr:rowOff>63577</xdr:rowOff>
    </xdr:from>
    <xdr:to>
      <xdr:col>0</xdr:col>
      <xdr:colOff>2114788</xdr:colOff>
      <xdr:row>115</xdr:row>
      <xdr:rowOff>599358</xdr:rowOff>
    </xdr:to>
    <xdr:pic>
      <xdr:nvPicPr>
        <xdr:cNvPr id="231" name="Picture 230" descr="Insight Picture 230">
          <a:extLst>
            <a:ext uri="{FF2B5EF4-FFF2-40B4-BE49-F238E27FC236}">
              <a16:creationId xmlns:a16="http://schemas.microsoft.com/office/drawing/2014/main" id="{2D05E9F7-D866-58C6-63BB-67BBE389A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521732" y="106492117"/>
          <a:ext cx="1593056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446722</xdr:colOff>
      <xdr:row>116</xdr:row>
      <xdr:rowOff>63579</xdr:rowOff>
    </xdr:from>
    <xdr:to>
      <xdr:col>0</xdr:col>
      <xdr:colOff>2189797</xdr:colOff>
      <xdr:row>116</xdr:row>
      <xdr:rowOff>599360</xdr:rowOff>
    </xdr:to>
    <xdr:pic>
      <xdr:nvPicPr>
        <xdr:cNvPr id="233" name="Picture 232" descr="Insight Picture 232">
          <a:extLst>
            <a:ext uri="{FF2B5EF4-FFF2-40B4-BE49-F238E27FC236}">
              <a16:creationId xmlns:a16="http://schemas.microsoft.com/office/drawing/2014/main" id="{80D8545B-5209-7136-903C-95113D734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446722" y="107155059"/>
          <a:ext cx="1743075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432435</xdr:colOff>
      <xdr:row>117</xdr:row>
      <xdr:rowOff>63582</xdr:rowOff>
    </xdr:from>
    <xdr:to>
      <xdr:col>0</xdr:col>
      <xdr:colOff>2204085</xdr:colOff>
      <xdr:row>117</xdr:row>
      <xdr:rowOff>599363</xdr:rowOff>
    </xdr:to>
    <xdr:pic>
      <xdr:nvPicPr>
        <xdr:cNvPr id="235" name="Picture 234" descr="Insight Picture 234">
          <a:extLst>
            <a:ext uri="{FF2B5EF4-FFF2-40B4-BE49-F238E27FC236}">
              <a16:creationId xmlns:a16="http://schemas.microsoft.com/office/drawing/2014/main" id="{EB3A1365-51C7-CB4E-0276-5308450D7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432435" y="107818002"/>
          <a:ext cx="1771650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346710</xdr:colOff>
      <xdr:row>118</xdr:row>
      <xdr:rowOff>61203</xdr:rowOff>
    </xdr:from>
    <xdr:to>
      <xdr:col>0</xdr:col>
      <xdr:colOff>2289810</xdr:colOff>
      <xdr:row>118</xdr:row>
      <xdr:rowOff>639847</xdr:rowOff>
    </xdr:to>
    <xdr:pic>
      <xdr:nvPicPr>
        <xdr:cNvPr id="237" name="Picture 236" descr="Insight Picture 236">
          <a:extLst>
            <a:ext uri="{FF2B5EF4-FFF2-40B4-BE49-F238E27FC236}">
              <a16:creationId xmlns:a16="http://schemas.microsoft.com/office/drawing/2014/main" id="{40CBEECE-6912-8FAB-A7CF-5AF236223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346710" y="108478563"/>
          <a:ext cx="1943100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432435</xdr:colOff>
      <xdr:row>119</xdr:row>
      <xdr:rowOff>60251</xdr:rowOff>
    </xdr:from>
    <xdr:to>
      <xdr:col>0</xdr:col>
      <xdr:colOff>2204085</xdr:colOff>
      <xdr:row>119</xdr:row>
      <xdr:rowOff>838920</xdr:rowOff>
    </xdr:to>
    <xdr:pic>
      <xdr:nvPicPr>
        <xdr:cNvPr id="239" name="Picture 238" descr="Insight Picture 238">
          <a:extLst>
            <a:ext uri="{FF2B5EF4-FFF2-40B4-BE49-F238E27FC236}">
              <a16:creationId xmlns:a16="http://schemas.microsoft.com/office/drawing/2014/main" id="{6C10E45C-1DDC-9E60-F91D-A633E0659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432435" y="109178651"/>
          <a:ext cx="1771650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346710</xdr:colOff>
      <xdr:row>120</xdr:row>
      <xdr:rowOff>61203</xdr:rowOff>
    </xdr:from>
    <xdr:to>
      <xdr:col>0</xdr:col>
      <xdr:colOff>2289810</xdr:colOff>
      <xdr:row>120</xdr:row>
      <xdr:rowOff>639847</xdr:rowOff>
    </xdr:to>
    <xdr:pic>
      <xdr:nvPicPr>
        <xdr:cNvPr id="241" name="Picture 240" descr="Insight Picture 240">
          <a:extLst>
            <a:ext uri="{FF2B5EF4-FFF2-40B4-BE49-F238E27FC236}">
              <a16:creationId xmlns:a16="http://schemas.microsoft.com/office/drawing/2014/main" id="{CB7F5D68-5CC3-0E44-6001-57D80755C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346710" y="110078763"/>
          <a:ext cx="1943100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168116</xdr:colOff>
      <xdr:row>121</xdr:row>
      <xdr:rowOff>60251</xdr:rowOff>
    </xdr:from>
    <xdr:to>
      <xdr:col>0</xdr:col>
      <xdr:colOff>2468404</xdr:colOff>
      <xdr:row>121</xdr:row>
      <xdr:rowOff>838920</xdr:rowOff>
    </xdr:to>
    <xdr:pic>
      <xdr:nvPicPr>
        <xdr:cNvPr id="243" name="Picture 242" descr="Insight Picture 242">
          <a:extLst>
            <a:ext uri="{FF2B5EF4-FFF2-40B4-BE49-F238E27FC236}">
              <a16:creationId xmlns:a16="http://schemas.microsoft.com/office/drawing/2014/main" id="{EE290421-B1C3-7146-3636-AAB9BF28D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68116" y="110778851"/>
          <a:ext cx="2300288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64532</xdr:colOff>
      <xdr:row>122</xdr:row>
      <xdr:rowOff>62865</xdr:rowOff>
    </xdr:from>
    <xdr:to>
      <xdr:col>0</xdr:col>
      <xdr:colOff>2571988</xdr:colOff>
      <xdr:row>122</xdr:row>
      <xdr:rowOff>920115</xdr:rowOff>
    </xdr:to>
    <xdr:pic>
      <xdr:nvPicPr>
        <xdr:cNvPr id="245" name="Picture 244" descr="Insight Picture 244">
          <a:extLst>
            <a:ext uri="{FF2B5EF4-FFF2-40B4-BE49-F238E27FC236}">
              <a16:creationId xmlns:a16="http://schemas.microsoft.com/office/drawing/2014/main" id="{1939668E-DF0B-5EAF-F523-8F021CB60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64532" y="111680625"/>
          <a:ext cx="2507456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278844</xdr:colOff>
      <xdr:row>123</xdr:row>
      <xdr:rowOff>60241</xdr:rowOff>
    </xdr:from>
    <xdr:to>
      <xdr:col>0</xdr:col>
      <xdr:colOff>2357675</xdr:colOff>
      <xdr:row>123</xdr:row>
      <xdr:rowOff>838910</xdr:rowOff>
    </xdr:to>
    <xdr:pic>
      <xdr:nvPicPr>
        <xdr:cNvPr id="247" name="Picture 246" descr="Insight Picture 246">
          <a:extLst>
            <a:ext uri="{FF2B5EF4-FFF2-40B4-BE49-F238E27FC236}">
              <a16:creationId xmlns:a16="http://schemas.microsoft.com/office/drawing/2014/main" id="{F285A4A5-F3C1-DF00-85A5-487E6C47F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78844" y="112660981"/>
          <a:ext cx="2078831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375285</xdr:colOff>
      <xdr:row>124</xdr:row>
      <xdr:rowOff>63822</xdr:rowOff>
    </xdr:from>
    <xdr:to>
      <xdr:col>0</xdr:col>
      <xdr:colOff>2261235</xdr:colOff>
      <xdr:row>124</xdr:row>
      <xdr:rowOff>721047</xdr:rowOff>
    </xdr:to>
    <xdr:pic>
      <xdr:nvPicPr>
        <xdr:cNvPr id="249" name="Picture 248" descr="Insight Picture 248">
          <a:extLst>
            <a:ext uri="{FF2B5EF4-FFF2-40B4-BE49-F238E27FC236}">
              <a16:creationId xmlns:a16="http://schemas.microsoft.com/office/drawing/2014/main" id="{E77533B6-69B5-18C6-9D84-F3FE10C26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375285" y="113563722"/>
          <a:ext cx="1885950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364569</xdr:colOff>
      <xdr:row>125</xdr:row>
      <xdr:rowOff>63584</xdr:rowOff>
    </xdr:from>
    <xdr:to>
      <xdr:col>0</xdr:col>
      <xdr:colOff>2271950</xdr:colOff>
      <xdr:row>125</xdr:row>
      <xdr:rowOff>942265</xdr:rowOff>
    </xdr:to>
    <xdr:pic>
      <xdr:nvPicPr>
        <xdr:cNvPr id="251" name="Picture 250" descr="Insight Picture 250">
          <a:extLst>
            <a:ext uri="{FF2B5EF4-FFF2-40B4-BE49-F238E27FC236}">
              <a16:creationId xmlns:a16="http://schemas.microsoft.com/office/drawing/2014/main" id="{4B146ECB-0C94-02E8-5F5B-3B0CEDC3C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364569" y="114348344"/>
          <a:ext cx="1907381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364569</xdr:colOff>
      <xdr:row>126</xdr:row>
      <xdr:rowOff>62148</xdr:rowOff>
    </xdr:from>
    <xdr:to>
      <xdr:col>0</xdr:col>
      <xdr:colOff>2271950</xdr:colOff>
      <xdr:row>126</xdr:row>
      <xdr:rowOff>1012267</xdr:rowOff>
    </xdr:to>
    <xdr:pic>
      <xdr:nvPicPr>
        <xdr:cNvPr id="253" name="Picture 252" descr="Insight Picture 252">
          <a:extLst>
            <a:ext uri="{FF2B5EF4-FFF2-40B4-BE49-F238E27FC236}">
              <a16:creationId xmlns:a16="http://schemas.microsoft.com/office/drawing/2014/main" id="{0FF8446F-800F-9A1D-B33C-0D4758EAB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364569" y="115352748"/>
          <a:ext cx="1907381" cy="950119"/>
        </a:xfrm>
        <a:prstGeom prst="rect">
          <a:avLst/>
        </a:prstGeom>
      </xdr:spPr>
    </xdr:pic>
    <xdr:clientData/>
  </xdr:twoCellAnchor>
  <xdr:twoCellAnchor editAs="oneCell">
    <xdr:from>
      <xdr:col>0</xdr:col>
      <xdr:colOff>571738</xdr:colOff>
      <xdr:row>127</xdr:row>
      <xdr:rowOff>60481</xdr:rowOff>
    </xdr:from>
    <xdr:to>
      <xdr:col>0</xdr:col>
      <xdr:colOff>2064782</xdr:colOff>
      <xdr:row>127</xdr:row>
      <xdr:rowOff>960594</xdr:rowOff>
    </xdr:to>
    <xdr:pic>
      <xdr:nvPicPr>
        <xdr:cNvPr id="255" name="Picture 254" descr="Insight Picture 254">
          <a:extLst>
            <a:ext uri="{FF2B5EF4-FFF2-40B4-BE49-F238E27FC236}">
              <a16:creationId xmlns:a16="http://schemas.microsoft.com/office/drawing/2014/main" id="{E461E257-DA18-2203-8D3E-C54FFE814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71738" y="116425501"/>
          <a:ext cx="1493044" cy="900113"/>
        </a:xfrm>
        <a:prstGeom prst="rect">
          <a:avLst/>
        </a:prstGeom>
      </xdr:spPr>
    </xdr:pic>
    <xdr:clientData/>
  </xdr:twoCellAnchor>
  <xdr:twoCellAnchor editAs="oneCell">
    <xdr:from>
      <xdr:col>0</xdr:col>
      <xdr:colOff>571738</xdr:colOff>
      <xdr:row>128</xdr:row>
      <xdr:rowOff>60486</xdr:rowOff>
    </xdr:from>
    <xdr:to>
      <xdr:col>0</xdr:col>
      <xdr:colOff>2064782</xdr:colOff>
      <xdr:row>128</xdr:row>
      <xdr:rowOff>960599</xdr:rowOff>
    </xdr:to>
    <xdr:pic>
      <xdr:nvPicPr>
        <xdr:cNvPr id="257" name="Picture 256" descr="Insight Picture 256">
          <a:extLst>
            <a:ext uri="{FF2B5EF4-FFF2-40B4-BE49-F238E27FC236}">
              <a16:creationId xmlns:a16="http://schemas.microsoft.com/office/drawing/2014/main" id="{80AD04A8-61D5-8839-8BC1-5B860C312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71738" y="117446586"/>
          <a:ext cx="1493044" cy="900113"/>
        </a:xfrm>
        <a:prstGeom prst="rect">
          <a:avLst/>
        </a:prstGeom>
      </xdr:spPr>
    </xdr:pic>
    <xdr:clientData/>
  </xdr:twoCellAnchor>
  <xdr:twoCellAnchor editAs="oneCell">
    <xdr:from>
      <xdr:col>0</xdr:col>
      <xdr:colOff>346710</xdr:colOff>
      <xdr:row>129</xdr:row>
      <xdr:rowOff>63108</xdr:rowOff>
    </xdr:from>
    <xdr:to>
      <xdr:col>0</xdr:col>
      <xdr:colOff>2289810</xdr:colOff>
      <xdr:row>129</xdr:row>
      <xdr:rowOff>813202</xdr:rowOff>
    </xdr:to>
    <xdr:pic>
      <xdr:nvPicPr>
        <xdr:cNvPr id="259" name="Picture 258" descr="Insight Picture 258">
          <a:extLst>
            <a:ext uri="{FF2B5EF4-FFF2-40B4-BE49-F238E27FC236}">
              <a16:creationId xmlns:a16="http://schemas.microsoft.com/office/drawing/2014/main" id="{697EBC38-0CF7-332E-FE1F-33B8BA6A6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346710" y="118470288"/>
          <a:ext cx="1943100" cy="750094"/>
        </a:xfrm>
        <a:prstGeom prst="rect">
          <a:avLst/>
        </a:prstGeom>
      </xdr:spPr>
    </xdr:pic>
    <xdr:clientData/>
  </xdr:twoCellAnchor>
  <xdr:twoCellAnchor editAs="oneCell">
    <xdr:from>
      <xdr:col>0</xdr:col>
      <xdr:colOff>521732</xdr:colOff>
      <xdr:row>130</xdr:row>
      <xdr:rowOff>62624</xdr:rowOff>
    </xdr:from>
    <xdr:to>
      <xdr:col>0</xdr:col>
      <xdr:colOff>2114788</xdr:colOff>
      <xdr:row>130</xdr:row>
      <xdr:rowOff>912730</xdr:rowOff>
    </xdr:to>
    <xdr:pic>
      <xdr:nvPicPr>
        <xdr:cNvPr id="261" name="Picture 260" descr="Insight Picture 260">
          <a:extLst>
            <a:ext uri="{FF2B5EF4-FFF2-40B4-BE49-F238E27FC236}">
              <a16:creationId xmlns:a16="http://schemas.microsoft.com/office/drawing/2014/main" id="{9438EB7D-7A6C-3934-1FA8-15F6C0EF1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21732" y="119346104"/>
          <a:ext cx="1593056" cy="850106"/>
        </a:xfrm>
        <a:prstGeom prst="rect">
          <a:avLst/>
        </a:prstGeom>
      </xdr:spPr>
    </xdr:pic>
    <xdr:clientData/>
  </xdr:twoCellAnchor>
  <xdr:twoCellAnchor editAs="oneCell">
    <xdr:from>
      <xdr:col>0</xdr:col>
      <xdr:colOff>278844</xdr:colOff>
      <xdr:row>131</xdr:row>
      <xdr:rowOff>60241</xdr:rowOff>
    </xdr:from>
    <xdr:to>
      <xdr:col>0</xdr:col>
      <xdr:colOff>2357675</xdr:colOff>
      <xdr:row>131</xdr:row>
      <xdr:rowOff>838910</xdr:rowOff>
    </xdr:to>
    <xdr:pic>
      <xdr:nvPicPr>
        <xdr:cNvPr id="263" name="Picture 262" descr="Insight Picture 262">
          <a:extLst>
            <a:ext uri="{FF2B5EF4-FFF2-40B4-BE49-F238E27FC236}">
              <a16:creationId xmlns:a16="http://schemas.microsoft.com/office/drawing/2014/main" id="{3DF828F8-29FF-1C85-03FE-3E369DC5E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278844" y="120319081"/>
          <a:ext cx="2078831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328851</xdr:colOff>
      <xdr:row>132</xdr:row>
      <xdr:rowOff>63574</xdr:rowOff>
    </xdr:from>
    <xdr:to>
      <xdr:col>0</xdr:col>
      <xdr:colOff>2307670</xdr:colOff>
      <xdr:row>132</xdr:row>
      <xdr:rowOff>599355</xdr:rowOff>
    </xdr:to>
    <xdr:pic>
      <xdr:nvPicPr>
        <xdr:cNvPr id="265" name="Picture 264" descr="Insight Picture 264">
          <a:extLst>
            <a:ext uri="{FF2B5EF4-FFF2-40B4-BE49-F238E27FC236}">
              <a16:creationId xmlns:a16="http://schemas.microsoft.com/office/drawing/2014/main" id="{2D2AE367-D69A-F177-FCC1-52815424D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328851" y="121221574"/>
          <a:ext cx="1978819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503872</xdr:colOff>
      <xdr:row>133</xdr:row>
      <xdr:rowOff>63577</xdr:rowOff>
    </xdr:from>
    <xdr:to>
      <xdr:col>0</xdr:col>
      <xdr:colOff>2132647</xdr:colOff>
      <xdr:row>133</xdr:row>
      <xdr:rowOff>599358</xdr:rowOff>
    </xdr:to>
    <xdr:pic>
      <xdr:nvPicPr>
        <xdr:cNvPr id="267" name="Picture 266" descr="Insight Picture 266">
          <a:extLst>
            <a:ext uri="{FF2B5EF4-FFF2-40B4-BE49-F238E27FC236}">
              <a16:creationId xmlns:a16="http://schemas.microsoft.com/office/drawing/2014/main" id="{D6ED44E7-AC50-B79F-34DE-7E33C1B49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03872" y="121884517"/>
          <a:ext cx="1628775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407432</xdr:colOff>
      <xdr:row>134</xdr:row>
      <xdr:rowOff>60243</xdr:rowOff>
    </xdr:from>
    <xdr:to>
      <xdr:col>0</xdr:col>
      <xdr:colOff>2229088</xdr:colOff>
      <xdr:row>134</xdr:row>
      <xdr:rowOff>838912</xdr:rowOff>
    </xdr:to>
    <xdr:pic>
      <xdr:nvPicPr>
        <xdr:cNvPr id="269" name="Picture 268" descr="Insight Picture 268">
          <a:extLst>
            <a:ext uri="{FF2B5EF4-FFF2-40B4-BE49-F238E27FC236}">
              <a16:creationId xmlns:a16="http://schemas.microsoft.com/office/drawing/2014/main" id="{CCA36365-E780-BB52-ABA7-2C4A006EA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407432" y="122544123"/>
          <a:ext cx="1821656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318135</xdr:colOff>
      <xdr:row>135</xdr:row>
      <xdr:rowOff>60241</xdr:rowOff>
    </xdr:from>
    <xdr:to>
      <xdr:col>0</xdr:col>
      <xdr:colOff>2318385</xdr:colOff>
      <xdr:row>135</xdr:row>
      <xdr:rowOff>838910</xdr:rowOff>
    </xdr:to>
    <xdr:pic>
      <xdr:nvPicPr>
        <xdr:cNvPr id="271" name="Picture 270" descr="Insight Picture 270">
          <a:extLst>
            <a:ext uri="{FF2B5EF4-FFF2-40B4-BE49-F238E27FC236}">
              <a16:creationId xmlns:a16="http://schemas.microsoft.com/office/drawing/2014/main" id="{428F6C57-C27C-D467-C8DA-4E72738CD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318135" y="123443281"/>
          <a:ext cx="2000250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432435</xdr:colOff>
      <xdr:row>136</xdr:row>
      <xdr:rowOff>60251</xdr:rowOff>
    </xdr:from>
    <xdr:to>
      <xdr:col>0</xdr:col>
      <xdr:colOff>2204085</xdr:colOff>
      <xdr:row>136</xdr:row>
      <xdr:rowOff>838920</xdr:rowOff>
    </xdr:to>
    <xdr:pic>
      <xdr:nvPicPr>
        <xdr:cNvPr id="273" name="Picture 272" descr="Insight Picture 272">
          <a:extLst>
            <a:ext uri="{FF2B5EF4-FFF2-40B4-BE49-F238E27FC236}">
              <a16:creationId xmlns:a16="http://schemas.microsoft.com/office/drawing/2014/main" id="{75AE5346-872F-8267-C113-B77AA1533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432435" y="124342451"/>
          <a:ext cx="1771650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432435</xdr:colOff>
      <xdr:row>137</xdr:row>
      <xdr:rowOff>62629</xdr:rowOff>
    </xdr:from>
    <xdr:to>
      <xdr:col>0</xdr:col>
      <xdr:colOff>2204085</xdr:colOff>
      <xdr:row>137</xdr:row>
      <xdr:rowOff>798435</xdr:rowOff>
    </xdr:to>
    <xdr:pic>
      <xdr:nvPicPr>
        <xdr:cNvPr id="275" name="Picture 274" descr="Insight Picture 274">
          <a:extLst>
            <a:ext uri="{FF2B5EF4-FFF2-40B4-BE49-F238E27FC236}">
              <a16:creationId xmlns:a16="http://schemas.microsoft.com/office/drawing/2014/main" id="{E396500E-EE22-F110-D256-0D8BEB857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432435" y="125243989"/>
          <a:ext cx="1771650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607457</xdr:colOff>
      <xdr:row>138</xdr:row>
      <xdr:rowOff>63582</xdr:rowOff>
    </xdr:from>
    <xdr:to>
      <xdr:col>0</xdr:col>
      <xdr:colOff>2029063</xdr:colOff>
      <xdr:row>138</xdr:row>
      <xdr:rowOff>599363</xdr:rowOff>
    </xdr:to>
    <xdr:pic>
      <xdr:nvPicPr>
        <xdr:cNvPr id="277" name="Picture 276" descr="Insight Picture 276">
          <a:extLst>
            <a:ext uri="{FF2B5EF4-FFF2-40B4-BE49-F238E27FC236}">
              <a16:creationId xmlns:a16="http://schemas.microsoft.com/office/drawing/2014/main" id="{46D75F41-EA2A-0E70-1A74-588BEA2F5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607457" y="126106002"/>
          <a:ext cx="1421606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432435</xdr:colOff>
      <xdr:row>139</xdr:row>
      <xdr:rowOff>62629</xdr:rowOff>
    </xdr:from>
    <xdr:to>
      <xdr:col>0</xdr:col>
      <xdr:colOff>2204085</xdr:colOff>
      <xdr:row>139</xdr:row>
      <xdr:rowOff>798435</xdr:rowOff>
    </xdr:to>
    <xdr:pic>
      <xdr:nvPicPr>
        <xdr:cNvPr id="279" name="Picture 278" descr="Insight Picture 278">
          <a:extLst>
            <a:ext uri="{FF2B5EF4-FFF2-40B4-BE49-F238E27FC236}">
              <a16:creationId xmlns:a16="http://schemas.microsoft.com/office/drawing/2014/main" id="{D3772D2B-6FB0-2BB9-CC8A-BF50DCBAE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432435" y="126767989"/>
          <a:ext cx="1771650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278844</xdr:colOff>
      <xdr:row>140</xdr:row>
      <xdr:rowOff>63098</xdr:rowOff>
    </xdr:from>
    <xdr:to>
      <xdr:col>0</xdr:col>
      <xdr:colOff>2357675</xdr:colOff>
      <xdr:row>140</xdr:row>
      <xdr:rowOff>1041792</xdr:rowOff>
    </xdr:to>
    <xdr:pic>
      <xdr:nvPicPr>
        <xdr:cNvPr id="281" name="Picture 280" descr="Insight Picture 280">
          <a:extLst>
            <a:ext uri="{FF2B5EF4-FFF2-40B4-BE49-F238E27FC236}">
              <a16:creationId xmlns:a16="http://schemas.microsoft.com/office/drawing/2014/main" id="{FA7797B4-5278-F447-EA72-1B3B71CEF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78844" y="127629518"/>
          <a:ext cx="2078831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543163</xdr:colOff>
      <xdr:row>141</xdr:row>
      <xdr:rowOff>60965</xdr:rowOff>
    </xdr:from>
    <xdr:to>
      <xdr:col>0</xdr:col>
      <xdr:colOff>2093357</xdr:colOff>
      <xdr:row>141</xdr:row>
      <xdr:rowOff>746765</xdr:rowOff>
    </xdr:to>
    <xdr:pic>
      <xdr:nvPicPr>
        <xdr:cNvPr id="283" name="Picture 282" descr="Insight Picture 282">
          <a:extLst>
            <a:ext uri="{FF2B5EF4-FFF2-40B4-BE49-F238E27FC236}">
              <a16:creationId xmlns:a16="http://schemas.microsoft.com/office/drawing/2014/main" id="{AA771B4A-43CE-1BC4-F23B-34A169B97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543163" y="128732285"/>
          <a:ext cx="1550194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364569</xdr:colOff>
      <xdr:row>142</xdr:row>
      <xdr:rowOff>60241</xdr:rowOff>
    </xdr:from>
    <xdr:to>
      <xdr:col>0</xdr:col>
      <xdr:colOff>2271950</xdr:colOff>
      <xdr:row>142</xdr:row>
      <xdr:rowOff>838910</xdr:rowOff>
    </xdr:to>
    <xdr:pic>
      <xdr:nvPicPr>
        <xdr:cNvPr id="285" name="Picture 284" descr="Insight Picture 284">
          <a:extLst>
            <a:ext uri="{FF2B5EF4-FFF2-40B4-BE49-F238E27FC236}">
              <a16:creationId xmlns:a16="http://schemas.microsoft.com/office/drawing/2014/main" id="{7F85D23E-9EE4-F607-6BF7-BDE2BB5D0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364569" y="129539281"/>
          <a:ext cx="1907381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521732</xdr:colOff>
      <xdr:row>143</xdr:row>
      <xdr:rowOff>63574</xdr:rowOff>
    </xdr:from>
    <xdr:to>
      <xdr:col>0</xdr:col>
      <xdr:colOff>2114788</xdr:colOff>
      <xdr:row>143</xdr:row>
      <xdr:rowOff>599355</xdr:rowOff>
    </xdr:to>
    <xdr:pic>
      <xdr:nvPicPr>
        <xdr:cNvPr id="287" name="Picture 286" descr="Insight Picture 286">
          <a:extLst>
            <a:ext uri="{FF2B5EF4-FFF2-40B4-BE49-F238E27FC236}">
              <a16:creationId xmlns:a16="http://schemas.microsoft.com/office/drawing/2014/main" id="{850951F8-F910-94CF-EC44-4A737EB99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521732" y="130441774"/>
          <a:ext cx="1593056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675322</xdr:colOff>
      <xdr:row>144</xdr:row>
      <xdr:rowOff>62386</xdr:rowOff>
    </xdr:from>
    <xdr:to>
      <xdr:col>0</xdr:col>
      <xdr:colOff>1961197</xdr:colOff>
      <xdr:row>144</xdr:row>
      <xdr:rowOff>676749</xdr:rowOff>
    </xdr:to>
    <xdr:pic>
      <xdr:nvPicPr>
        <xdr:cNvPr id="289" name="Picture 288" descr="Insight Picture 288">
          <a:extLst>
            <a:ext uri="{FF2B5EF4-FFF2-40B4-BE49-F238E27FC236}">
              <a16:creationId xmlns:a16="http://schemas.microsoft.com/office/drawing/2014/main" id="{AD596F66-C6F8-4A14-4E7F-FF46EB77D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675322" y="131103526"/>
          <a:ext cx="1285875" cy="614363"/>
        </a:xfrm>
        <a:prstGeom prst="rect">
          <a:avLst/>
        </a:prstGeom>
      </xdr:spPr>
    </xdr:pic>
    <xdr:clientData/>
  </xdr:twoCellAnchor>
  <xdr:twoCellAnchor editAs="oneCell">
    <xdr:from>
      <xdr:col>0</xdr:col>
      <xdr:colOff>625316</xdr:colOff>
      <xdr:row>145</xdr:row>
      <xdr:rowOff>63815</xdr:rowOff>
    </xdr:from>
    <xdr:to>
      <xdr:col>0</xdr:col>
      <xdr:colOff>2011204</xdr:colOff>
      <xdr:row>145</xdr:row>
      <xdr:rowOff>721040</xdr:rowOff>
    </xdr:to>
    <xdr:pic>
      <xdr:nvPicPr>
        <xdr:cNvPr id="291" name="Picture 290" descr="Insight Picture 290">
          <a:extLst>
            <a:ext uri="{FF2B5EF4-FFF2-40B4-BE49-F238E27FC236}">
              <a16:creationId xmlns:a16="http://schemas.microsoft.com/office/drawing/2014/main" id="{ADE5A0A2-D569-F714-ED99-C1242883B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625316" y="131844095"/>
          <a:ext cx="1385888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625316</xdr:colOff>
      <xdr:row>146</xdr:row>
      <xdr:rowOff>63813</xdr:rowOff>
    </xdr:from>
    <xdr:to>
      <xdr:col>0</xdr:col>
      <xdr:colOff>2011204</xdr:colOff>
      <xdr:row>146</xdr:row>
      <xdr:rowOff>721038</xdr:rowOff>
    </xdr:to>
    <xdr:pic>
      <xdr:nvPicPr>
        <xdr:cNvPr id="293" name="Picture 292" descr="Insight Picture 292">
          <a:extLst>
            <a:ext uri="{FF2B5EF4-FFF2-40B4-BE49-F238E27FC236}">
              <a16:creationId xmlns:a16="http://schemas.microsoft.com/office/drawing/2014/main" id="{687A24B0-AB73-FF87-3790-7B1B20028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625316" y="132628953"/>
          <a:ext cx="1385888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421719</xdr:colOff>
      <xdr:row>147</xdr:row>
      <xdr:rowOff>60486</xdr:rowOff>
    </xdr:from>
    <xdr:to>
      <xdr:col>0</xdr:col>
      <xdr:colOff>2214800</xdr:colOff>
      <xdr:row>147</xdr:row>
      <xdr:rowOff>960599</xdr:rowOff>
    </xdr:to>
    <xdr:pic>
      <xdr:nvPicPr>
        <xdr:cNvPr id="295" name="Picture 294" descr="Insight Picture 294">
          <a:extLst>
            <a:ext uri="{FF2B5EF4-FFF2-40B4-BE49-F238E27FC236}">
              <a16:creationId xmlns:a16="http://schemas.microsoft.com/office/drawing/2014/main" id="{F551F601-1F93-4116-E8E0-F8CF64A2E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421719" y="133410486"/>
          <a:ext cx="1793081" cy="900113"/>
        </a:xfrm>
        <a:prstGeom prst="rect">
          <a:avLst/>
        </a:prstGeom>
      </xdr:spPr>
    </xdr:pic>
    <xdr:clientData/>
  </xdr:twoCellAnchor>
  <xdr:twoCellAnchor editAs="oneCell">
    <xdr:from>
      <xdr:col>0</xdr:col>
      <xdr:colOff>193119</xdr:colOff>
      <xdr:row>148</xdr:row>
      <xdr:rowOff>62389</xdr:rowOff>
    </xdr:from>
    <xdr:to>
      <xdr:col>0</xdr:col>
      <xdr:colOff>2443400</xdr:colOff>
      <xdr:row>148</xdr:row>
      <xdr:rowOff>1019652</xdr:rowOff>
    </xdr:to>
    <xdr:pic>
      <xdr:nvPicPr>
        <xdr:cNvPr id="297" name="Picture 296" descr="Insight Picture 296">
          <a:extLst>
            <a:ext uri="{FF2B5EF4-FFF2-40B4-BE49-F238E27FC236}">
              <a16:creationId xmlns:a16="http://schemas.microsoft.com/office/drawing/2014/main" id="{7A0D5E90-6C4A-AE5F-2DBB-47BDFEA56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93119" y="134433469"/>
          <a:ext cx="2250281" cy="957263"/>
        </a:xfrm>
        <a:prstGeom prst="rect">
          <a:avLst/>
        </a:prstGeom>
      </xdr:spPr>
    </xdr:pic>
    <xdr:clientData/>
  </xdr:twoCellAnchor>
  <xdr:twoCellAnchor editAs="oneCell">
    <xdr:from>
      <xdr:col>0</xdr:col>
      <xdr:colOff>618172</xdr:colOff>
      <xdr:row>149</xdr:row>
      <xdr:rowOff>60246</xdr:rowOff>
    </xdr:from>
    <xdr:to>
      <xdr:col>0</xdr:col>
      <xdr:colOff>2018347</xdr:colOff>
      <xdr:row>149</xdr:row>
      <xdr:rowOff>496015</xdr:rowOff>
    </xdr:to>
    <xdr:pic>
      <xdr:nvPicPr>
        <xdr:cNvPr id="299" name="Picture 298" descr="Insight Picture 298">
          <a:extLst>
            <a:ext uri="{FF2B5EF4-FFF2-40B4-BE49-F238E27FC236}">
              <a16:creationId xmlns:a16="http://schemas.microsoft.com/office/drawing/2014/main" id="{AAE4A889-D174-ADB0-AB09-C40DF952C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618172" y="135513366"/>
          <a:ext cx="1400175" cy="435769"/>
        </a:xfrm>
        <a:prstGeom prst="rect">
          <a:avLst/>
        </a:prstGeom>
      </xdr:spPr>
    </xdr:pic>
    <xdr:clientData/>
  </xdr:twoCellAnchor>
  <xdr:twoCellAnchor editAs="oneCell">
    <xdr:from>
      <xdr:col>0</xdr:col>
      <xdr:colOff>478869</xdr:colOff>
      <xdr:row>150</xdr:row>
      <xdr:rowOff>60479</xdr:rowOff>
    </xdr:from>
    <xdr:to>
      <xdr:col>0</xdr:col>
      <xdr:colOff>2157650</xdr:colOff>
      <xdr:row>150</xdr:row>
      <xdr:rowOff>846292</xdr:rowOff>
    </xdr:to>
    <xdr:pic>
      <xdr:nvPicPr>
        <xdr:cNvPr id="301" name="Picture 300" descr="Insight Picture 300">
          <a:extLst>
            <a:ext uri="{FF2B5EF4-FFF2-40B4-BE49-F238E27FC236}">
              <a16:creationId xmlns:a16="http://schemas.microsoft.com/office/drawing/2014/main" id="{5226C462-E432-F933-911D-629C9BB71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478869" y="136069859"/>
          <a:ext cx="1678781" cy="785813"/>
        </a:xfrm>
        <a:prstGeom prst="rect">
          <a:avLst/>
        </a:prstGeom>
      </xdr:spPr>
    </xdr:pic>
    <xdr:clientData/>
  </xdr:twoCellAnchor>
  <xdr:twoCellAnchor editAs="oneCell">
    <xdr:from>
      <xdr:col>0</xdr:col>
      <xdr:colOff>518160</xdr:colOff>
      <xdr:row>151</xdr:row>
      <xdr:rowOff>60248</xdr:rowOff>
    </xdr:from>
    <xdr:to>
      <xdr:col>0</xdr:col>
      <xdr:colOff>2118360</xdr:colOff>
      <xdr:row>151</xdr:row>
      <xdr:rowOff>496017</xdr:rowOff>
    </xdr:to>
    <xdr:pic>
      <xdr:nvPicPr>
        <xdr:cNvPr id="303" name="Picture 302" descr="Insight Picture 302">
          <a:extLst>
            <a:ext uri="{FF2B5EF4-FFF2-40B4-BE49-F238E27FC236}">
              <a16:creationId xmlns:a16="http://schemas.microsoft.com/office/drawing/2014/main" id="{0917F405-2ADD-95ED-70C9-187112568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518160" y="136976408"/>
          <a:ext cx="1600200" cy="435769"/>
        </a:xfrm>
        <a:prstGeom prst="rect">
          <a:avLst/>
        </a:prstGeom>
      </xdr:spPr>
    </xdr:pic>
    <xdr:clientData/>
  </xdr:twoCellAnchor>
  <xdr:twoCellAnchor editAs="oneCell">
    <xdr:from>
      <xdr:col>0</xdr:col>
      <xdr:colOff>475297</xdr:colOff>
      <xdr:row>152</xdr:row>
      <xdr:rowOff>60481</xdr:rowOff>
    </xdr:from>
    <xdr:to>
      <xdr:col>0</xdr:col>
      <xdr:colOff>2161222</xdr:colOff>
      <xdr:row>152</xdr:row>
      <xdr:rowOff>846294</xdr:rowOff>
    </xdr:to>
    <xdr:pic>
      <xdr:nvPicPr>
        <xdr:cNvPr id="305" name="Picture 304" descr="Insight Picture 304">
          <a:extLst>
            <a:ext uri="{FF2B5EF4-FFF2-40B4-BE49-F238E27FC236}">
              <a16:creationId xmlns:a16="http://schemas.microsoft.com/office/drawing/2014/main" id="{7EE06C89-3D47-FA17-2FC3-7C47E68AF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475297" y="137532901"/>
          <a:ext cx="1685925" cy="785813"/>
        </a:xfrm>
        <a:prstGeom prst="rect">
          <a:avLst/>
        </a:prstGeom>
      </xdr:spPr>
    </xdr:pic>
    <xdr:clientData/>
  </xdr:twoCellAnchor>
  <xdr:twoCellAnchor editAs="oneCell">
    <xdr:from>
      <xdr:col>0</xdr:col>
      <xdr:colOff>514588</xdr:colOff>
      <xdr:row>153</xdr:row>
      <xdr:rowOff>60251</xdr:rowOff>
    </xdr:from>
    <xdr:to>
      <xdr:col>0</xdr:col>
      <xdr:colOff>2121932</xdr:colOff>
      <xdr:row>153</xdr:row>
      <xdr:rowOff>496020</xdr:rowOff>
    </xdr:to>
    <xdr:pic>
      <xdr:nvPicPr>
        <xdr:cNvPr id="307" name="Picture 306" descr="Insight Picture 306">
          <a:extLst>
            <a:ext uri="{FF2B5EF4-FFF2-40B4-BE49-F238E27FC236}">
              <a16:creationId xmlns:a16="http://schemas.microsoft.com/office/drawing/2014/main" id="{72D369DC-E8AF-5952-793E-7F10D6B0E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514588" y="138439451"/>
          <a:ext cx="1607344" cy="435769"/>
        </a:xfrm>
        <a:prstGeom prst="rect">
          <a:avLst/>
        </a:prstGeom>
      </xdr:spPr>
    </xdr:pic>
    <xdr:clientData/>
  </xdr:twoCellAnchor>
  <xdr:twoCellAnchor editAs="oneCell">
    <xdr:from>
      <xdr:col>0</xdr:col>
      <xdr:colOff>428863</xdr:colOff>
      <xdr:row>154</xdr:row>
      <xdr:rowOff>60484</xdr:rowOff>
    </xdr:from>
    <xdr:to>
      <xdr:col>0</xdr:col>
      <xdr:colOff>2207657</xdr:colOff>
      <xdr:row>154</xdr:row>
      <xdr:rowOff>846297</xdr:rowOff>
    </xdr:to>
    <xdr:pic>
      <xdr:nvPicPr>
        <xdr:cNvPr id="309" name="Picture 308" descr="Insight Picture 308">
          <a:extLst>
            <a:ext uri="{FF2B5EF4-FFF2-40B4-BE49-F238E27FC236}">
              <a16:creationId xmlns:a16="http://schemas.microsoft.com/office/drawing/2014/main" id="{611D4DE6-4A7D-BEE0-AE6E-063075174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428863" y="138995944"/>
          <a:ext cx="1778794" cy="785813"/>
        </a:xfrm>
        <a:prstGeom prst="rect">
          <a:avLst/>
        </a:prstGeom>
      </xdr:spPr>
    </xdr:pic>
    <xdr:clientData/>
  </xdr:twoCellAnchor>
  <xdr:twoCellAnchor editAs="oneCell">
    <xdr:from>
      <xdr:col>0</xdr:col>
      <xdr:colOff>468153</xdr:colOff>
      <xdr:row>155</xdr:row>
      <xdr:rowOff>60241</xdr:rowOff>
    </xdr:from>
    <xdr:to>
      <xdr:col>0</xdr:col>
      <xdr:colOff>2168366</xdr:colOff>
      <xdr:row>155</xdr:row>
      <xdr:rowOff>496010</xdr:rowOff>
    </xdr:to>
    <xdr:pic>
      <xdr:nvPicPr>
        <xdr:cNvPr id="311" name="Picture 310" descr="Insight Picture 310">
          <a:extLst>
            <a:ext uri="{FF2B5EF4-FFF2-40B4-BE49-F238E27FC236}">
              <a16:creationId xmlns:a16="http://schemas.microsoft.com/office/drawing/2014/main" id="{5C9187B3-A034-E3D8-128D-E51BE737A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468153" y="139902481"/>
          <a:ext cx="1700213" cy="435769"/>
        </a:xfrm>
        <a:prstGeom prst="rect">
          <a:avLst/>
        </a:prstGeom>
      </xdr:spPr>
    </xdr:pic>
    <xdr:clientData/>
  </xdr:twoCellAnchor>
  <xdr:twoCellAnchor editAs="oneCell">
    <xdr:from>
      <xdr:col>0</xdr:col>
      <xdr:colOff>450294</xdr:colOff>
      <xdr:row>156</xdr:row>
      <xdr:rowOff>60722</xdr:rowOff>
    </xdr:from>
    <xdr:to>
      <xdr:col>0</xdr:col>
      <xdr:colOff>2186225</xdr:colOff>
      <xdr:row>156</xdr:row>
      <xdr:rowOff>625078</xdr:rowOff>
    </xdr:to>
    <xdr:pic>
      <xdr:nvPicPr>
        <xdr:cNvPr id="313" name="Picture 312" descr="Insight Picture 312">
          <a:extLst>
            <a:ext uri="{FF2B5EF4-FFF2-40B4-BE49-F238E27FC236}">
              <a16:creationId xmlns:a16="http://schemas.microsoft.com/office/drawing/2014/main" id="{3129E15B-2D32-1AC9-FDEF-E14AC1FFE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450294" y="140459222"/>
          <a:ext cx="1735931" cy="564356"/>
        </a:xfrm>
        <a:prstGeom prst="rect">
          <a:avLst/>
        </a:prstGeom>
      </xdr:spPr>
    </xdr:pic>
    <xdr:clientData/>
  </xdr:twoCellAnchor>
  <xdr:twoCellAnchor editAs="oneCell">
    <xdr:from>
      <xdr:col>0</xdr:col>
      <xdr:colOff>546735</xdr:colOff>
      <xdr:row>157</xdr:row>
      <xdr:rowOff>63574</xdr:rowOff>
    </xdr:from>
    <xdr:to>
      <xdr:col>0</xdr:col>
      <xdr:colOff>2089785</xdr:colOff>
      <xdr:row>157</xdr:row>
      <xdr:rowOff>599355</xdr:rowOff>
    </xdr:to>
    <xdr:pic>
      <xdr:nvPicPr>
        <xdr:cNvPr id="315" name="Picture 314" descr="Insight Picture 314">
          <a:extLst>
            <a:ext uri="{FF2B5EF4-FFF2-40B4-BE49-F238E27FC236}">
              <a16:creationId xmlns:a16="http://schemas.microsoft.com/office/drawing/2014/main" id="{30742441-5C0E-77BA-EA02-446319C46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46735" y="141147874"/>
          <a:ext cx="1543050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436007</xdr:colOff>
      <xdr:row>158</xdr:row>
      <xdr:rowOff>60724</xdr:rowOff>
    </xdr:from>
    <xdr:to>
      <xdr:col>0</xdr:col>
      <xdr:colOff>2200513</xdr:colOff>
      <xdr:row>158</xdr:row>
      <xdr:rowOff>625080</xdr:rowOff>
    </xdr:to>
    <xdr:pic>
      <xdr:nvPicPr>
        <xdr:cNvPr id="317" name="Picture 316" descr="Insight Picture 316">
          <a:extLst>
            <a:ext uri="{FF2B5EF4-FFF2-40B4-BE49-F238E27FC236}">
              <a16:creationId xmlns:a16="http://schemas.microsoft.com/office/drawing/2014/main" id="{F5D4CCEF-E826-C04D-1ED5-AB8F427A2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436007" y="141807964"/>
          <a:ext cx="1764506" cy="564356"/>
        </a:xfrm>
        <a:prstGeom prst="rect">
          <a:avLst/>
        </a:prstGeom>
      </xdr:spPr>
    </xdr:pic>
    <xdr:clientData/>
  </xdr:twoCellAnchor>
  <xdr:twoCellAnchor editAs="oneCell">
    <xdr:from>
      <xdr:col>0</xdr:col>
      <xdr:colOff>532447</xdr:colOff>
      <xdr:row>159</xdr:row>
      <xdr:rowOff>63577</xdr:rowOff>
    </xdr:from>
    <xdr:to>
      <xdr:col>0</xdr:col>
      <xdr:colOff>2104072</xdr:colOff>
      <xdr:row>159</xdr:row>
      <xdr:rowOff>599358</xdr:rowOff>
    </xdr:to>
    <xdr:pic>
      <xdr:nvPicPr>
        <xdr:cNvPr id="319" name="Picture 318" descr="Insight Picture 318">
          <a:extLst>
            <a:ext uri="{FF2B5EF4-FFF2-40B4-BE49-F238E27FC236}">
              <a16:creationId xmlns:a16="http://schemas.microsoft.com/office/drawing/2014/main" id="{0BDE04AA-74BC-E492-BD11-B397FEF5B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532447" y="142496617"/>
          <a:ext cx="1571625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414576</xdr:colOff>
      <xdr:row>160</xdr:row>
      <xdr:rowOff>60727</xdr:rowOff>
    </xdr:from>
    <xdr:to>
      <xdr:col>0</xdr:col>
      <xdr:colOff>2221945</xdr:colOff>
      <xdr:row>160</xdr:row>
      <xdr:rowOff>625083</xdr:rowOff>
    </xdr:to>
    <xdr:pic>
      <xdr:nvPicPr>
        <xdr:cNvPr id="321" name="Picture 320" descr="Insight Picture 320">
          <a:extLst>
            <a:ext uri="{FF2B5EF4-FFF2-40B4-BE49-F238E27FC236}">
              <a16:creationId xmlns:a16="http://schemas.microsoft.com/office/drawing/2014/main" id="{53A088A2-FF9A-2B1A-737F-94F27ADDF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14576" y="143156707"/>
          <a:ext cx="1807369" cy="564356"/>
        </a:xfrm>
        <a:prstGeom prst="rect">
          <a:avLst/>
        </a:prstGeom>
      </xdr:spPr>
    </xdr:pic>
    <xdr:clientData/>
  </xdr:twoCellAnchor>
  <xdr:twoCellAnchor editAs="oneCell">
    <xdr:from>
      <xdr:col>0</xdr:col>
      <xdr:colOff>511016</xdr:colOff>
      <xdr:row>161</xdr:row>
      <xdr:rowOff>63579</xdr:rowOff>
    </xdr:from>
    <xdr:to>
      <xdr:col>0</xdr:col>
      <xdr:colOff>2125504</xdr:colOff>
      <xdr:row>161</xdr:row>
      <xdr:rowOff>599360</xdr:rowOff>
    </xdr:to>
    <xdr:pic>
      <xdr:nvPicPr>
        <xdr:cNvPr id="323" name="Picture 322" descr="Insight Picture 322">
          <a:extLst>
            <a:ext uri="{FF2B5EF4-FFF2-40B4-BE49-F238E27FC236}">
              <a16:creationId xmlns:a16="http://schemas.microsoft.com/office/drawing/2014/main" id="{FE2BFB88-EBE4-F0A9-8C2A-2497D0831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11016" y="143845359"/>
          <a:ext cx="1614488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378857</xdr:colOff>
      <xdr:row>162</xdr:row>
      <xdr:rowOff>60717</xdr:rowOff>
    </xdr:from>
    <xdr:to>
      <xdr:col>0</xdr:col>
      <xdr:colOff>2257663</xdr:colOff>
      <xdr:row>162</xdr:row>
      <xdr:rowOff>625073</xdr:rowOff>
    </xdr:to>
    <xdr:pic>
      <xdr:nvPicPr>
        <xdr:cNvPr id="325" name="Picture 324" descr="Insight Picture 324">
          <a:extLst>
            <a:ext uri="{FF2B5EF4-FFF2-40B4-BE49-F238E27FC236}">
              <a16:creationId xmlns:a16="http://schemas.microsoft.com/office/drawing/2014/main" id="{3296C655-7A4A-B6D6-3DD7-54AAE15BE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378857" y="144505437"/>
          <a:ext cx="1878806" cy="564356"/>
        </a:xfrm>
        <a:prstGeom prst="rect">
          <a:avLst/>
        </a:prstGeom>
      </xdr:spPr>
    </xdr:pic>
    <xdr:clientData/>
  </xdr:twoCellAnchor>
  <xdr:twoCellAnchor editAs="oneCell">
    <xdr:from>
      <xdr:col>0</xdr:col>
      <xdr:colOff>475297</xdr:colOff>
      <xdr:row>163</xdr:row>
      <xdr:rowOff>63582</xdr:rowOff>
    </xdr:from>
    <xdr:to>
      <xdr:col>0</xdr:col>
      <xdr:colOff>2161222</xdr:colOff>
      <xdr:row>163</xdr:row>
      <xdr:rowOff>599363</xdr:rowOff>
    </xdr:to>
    <xdr:pic>
      <xdr:nvPicPr>
        <xdr:cNvPr id="327" name="Picture 326" descr="Insight Picture 326">
          <a:extLst>
            <a:ext uri="{FF2B5EF4-FFF2-40B4-BE49-F238E27FC236}">
              <a16:creationId xmlns:a16="http://schemas.microsoft.com/office/drawing/2014/main" id="{39B6A8DB-8477-7A06-29E3-712233247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475297" y="145194102"/>
          <a:ext cx="1685925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364569</xdr:colOff>
      <xdr:row>164</xdr:row>
      <xdr:rowOff>60719</xdr:rowOff>
    </xdr:from>
    <xdr:to>
      <xdr:col>0</xdr:col>
      <xdr:colOff>2271950</xdr:colOff>
      <xdr:row>164</xdr:row>
      <xdr:rowOff>625075</xdr:rowOff>
    </xdr:to>
    <xdr:pic>
      <xdr:nvPicPr>
        <xdr:cNvPr id="329" name="Picture 328" descr="Insight Picture 328">
          <a:extLst>
            <a:ext uri="{FF2B5EF4-FFF2-40B4-BE49-F238E27FC236}">
              <a16:creationId xmlns:a16="http://schemas.microsoft.com/office/drawing/2014/main" id="{B11DB474-A682-0575-8241-FB5EACC6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364569" y="145854179"/>
          <a:ext cx="1907381" cy="564356"/>
        </a:xfrm>
        <a:prstGeom prst="rect">
          <a:avLst/>
        </a:prstGeom>
      </xdr:spPr>
    </xdr:pic>
    <xdr:clientData/>
  </xdr:twoCellAnchor>
  <xdr:twoCellAnchor editAs="oneCell">
    <xdr:from>
      <xdr:col>0</xdr:col>
      <xdr:colOff>461010</xdr:colOff>
      <xdr:row>165</xdr:row>
      <xdr:rowOff>63584</xdr:rowOff>
    </xdr:from>
    <xdr:to>
      <xdr:col>0</xdr:col>
      <xdr:colOff>2175510</xdr:colOff>
      <xdr:row>165</xdr:row>
      <xdr:rowOff>599365</xdr:rowOff>
    </xdr:to>
    <xdr:pic>
      <xdr:nvPicPr>
        <xdr:cNvPr id="331" name="Picture 330" descr="Insight Picture 330">
          <a:extLst>
            <a:ext uri="{FF2B5EF4-FFF2-40B4-BE49-F238E27FC236}">
              <a16:creationId xmlns:a16="http://schemas.microsoft.com/office/drawing/2014/main" id="{60BE1645-A117-19AA-1F18-222AB6F2D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461010" y="146542844"/>
          <a:ext cx="1714500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332422</xdr:colOff>
      <xdr:row>166</xdr:row>
      <xdr:rowOff>63574</xdr:rowOff>
    </xdr:from>
    <xdr:to>
      <xdr:col>0</xdr:col>
      <xdr:colOff>2304097</xdr:colOff>
      <xdr:row>166</xdr:row>
      <xdr:rowOff>599355</xdr:rowOff>
    </xdr:to>
    <xdr:pic>
      <xdr:nvPicPr>
        <xdr:cNvPr id="333" name="Picture 332" descr="Insight Picture 332">
          <a:extLst>
            <a:ext uri="{FF2B5EF4-FFF2-40B4-BE49-F238E27FC236}">
              <a16:creationId xmlns:a16="http://schemas.microsoft.com/office/drawing/2014/main" id="{D4A7E693-379B-1626-F8EE-6B396DB32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332422" y="147205774"/>
          <a:ext cx="1971675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364569</xdr:colOff>
      <xdr:row>167</xdr:row>
      <xdr:rowOff>61196</xdr:rowOff>
    </xdr:from>
    <xdr:to>
      <xdr:col>0</xdr:col>
      <xdr:colOff>2271950</xdr:colOff>
      <xdr:row>167</xdr:row>
      <xdr:rowOff>868440</xdr:rowOff>
    </xdr:to>
    <xdr:pic>
      <xdr:nvPicPr>
        <xdr:cNvPr id="335" name="Picture 334" descr="Insight Picture 334">
          <a:extLst>
            <a:ext uri="{FF2B5EF4-FFF2-40B4-BE49-F238E27FC236}">
              <a16:creationId xmlns:a16="http://schemas.microsoft.com/office/drawing/2014/main" id="{C6685449-BBF5-AEDC-2F63-31CFF7443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364569" y="147866336"/>
          <a:ext cx="1907381" cy="807244"/>
        </a:xfrm>
        <a:prstGeom prst="rect">
          <a:avLst/>
        </a:prstGeom>
      </xdr:spPr>
    </xdr:pic>
    <xdr:clientData/>
  </xdr:twoCellAnchor>
  <xdr:twoCellAnchor editAs="oneCell">
    <xdr:from>
      <xdr:col>0</xdr:col>
      <xdr:colOff>364569</xdr:colOff>
      <xdr:row>168</xdr:row>
      <xdr:rowOff>62624</xdr:rowOff>
    </xdr:from>
    <xdr:to>
      <xdr:col>0</xdr:col>
      <xdr:colOff>2271950</xdr:colOff>
      <xdr:row>168</xdr:row>
      <xdr:rowOff>798430</xdr:rowOff>
    </xdr:to>
    <xdr:pic>
      <xdr:nvPicPr>
        <xdr:cNvPr id="337" name="Picture 336" descr="Insight Picture 336">
          <a:extLst>
            <a:ext uri="{FF2B5EF4-FFF2-40B4-BE49-F238E27FC236}">
              <a16:creationId xmlns:a16="http://schemas.microsoft.com/office/drawing/2014/main" id="{A760F1E5-A440-1F77-3858-4820A9D05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364569" y="148797404"/>
          <a:ext cx="1907381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253841</xdr:colOff>
      <xdr:row>169</xdr:row>
      <xdr:rowOff>60724</xdr:rowOff>
    </xdr:from>
    <xdr:to>
      <xdr:col>0</xdr:col>
      <xdr:colOff>2382679</xdr:colOff>
      <xdr:row>169</xdr:row>
      <xdr:rowOff>625080</xdr:rowOff>
    </xdr:to>
    <xdr:pic>
      <xdr:nvPicPr>
        <xdr:cNvPr id="339" name="Picture 338" descr="Insight Picture 338">
          <a:extLst>
            <a:ext uri="{FF2B5EF4-FFF2-40B4-BE49-F238E27FC236}">
              <a16:creationId xmlns:a16="http://schemas.microsoft.com/office/drawing/2014/main" id="{7EAE488F-B182-B6C9-FF7F-51E464F0F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253841" y="149656564"/>
          <a:ext cx="2128838" cy="564356"/>
        </a:xfrm>
        <a:prstGeom prst="rect">
          <a:avLst/>
        </a:prstGeom>
      </xdr:spPr>
    </xdr:pic>
    <xdr:clientData/>
  </xdr:twoCellAnchor>
  <xdr:twoCellAnchor editAs="oneCell">
    <xdr:from>
      <xdr:col>0</xdr:col>
      <xdr:colOff>328851</xdr:colOff>
      <xdr:row>170</xdr:row>
      <xdr:rowOff>63577</xdr:rowOff>
    </xdr:from>
    <xdr:to>
      <xdr:col>0</xdr:col>
      <xdr:colOff>2307670</xdr:colOff>
      <xdr:row>170</xdr:row>
      <xdr:rowOff>599358</xdr:rowOff>
    </xdr:to>
    <xdr:pic>
      <xdr:nvPicPr>
        <xdr:cNvPr id="341" name="Picture 340" descr="Insight Picture 340">
          <a:extLst>
            <a:ext uri="{FF2B5EF4-FFF2-40B4-BE49-F238E27FC236}">
              <a16:creationId xmlns:a16="http://schemas.microsoft.com/office/drawing/2014/main" id="{0490185B-F9F2-17DF-FF51-2D3D512BA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328851" y="150345217"/>
          <a:ext cx="1978819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693182</xdr:colOff>
      <xdr:row>171</xdr:row>
      <xdr:rowOff>60727</xdr:rowOff>
    </xdr:from>
    <xdr:to>
      <xdr:col>0</xdr:col>
      <xdr:colOff>1943338</xdr:colOff>
      <xdr:row>171</xdr:row>
      <xdr:rowOff>853683</xdr:rowOff>
    </xdr:to>
    <xdr:pic>
      <xdr:nvPicPr>
        <xdr:cNvPr id="343" name="Picture 342" descr="Insight Picture 342">
          <a:extLst>
            <a:ext uri="{FF2B5EF4-FFF2-40B4-BE49-F238E27FC236}">
              <a16:creationId xmlns:a16="http://schemas.microsoft.com/office/drawing/2014/main" id="{80016E78-ED35-B604-FE6C-367B24D3F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693182" y="151005307"/>
          <a:ext cx="1250156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353853</xdr:colOff>
      <xdr:row>172</xdr:row>
      <xdr:rowOff>62624</xdr:rowOff>
    </xdr:from>
    <xdr:to>
      <xdr:col>0</xdr:col>
      <xdr:colOff>2282666</xdr:colOff>
      <xdr:row>172</xdr:row>
      <xdr:rowOff>798430</xdr:rowOff>
    </xdr:to>
    <xdr:pic>
      <xdr:nvPicPr>
        <xdr:cNvPr id="345" name="Picture 344" descr="Insight Picture 344">
          <a:extLst>
            <a:ext uri="{FF2B5EF4-FFF2-40B4-BE49-F238E27FC236}">
              <a16:creationId xmlns:a16="http://schemas.microsoft.com/office/drawing/2014/main" id="{B28624F3-0F4A-63E4-91E0-791D074DE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353853" y="151921604"/>
          <a:ext cx="1928813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600313</xdr:colOff>
      <xdr:row>173</xdr:row>
      <xdr:rowOff>60724</xdr:rowOff>
    </xdr:from>
    <xdr:to>
      <xdr:col>0</xdr:col>
      <xdr:colOff>2036207</xdr:colOff>
      <xdr:row>173</xdr:row>
      <xdr:rowOff>739380</xdr:rowOff>
    </xdr:to>
    <xdr:pic>
      <xdr:nvPicPr>
        <xdr:cNvPr id="347" name="Picture 346" descr="Insight Picture 346">
          <a:extLst>
            <a:ext uri="{FF2B5EF4-FFF2-40B4-BE49-F238E27FC236}">
              <a16:creationId xmlns:a16="http://schemas.microsoft.com/office/drawing/2014/main" id="{6C7B428C-D2E8-B06D-6A09-79E606D12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600313" y="152780764"/>
          <a:ext cx="1435894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571738</xdr:colOff>
      <xdr:row>174</xdr:row>
      <xdr:rowOff>63813</xdr:rowOff>
    </xdr:from>
    <xdr:to>
      <xdr:col>0</xdr:col>
      <xdr:colOff>2064782</xdr:colOff>
      <xdr:row>174</xdr:row>
      <xdr:rowOff>721038</xdr:rowOff>
    </xdr:to>
    <xdr:pic>
      <xdr:nvPicPr>
        <xdr:cNvPr id="349" name="Picture 348" descr="Insight Picture 348">
          <a:extLst>
            <a:ext uri="{FF2B5EF4-FFF2-40B4-BE49-F238E27FC236}">
              <a16:creationId xmlns:a16="http://schemas.microsoft.com/office/drawing/2014/main" id="{B23F0D8D-46D7-3E77-BA8B-035F0F8B7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571738" y="153583953"/>
          <a:ext cx="1493044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564595</xdr:colOff>
      <xdr:row>175</xdr:row>
      <xdr:rowOff>60251</xdr:rowOff>
    </xdr:from>
    <xdr:to>
      <xdr:col>0</xdr:col>
      <xdr:colOff>2071926</xdr:colOff>
      <xdr:row>175</xdr:row>
      <xdr:rowOff>838920</xdr:rowOff>
    </xdr:to>
    <xdr:pic>
      <xdr:nvPicPr>
        <xdr:cNvPr id="351" name="Picture 350" descr="Insight Picture 350">
          <a:extLst>
            <a:ext uri="{FF2B5EF4-FFF2-40B4-BE49-F238E27FC236}">
              <a16:creationId xmlns:a16="http://schemas.microsoft.com/office/drawing/2014/main" id="{E9E90147-5D7E-96D2-04AF-42D54BD74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564595" y="154365251"/>
          <a:ext cx="1507331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364569</xdr:colOff>
      <xdr:row>176</xdr:row>
      <xdr:rowOff>61203</xdr:rowOff>
    </xdr:from>
    <xdr:to>
      <xdr:col>0</xdr:col>
      <xdr:colOff>2271950</xdr:colOff>
      <xdr:row>176</xdr:row>
      <xdr:rowOff>868447</xdr:rowOff>
    </xdr:to>
    <xdr:pic>
      <xdr:nvPicPr>
        <xdr:cNvPr id="353" name="Picture 352" descr="Insight Picture 352">
          <a:extLst>
            <a:ext uri="{FF2B5EF4-FFF2-40B4-BE49-F238E27FC236}">
              <a16:creationId xmlns:a16="http://schemas.microsoft.com/office/drawing/2014/main" id="{D60EFF2E-A492-8570-7456-1FCED69BB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364569" y="155265363"/>
          <a:ext cx="1907381" cy="807244"/>
        </a:xfrm>
        <a:prstGeom prst="rect">
          <a:avLst/>
        </a:prstGeom>
      </xdr:spPr>
    </xdr:pic>
    <xdr:clientData/>
  </xdr:twoCellAnchor>
  <xdr:twoCellAnchor editAs="oneCell">
    <xdr:from>
      <xdr:col>0</xdr:col>
      <xdr:colOff>364569</xdr:colOff>
      <xdr:row>177</xdr:row>
      <xdr:rowOff>63103</xdr:rowOff>
    </xdr:from>
    <xdr:to>
      <xdr:col>0</xdr:col>
      <xdr:colOff>2271950</xdr:colOff>
      <xdr:row>177</xdr:row>
      <xdr:rowOff>1041797</xdr:rowOff>
    </xdr:to>
    <xdr:pic>
      <xdr:nvPicPr>
        <xdr:cNvPr id="355" name="Picture 354" descr="Insight Picture 354">
          <a:extLst>
            <a:ext uri="{FF2B5EF4-FFF2-40B4-BE49-F238E27FC236}">
              <a16:creationId xmlns:a16="http://schemas.microsoft.com/office/drawing/2014/main" id="{ED25756A-2C3E-9AAA-ED45-4B949875D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364569" y="156196903"/>
          <a:ext cx="1907381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253841</xdr:colOff>
      <xdr:row>178</xdr:row>
      <xdr:rowOff>61193</xdr:rowOff>
    </xdr:from>
    <xdr:to>
      <xdr:col>0</xdr:col>
      <xdr:colOff>2382679</xdr:colOff>
      <xdr:row>178</xdr:row>
      <xdr:rowOff>868437</xdr:rowOff>
    </xdr:to>
    <xdr:pic>
      <xdr:nvPicPr>
        <xdr:cNvPr id="357" name="Picture 356" descr="Insight Picture 356">
          <a:extLst>
            <a:ext uri="{FF2B5EF4-FFF2-40B4-BE49-F238E27FC236}">
              <a16:creationId xmlns:a16="http://schemas.microsoft.com/office/drawing/2014/main" id="{DB6081FA-3A51-0063-EABA-C937A9E3D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53841" y="157299893"/>
          <a:ext cx="2128838" cy="807244"/>
        </a:xfrm>
        <a:prstGeom prst="rect">
          <a:avLst/>
        </a:prstGeom>
      </xdr:spPr>
    </xdr:pic>
    <xdr:clientData/>
  </xdr:twoCellAnchor>
  <xdr:twoCellAnchor editAs="oneCell">
    <xdr:from>
      <xdr:col>0</xdr:col>
      <xdr:colOff>453866</xdr:colOff>
      <xdr:row>179</xdr:row>
      <xdr:rowOff>60241</xdr:rowOff>
    </xdr:from>
    <xdr:to>
      <xdr:col>0</xdr:col>
      <xdr:colOff>2182654</xdr:colOff>
      <xdr:row>179</xdr:row>
      <xdr:rowOff>838910</xdr:rowOff>
    </xdr:to>
    <xdr:pic>
      <xdr:nvPicPr>
        <xdr:cNvPr id="359" name="Picture 358" descr="Insight Picture 358">
          <a:extLst>
            <a:ext uri="{FF2B5EF4-FFF2-40B4-BE49-F238E27FC236}">
              <a16:creationId xmlns:a16="http://schemas.microsoft.com/office/drawing/2014/main" id="{65478308-724E-1DC9-AD57-4C23C37B3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453866" y="158228581"/>
          <a:ext cx="1728788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450294</xdr:colOff>
      <xdr:row>180</xdr:row>
      <xdr:rowOff>60251</xdr:rowOff>
    </xdr:from>
    <xdr:to>
      <xdr:col>0</xdr:col>
      <xdr:colOff>2186225</xdr:colOff>
      <xdr:row>180</xdr:row>
      <xdr:rowOff>838920</xdr:rowOff>
    </xdr:to>
    <xdr:pic>
      <xdr:nvPicPr>
        <xdr:cNvPr id="361" name="Picture 360" descr="Insight Picture 360">
          <a:extLst>
            <a:ext uri="{FF2B5EF4-FFF2-40B4-BE49-F238E27FC236}">
              <a16:creationId xmlns:a16="http://schemas.microsoft.com/office/drawing/2014/main" id="{018928B4-FB02-0C68-69DF-0ECBAC5A2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450294" y="159127751"/>
          <a:ext cx="1735931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621745</xdr:colOff>
      <xdr:row>181</xdr:row>
      <xdr:rowOff>61203</xdr:rowOff>
    </xdr:from>
    <xdr:to>
      <xdr:col>0</xdr:col>
      <xdr:colOff>2014776</xdr:colOff>
      <xdr:row>181</xdr:row>
      <xdr:rowOff>639847</xdr:rowOff>
    </xdr:to>
    <xdr:pic>
      <xdr:nvPicPr>
        <xdr:cNvPr id="363" name="Picture 362" descr="Insight Picture 362">
          <a:extLst>
            <a:ext uri="{FF2B5EF4-FFF2-40B4-BE49-F238E27FC236}">
              <a16:creationId xmlns:a16="http://schemas.microsoft.com/office/drawing/2014/main" id="{5DA6DCB9-2B04-9C76-C415-D1E01D436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621745" y="160027863"/>
          <a:ext cx="1393031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478869</xdr:colOff>
      <xdr:row>182</xdr:row>
      <xdr:rowOff>62867</xdr:rowOff>
    </xdr:from>
    <xdr:to>
      <xdr:col>0</xdr:col>
      <xdr:colOff>2157650</xdr:colOff>
      <xdr:row>182</xdr:row>
      <xdr:rowOff>920117</xdr:rowOff>
    </xdr:to>
    <xdr:pic>
      <xdr:nvPicPr>
        <xdr:cNvPr id="365" name="Picture 364" descr="Insight Picture 364">
          <a:extLst>
            <a:ext uri="{FF2B5EF4-FFF2-40B4-BE49-F238E27FC236}">
              <a16:creationId xmlns:a16="http://schemas.microsoft.com/office/drawing/2014/main" id="{7D48C67E-A375-10BA-3ED6-72CEB55CD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478869" y="160730567"/>
          <a:ext cx="1678781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621745</xdr:colOff>
      <xdr:row>183</xdr:row>
      <xdr:rowOff>61198</xdr:rowOff>
    </xdr:from>
    <xdr:to>
      <xdr:col>0</xdr:col>
      <xdr:colOff>2014776</xdr:colOff>
      <xdr:row>183</xdr:row>
      <xdr:rowOff>639842</xdr:rowOff>
    </xdr:to>
    <xdr:pic>
      <xdr:nvPicPr>
        <xdr:cNvPr id="367" name="Picture 366" descr="Insight Picture 366">
          <a:extLst>
            <a:ext uri="{FF2B5EF4-FFF2-40B4-BE49-F238E27FC236}">
              <a16:creationId xmlns:a16="http://schemas.microsoft.com/office/drawing/2014/main" id="{6AD9DC2E-D00F-99B8-5FE0-B5FC21CD4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621745" y="161711878"/>
          <a:ext cx="1393031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278844</xdr:colOff>
      <xdr:row>184</xdr:row>
      <xdr:rowOff>62156</xdr:rowOff>
    </xdr:from>
    <xdr:to>
      <xdr:col>0</xdr:col>
      <xdr:colOff>2357675</xdr:colOff>
      <xdr:row>184</xdr:row>
      <xdr:rowOff>669375</xdr:rowOff>
    </xdr:to>
    <xdr:pic>
      <xdr:nvPicPr>
        <xdr:cNvPr id="369" name="Picture 368" descr="Insight Picture 368">
          <a:extLst>
            <a:ext uri="{FF2B5EF4-FFF2-40B4-BE49-F238E27FC236}">
              <a16:creationId xmlns:a16="http://schemas.microsoft.com/office/drawing/2014/main" id="{6CF7A578-0471-FF42-5791-B2CAE4926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78844" y="162413876"/>
          <a:ext cx="2078831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625316</xdr:colOff>
      <xdr:row>185</xdr:row>
      <xdr:rowOff>63813</xdr:rowOff>
    </xdr:from>
    <xdr:to>
      <xdr:col>0</xdr:col>
      <xdr:colOff>2011204</xdr:colOff>
      <xdr:row>185</xdr:row>
      <xdr:rowOff>721038</xdr:rowOff>
    </xdr:to>
    <xdr:pic>
      <xdr:nvPicPr>
        <xdr:cNvPr id="371" name="Picture 370" descr="Insight Picture 370">
          <a:extLst>
            <a:ext uri="{FF2B5EF4-FFF2-40B4-BE49-F238E27FC236}">
              <a16:creationId xmlns:a16="http://schemas.microsoft.com/office/drawing/2014/main" id="{0BAF8305-1053-5BA4-7F26-4AC21CC8B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625316" y="163147053"/>
          <a:ext cx="1385888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321707</xdr:colOff>
      <xdr:row>186</xdr:row>
      <xdr:rowOff>60486</xdr:rowOff>
    </xdr:from>
    <xdr:to>
      <xdr:col>0</xdr:col>
      <xdr:colOff>2314813</xdr:colOff>
      <xdr:row>186</xdr:row>
      <xdr:rowOff>960599</xdr:rowOff>
    </xdr:to>
    <xdr:pic>
      <xdr:nvPicPr>
        <xdr:cNvPr id="373" name="Picture 372" descr="Insight Picture 372">
          <a:extLst>
            <a:ext uri="{FF2B5EF4-FFF2-40B4-BE49-F238E27FC236}">
              <a16:creationId xmlns:a16="http://schemas.microsoft.com/office/drawing/2014/main" id="{E8B3DD29-E97F-88AD-57CA-C198CAB46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321707" y="163928586"/>
          <a:ext cx="1993106" cy="900113"/>
        </a:xfrm>
        <a:prstGeom prst="rect">
          <a:avLst/>
        </a:prstGeom>
      </xdr:spPr>
    </xdr:pic>
    <xdr:clientData/>
  </xdr:twoCellAnchor>
  <xdr:twoCellAnchor editAs="oneCell">
    <xdr:from>
      <xdr:col>0</xdr:col>
      <xdr:colOff>210978</xdr:colOff>
      <xdr:row>187</xdr:row>
      <xdr:rowOff>62624</xdr:rowOff>
    </xdr:from>
    <xdr:to>
      <xdr:col>0</xdr:col>
      <xdr:colOff>2425541</xdr:colOff>
      <xdr:row>187</xdr:row>
      <xdr:rowOff>912730</xdr:rowOff>
    </xdr:to>
    <xdr:pic>
      <xdr:nvPicPr>
        <xdr:cNvPr id="375" name="Picture 374" descr="Insight Picture 374">
          <a:extLst>
            <a:ext uri="{FF2B5EF4-FFF2-40B4-BE49-F238E27FC236}">
              <a16:creationId xmlns:a16="http://schemas.microsoft.com/office/drawing/2014/main" id="{26E96D0B-EB78-5765-FC7F-584D5D2C6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210978" y="164951804"/>
          <a:ext cx="2214563" cy="850106"/>
        </a:xfrm>
        <a:prstGeom prst="rect">
          <a:avLst/>
        </a:prstGeom>
      </xdr:spPr>
    </xdr:pic>
    <xdr:clientData/>
  </xdr:twoCellAnchor>
  <xdr:twoCellAnchor editAs="oneCell">
    <xdr:from>
      <xdr:col>0</xdr:col>
      <xdr:colOff>564595</xdr:colOff>
      <xdr:row>188</xdr:row>
      <xdr:rowOff>63106</xdr:rowOff>
    </xdr:from>
    <xdr:to>
      <xdr:col>0</xdr:col>
      <xdr:colOff>2071926</xdr:colOff>
      <xdr:row>188</xdr:row>
      <xdr:rowOff>1041800</xdr:rowOff>
    </xdr:to>
    <xdr:pic>
      <xdr:nvPicPr>
        <xdr:cNvPr id="377" name="Picture 376" descr="Insight Picture 376">
          <a:extLst>
            <a:ext uri="{FF2B5EF4-FFF2-40B4-BE49-F238E27FC236}">
              <a16:creationId xmlns:a16="http://schemas.microsoft.com/office/drawing/2014/main" id="{75D303F0-F7A9-4AD8-4980-3DBDD4713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564595" y="165927646"/>
          <a:ext cx="1507331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571738</xdr:colOff>
      <xdr:row>189</xdr:row>
      <xdr:rowOff>61431</xdr:rowOff>
    </xdr:from>
    <xdr:to>
      <xdr:col>0</xdr:col>
      <xdr:colOff>2064782</xdr:colOff>
      <xdr:row>189</xdr:row>
      <xdr:rowOff>1104419</xdr:rowOff>
    </xdr:to>
    <xdr:pic>
      <xdr:nvPicPr>
        <xdr:cNvPr id="379" name="Picture 378" descr="Insight Picture 378">
          <a:extLst>
            <a:ext uri="{FF2B5EF4-FFF2-40B4-BE49-F238E27FC236}">
              <a16:creationId xmlns:a16="http://schemas.microsoft.com/office/drawing/2014/main" id="{CC0BF2B9-4BDC-9297-182C-99B0BC9E6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571738" y="167030871"/>
          <a:ext cx="1493044" cy="1042988"/>
        </a:xfrm>
        <a:prstGeom prst="rect">
          <a:avLst/>
        </a:prstGeom>
      </xdr:spPr>
    </xdr:pic>
    <xdr:clientData/>
  </xdr:twoCellAnchor>
  <xdr:twoCellAnchor editAs="oneCell">
    <xdr:from>
      <xdr:col>0</xdr:col>
      <xdr:colOff>425291</xdr:colOff>
      <xdr:row>190</xdr:row>
      <xdr:rowOff>61913</xdr:rowOff>
    </xdr:from>
    <xdr:to>
      <xdr:col>0</xdr:col>
      <xdr:colOff>2211229</xdr:colOff>
      <xdr:row>190</xdr:row>
      <xdr:rowOff>890588</xdr:rowOff>
    </xdr:to>
    <xdr:pic>
      <xdr:nvPicPr>
        <xdr:cNvPr id="381" name="Picture 380" descr="Insight Picture 380">
          <a:extLst>
            <a:ext uri="{FF2B5EF4-FFF2-40B4-BE49-F238E27FC236}">
              <a16:creationId xmlns:a16="http://schemas.microsoft.com/office/drawing/2014/main" id="{CA1911FD-A8EA-76EE-E490-8CCB66D34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425291" y="168197213"/>
          <a:ext cx="1785938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368141</xdr:colOff>
      <xdr:row>191</xdr:row>
      <xdr:rowOff>60251</xdr:rowOff>
    </xdr:from>
    <xdr:to>
      <xdr:col>0</xdr:col>
      <xdr:colOff>2268379</xdr:colOff>
      <xdr:row>191</xdr:row>
      <xdr:rowOff>838920</xdr:rowOff>
    </xdr:to>
    <xdr:pic>
      <xdr:nvPicPr>
        <xdr:cNvPr id="383" name="Picture 382" descr="Insight Picture 382">
          <a:extLst>
            <a:ext uri="{FF2B5EF4-FFF2-40B4-BE49-F238E27FC236}">
              <a16:creationId xmlns:a16="http://schemas.microsoft.com/office/drawing/2014/main" id="{234A7EDD-9FB3-EB5B-1664-4000C1B2D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368141" y="169148051"/>
          <a:ext cx="1900238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628888</xdr:colOff>
      <xdr:row>192</xdr:row>
      <xdr:rowOff>63584</xdr:rowOff>
    </xdr:from>
    <xdr:to>
      <xdr:col>0</xdr:col>
      <xdr:colOff>2007632</xdr:colOff>
      <xdr:row>192</xdr:row>
      <xdr:rowOff>1285165</xdr:rowOff>
    </xdr:to>
    <xdr:pic>
      <xdr:nvPicPr>
        <xdr:cNvPr id="385" name="Picture 384" descr="Insight Picture 384">
          <a:extLst>
            <a:ext uri="{FF2B5EF4-FFF2-40B4-BE49-F238E27FC236}">
              <a16:creationId xmlns:a16="http://schemas.microsoft.com/office/drawing/2014/main" id="{618A3AD4-40B4-2096-18EA-783EE383B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628888" y="170050544"/>
          <a:ext cx="1378744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364569</xdr:colOff>
      <xdr:row>193</xdr:row>
      <xdr:rowOff>62632</xdr:rowOff>
    </xdr:from>
    <xdr:to>
      <xdr:col>0</xdr:col>
      <xdr:colOff>2271950</xdr:colOff>
      <xdr:row>193</xdr:row>
      <xdr:rowOff>798438</xdr:rowOff>
    </xdr:to>
    <xdr:pic>
      <xdr:nvPicPr>
        <xdr:cNvPr id="387" name="Picture 386" descr="Insight Picture 386">
          <a:extLst>
            <a:ext uri="{FF2B5EF4-FFF2-40B4-BE49-F238E27FC236}">
              <a16:creationId xmlns:a16="http://schemas.microsoft.com/office/drawing/2014/main" id="{F65A6DCC-7695-F7BA-4C34-1431415AD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364569" y="171398332"/>
          <a:ext cx="1907381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418147</xdr:colOff>
      <xdr:row>194</xdr:row>
      <xdr:rowOff>63820</xdr:rowOff>
    </xdr:from>
    <xdr:to>
      <xdr:col>0</xdr:col>
      <xdr:colOff>2218372</xdr:colOff>
      <xdr:row>194</xdr:row>
      <xdr:rowOff>721045</xdr:rowOff>
    </xdr:to>
    <xdr:pic>
      <xdr:nvPicPr>
        <xdr:cNvPr id="389" name="Picture 388" descr="Insight Picture 388">
          <a:extLst>
            <a:ext uri="{FF2B5EF4-FFF2-40B4-BE49-F238E27FC236}">
              <a16:creationId xmlns:a16="http://schemas.microsoft.com/office/drawing/2014/main" id="{8106A91F-20DC-7928-1794-1EFEE5F71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418147" y="172260580"/>
          <a:ext cx="1800225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571738</xdr:colOff>
      <xdr:row>195</xdr:row>
      <xdr:rowOff>63818</xdr:rowOff>
    </xdr:from>
    <xdr:to>
      <xdr:col>0</xdr:col>
      <xdr:colOff>2064782</xdr:colOff>
      <xdr:row>195</xdr:row>
      <xdr:rowOff>721043</xdr:rowOff>
    </xdr:to>
    <xdr:pic>
      <xdr:nvPicPr>
        <xdr:cNvPr id="391" name="Picture 390" descr="Insight Picture 390">
          <a:extLst>
            <a:ext uri="{FF2B5EF4-FFF2-40B4-BE49-F238E27FC236}">
              <a16:creationId xmlns:a16="http://schemas.microsoft.com/office/drawing/2014/main" id="{B6C3C80C-8A25-842D-589B-33335FD5B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571738" y="173045438"/>
          <a:ext cx="1493044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571738</xdr:colOff>
      <xdr:row>196</xdr:row>
      <xdr:rowOff>63815</xdr:rowOff>
    </xdr:from>
    <xdr:to>
      <xdr:col>0</xdr:col>
      <xdr:colOff>2064782</xdr:colOff>
      <xdr:row>196</xdr:row>
      <xdr:rowOff>721040</xdr:rowOff>
    </xdr:to>
    <xdr:pic>
      <xdr:nvPicPr>
        <xdr:cNvPr id="393" name="Picture 392" descr="Insight Picture 392">
          <a:extLst>
            <a:ext uri="{FF2B5EF4-FFF2-40B4-BE49-F238E27FC236}">
              <a16:creationId xmlns:a16="http://schemas.microsoft.com/office/drawing/2014/main" id="{14D1F6F7-E1E4-4D88-0800-9A3A6DCF9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571738" y="173830295"/>
          <a:ext cx="1493044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253841</xdr:colOff>
      <xdr:row>197</xdr:row>
      <xdr:rowOff>61196</xdr:rowOff>
    </xdr:from>
    <xdr:to>
      <xdr:col>0</xdr:col>
      <xdr:colOff>2382679</xdr:colOff>
      <xdr:row>197</xdr:row>
      <xdr:rowOff>868440</xdr:rowOff>
    </xdr:to>
    <xdr:pic>
      <xdr:nvPicPr>
        <xdr:cNvPr id="395" name="Picture 394" descr="Insight Picture 394">
          <a:extLst>
            <a:ext uri="{FF2B5EF4-FFF2-40B4-BE49-F238E27FC236}">
              <a16:creationId xmlns:a16="http://schemas.microsoft.com/office/drawing/2014/main" id="{C8C8E1A3-0CDF-D950-70BF-E88805D41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253841" y="174612536"/>
          <a:ext cx="2128838" cy="807244"/>
        </a:xfrm>
        <a:prstGeom prst="rect">
          <a:avLst/>
        </a:prstGeom>
      </xdr:spPr>
    </xdr:pic>
    <xdr:clientData/>
  </xdr:twoCellAnchor>
  <xdr:twoCellAnchor editAs="oneCell">
    <xdr:from>
      <xdr:col>0</xdr:col>
      <xdr:colOff>232410</xdr:colOff>
      <xdr:row>198</xdr:row>
      <xdr:rowOff>61198</xdr:rowOff>
    </xdr:from>
    <xdr:to>
      <xdr:col>0</xdr:col>
      <xdr:colOff>2404110</xdr:colOff>
      <xdr:row>198</xdr:row>
      <xdr:rowOff>868442</xdr:rowOff>
    </xdr:to>
    <xdr:pic>
      <xdr:nvPicPr>
        <xdr:cNvPr id="397" name="Picture 396" descr="Insight Picture 396">
          <a:extLst>
            <a:ext uri="{FF2B5EF4-FFF2-40B4-BE49-F238E27FC236}">
              <a16:creationId xmlns:a16="http://schemas.microsoft.com/office/drawing/2014/main" id="{D434C90B-B116-FDE2-879F-BB7E45F61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232410" y="175542178"/>
          <a:ext cx="2171700" cy="807244"/>
        </a:xfrm>
        <a:prstGeom prst="rect">
          <a:avLst/>
        </a:prstGeom>
      </xdr:spPr>
    </xdr:pic>
    <xdr:clientData/>
  </xdr:twoCellAnchor>
  <xdr:twoCellAnchor editAs="oneCell">
    <xdr:from>
      <xdr:col>0</xdr:col>
      <xdr:colOff>253841</xdr:colOff>
      <xdr:row>199</xdr:row>
      <xdr:rowOff>61201</xdr:rowOff>
    </xdr:from>
    <xdr:to>
      <xdr:col>0</xdr:col>
      <xdr:colOff>2382679</xdr:colOff>
      <xdr:row>199</xdr:row>
      <xdr:rowOff>868445</xdr:rowOff>
    </xdr:to>
    <xdr:pic>
      <xdr:nvPicPr>
        <xdr:cNvPr id="399" name="Picture 398" descr="Insight Picture 398">
          <a:extLst>
            <a:ext uri="{FF2B5EF4-FFF2-40B4-BE49-F238E27FC236}">
              <a16:creationId xmlns:a16="http://schemas.microsoft.com/office/drawing/2014/main" id="{11ED1CE5-7254-F349-06C9-47BD6D968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253841" y="176471821"/>
          <a:ext cx="2128838" cy="807244"/>
        </a:xfrm>
        <a:prstGeom prst="rect">
          <a:avLst/>
        </a:prstGeom>
      </xdr:spPr>
    </xdr:pic>
    <xdr:clientData/>
  </xdr:twoCellAnchor>
  <xdr:twoCellAnchor editAs="oneCell">
    <xdr:from>
      <xdr:col>0</xdr:col>
      <xdr:colOff>353853</xdr:colOff>
      <xdr:row>200</xdr:row>
      <xdr:rowOff>62629</xdr:rowOff>
    </xdr:from>
    <xdr:to>
      <xdr:col>0</xdr:col>
      <xdr:colOff>2282666</xdr:colOff>
      <xdr:row>200</xdr:row>
      <xdr:rowOff>798435</xdr:rowOff>
    </xdr:to>
    <xdr:pic>
      <xdr:nvPicPr>
        <xdr:cNvPr id="401" name="Picture 400" descr="Insight Picture 400">
          <a:extLst>
            <a:ext uri="{FF2B5EF4-FFF2-40B4-BE49-F238E27FC236}">
              <a16:creationId xmlns:a16="http://schemas.microsoft.com/office/drawing/2014/main" id="{2C53BE92-F617-D90A-1013-BABA178B3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353853" y="177402889"/>
          <a:ext cx="1928813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253841</xdr:colOff>
      <xdr:row>201</xdr:row>
      <xdr:rowOff>62156</xdr:rowOff>
    </xdr:from>
    <xdr:to>
      <xdr:col>0</xdr:col>
      <xdr:colOff>2382679</xdr:colOff>
      <xdr:row>201</xdr:row>
      <xdr:rowOff>669375</xdr:rowOff>
    </xdr:to>
    <xdr:pic>
      <xdr:nvPicPr>
        <xdr:cNvPr id="403" name="Picture 402" descr="Insight Picture 402">
          <a:extLst>
            <a:ext uri="{FF2B5EF4-FFF2-40B4-BE49-F238E27FC236}">
              <a16:creationId xmlns:a16="http://schemas.microsoft.com/office/drawing/2014/main" id="{5E24B999-73EE-0F2F-1D9E-494FE53C5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253841" y="178263476"/>
          <a:ext cx="2128838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232410</xdr:colOff>
      <xdr:row>202</xdr:row>
      <xdr:rowOff>62151</xdr:rowOff>
    </xdr:from>
    <xdr:to>
      <xdr:col>0</xdr:col>
      <xdr:colOff>2404110</xdr:colOff>
      <xdr:row>202</xdr:row>
      <xdr:rowOff>669370</xdr:rowOff>
    </xdr:to>
    <xdr:pic>
      <xdr:nvPicPr>
        <xdr:cNvPr id="405" name="Picture 404" descr="Insight Picture 404">
          <a:extLst>
            <a:ext uri="{FF2B5EF4-FFF2-40B4-BE49-F238E27FC236}">
              <a16:creationId xmlns:a16="http://schemas.microsoft.com/office/drawing/2014/main" id="{98F63FFA-B4EC-55EB-45F3-70F88A5D5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232410" y="178994991"/>
          <a:ext cx="2171700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328851</xdr:colOff>
      <xdr:row>203</xdr:row>
      <xdr:rowOff>61203</xdr:rowOff>
    </xdr:from>
    <xdr:to>
      <xdr:col>0</xdr:col>
      <xdr:colOff>2307670</xdr:colOff>
      <xdr:row>203</xdr:row>
      <xdr:rowOff>639847</xdr:rowOff>
    </xdr:to>
    <xdr:pic>
      <xdr:nvPicPr>
        <xdr:cNvPr id="407" name="Picture 406" descr="Insight Picture 406">
          <a:extLst>
            <a:ext uri="{FF2B5EF4-FFF2-40B4-BE49-F238E27FC236}">
              <a16:creationId xmlns:a16="http://schemas.microsoft.com/office/drawing/2014/main" id="{D9C7F3FB-41CE-3AA6-C75A-03E57F692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328851" y="179725563"/>
          <a:ext cx="1978819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353853</xdr:colOff>
      <xdr:row>204</xdr:row>
      <xdr:rowOff>60251</xdr:rowOff>
    </xdr:from>
    <xdr:to>
      <xdr:col>0</xdr:col>
      <xdr:colOff>2282666</xdr:colOff>
      <xdr:row>204</xdr:row>
      <xdr:rowOff>838920</xdr:rowOff>
    </xdr:to>
    <xdr:pic>
      <xdr:nvPicPr>
        <xdr:cNvPr id="409" name="Picture 408" descr="Insight Picture 408">
          <a:extLst>
            <a:ext uri="{FF2B5EF4-FFF2-40B4-BE49-F238E27FC236}">
              <a16:creationId xmlns:a16="http://schemas.microsoft.com/office/drawing/2014/main" id="{C00BEA79-F205-3182-6602-4DFA9B311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353853" y="180425651"/>
          <a:ext cx="1928813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364569</xdr:colOff>
      <xdr:row>205</xdr:row>
      <xdr:rowOff>61203</xdr:rowOff>
    </xdr:from>
    <xdr:to>
      <xdr:col>0</xdr:col>
      <xdr:colOff>2271950</xdr:colOff>
      <xdr:row>205</xdr:row>
      <xdr:rowOff>868447</xdr:rowOff>
    </xdr:to>
    <xdr:pic>
      <xdr:nvPicPr>
        <xdr:cNvPr id="411" name="Picture 410" descr="Insight Picture 410">
          <a:extLst>
            <a:ext uri="{FF2B5EF4-FFF2-40B4-BE49-F238E27FC236}">
              <a16:creationId xmlns:a16="http://schemas.microsoft.com/office/drawing/2014/main" id="{E19A7046-9327-75C1-552B-18C96890F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364569" y="181325763"/>
          <a:ext cx="1907381" cy="807244"/>
        </a:xfrm>
        <a:prstGeom prst="rect">
          <a:avLst/>
        </a:prstGeom>
      </xdr:spPr>
    </xdr:pic>
    <xdr:clientData/>
  </xdr:twoCellAnchor>
  <xdr:twoCellAnchor editAs="oneCell">
    <xdr:from>
      <xdr:col>0</xdr:col>
      <xdr:colOff>461010</xdr:colOff>
      <xdr:row>206</xdr:row>
      <xdr:rowOff>60251</xdr:rowOff>
    </xdr:from>
    <xdr:to>
      <xdr:col>0</xdr:col>
      <xdr:colOff>2175510</xdr:colOff>
      <xdr:row>206</xdr:row>
      <xdr:rowOff>838920</xdr:rowOff>
    </xdr:to>
    <xdr:pic>
      <xdr:nvPicPr>
        <xdr:cNvPr id="413" name="Picture 412" descr="Insight Picture 412">
          <a:extLst>
            <a:ext uri="{FF2B5EF4-FFF2-40B4-BE49-F238E27FC236}">
              <a16:creationId xmlns:a16="http://schemas.microsoft.com/office/drawing/2014/main" id="{E332C0A6-0041-6C9B-1507-6E594421F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461010" y="182254451"/>
          <a:ext cx="1714500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364569</xdr:colOff>
      <xdr:row>207</xdr:row>
      <xdr:rowOff>61203</xdr:rowOff>
    </xdr:from>
    <xdr:to>
      <xdr:col>0</xdr:col>
      <xdr:colOff>2271950</xdr:colOff>
      <xdr:row>207</xdr:row>
      <xdr:rowOff>868447</xdr:rowOff>
    </xdr:to>
    <xdr:pic>
      <xdr:nvPicPr>
        <xdr:cNvPr id="415" name="Picture 414" descr="Insight Picture 414">
          <a:extLst>
            <a:ext uri="{FF2B5EF4-FFF2-40B4-BE49-F238E27FC236}">
              <a16:creationId xmlns:a16="http://schemas.microsoft.com/office/drawing/2014/main" id="{8F25486E-35CA-43C2-1F71-BD4E1801F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364569" y="183154563"/>
          <a:ext cx="1907381" cy="807244"/>
        </a:xfrm>
        <a:prstGeom prst="rect">
          <a:avLst/>
        </a:prstGeom>
      </xdr:spPr>
    </xdr:pic>
    <xdr:clientData/>
  </xdr:twoCellAnchor>
  <xdr:twoCellAnchor editAs="oneCell">
    <xdr:from>
      <xdr:col>0</xdr:col>
      <xdr:colOff>168116</xdr:colOff>
      <xdr:row>208</xdr:row>
      <xdr:rowOff>62632</xdr:rowOff>
    </xdr:from>
    <xdr:to>
      <xdr:col>0</xdr:col>
      <xdr:colOff>2468404</xdr:colOff>
      <xdr:row>208</xdr:row>
      <xdr:rowOff>798438</xdr:rowOff>
    </xdr:to>
    <xdr:pic>
      <xdr:nvPicPr>
        <xdr:cNvPr id="417" name="Picture 416" descr="Insight Picture 416">
          <a:extLst>
            <a:ext uri="{FF2B5EF4-FFF2-40B4-BE49-F238E27FC236}">
              <a16:creationId xmlns:a16="http://schemas.microsoft.com/office/drawing/2014/main" id="{2680F6CC-5428-F3CD-3D6B-E56C26C47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68116" y="184085632"/>
          <a:ext cx="2300288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364569</xdr:colOff>
      <xdr:row>209</xdr:row>
      <xdr:rowOff>62629</xdr:rowOff>
    </xdr:from>
    <xdr:to>
      <xdr:col>0</xdr:col>
      <xdr:colOff>2271950</xdr:colOff>
      <xdr:row>209</xdr:row>
      <xdr:rowOff>798435</xdr:rowOff>
    </xdr:to>
    <xdr:pic>
      <xdr:nvPicPr>
        <xdr:cNvPr id="419" name="Picture 418" descr="Insight Picture 418">
          <a:extLst>
            <a:ext uri="{FF2B5EF4-FFF2-40B4-BE49-F238E27FC236}">
              <a16:creationId xmlns:a16="http://schemas.microsoft.com/office/drawing/2014/main" id="{EC9E9E72-102F-528D-E43E-C4A7734E9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364569" y="184946689"/>
          <a:ext cx="1907381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364569</xdr:colOff>
      <xdr:row>210</xdr:row>
      <xdr:rowOff>62627</xdr:rowOff>
    </xdr:from>
    <xdr:to>
      <xdr:col>0</xdr:col>
      <xdr:colOff>2271950</xdr:colOff>
      <xdr:row>210</xdr:row>
      <xdr:rowOff>798433</xdr:rowOff>
    </xdr:to>
    <xdr:pic>
      <xdr:nvPicPr>
        <xdr:cNvPr id="421" name="Picture 420" descr="Insight Picture 420">
          <a:extLst>
            <a:ext uri="{FF2B5EF4-FFF2-40B4-BE49-F238E27FC236}">
              <a16:creationId xmlns:a16="http://schemas.microsoft.com/office/drawing/2014/main" id="{1CCE46E8-499B-8E3D-F73B-43EC8C3C1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364569" y="185807747"/>
          <a:ext cx="1907381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364569</xdr:colOff>
      <xdr:row>211</xdr:row>
      <xdr:rowOff>62624</xdr:rowOff>
    </xdr:from>
    <xdr:to>
      <xdr:col>0</xdr:col>
      <xdr:colOff>2271950</xdr:colOff>
      <xdr:row>211</xdr:row>
      <xdr:rowOff>798430</xdr:rowOff>
    </xdr:to>
    <xdr:pic>
      <xdr:nvPicPr>
        <xdr:cNvPr id="423" name="Picture 422" descr="Insight Picture 422">
          <a:extLst>
            <a:ext uri="{FF2B5EF4-FFF2-40B4-BE49-F238E27FC236}">
              <a16:creationId xmlns:a16="http://schemas.microsoft.com/office/drawing/2014/main" id="{87A9C82B-A0B2-B668-3960-E8E5BF5C7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364569" y="186668804"/>
          <a:ext cx="1907381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461010</xdr:colOff>
      <xdr:row>212</xdr:row>
      <xdr:rowOff>62622</xdr:rowOff>
    </xdr:from>
    <xdr:to>
      <xdr:col>0</xdr:col>
      <xdr:colOff>2175510</xdr:colOff>
      <xdr:row>212</xdr:row>
      <xdr:rowOff>798428</xdr:rowOff>
    </xdr:to>
    <xdr:pic>
      <xdr:nvPicPr>
        <xdr:cNvPr id="425" name="Picture 424" descr="Insight Picture 424">
          <a:extLst>
            <a:ext uri="{FF2B5EF4-FFF2-40B4-BE49-F238E27FC236}">
              <a16:creationId xmlns:a16="http://schemas.microsoft.com/office/drawing/2014/main" id="{35183AA2-FDB8-7633-FF3B-C0D5D313B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461010" y="187529862"/>
          <a:ext cx="1714500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253841</xdr:colOff>
      <xdr:row>213</xdr:row>
      <xdr:rowOff>62148</xdr:rowOff>
    </xdr:from>
    <xdr:to>
      <xdr:col>0</xdr:col>
      <xdr:colOff>2382679</xdr:colOff>
      <xdr:row>213</xdr:row>
      <xdr:rowOff>669367</xdr:rowOff>
    </xdr:to>
    <xdr:pic>
      <xdr:nvPicPr>
        <xdr:cNvPr id="427" name="Picture 426" descr="Insight Picture 426">
          <a:extLst>
            <a:ext uri="{FF2B5EF4-FFF2-40B4-BE49-F238E27FC236}">
              <a16:creationId xmlns:a16="http://schemas.microsoft.com/office/drawing/2014/main" id="{42B03A30-0229-162A-D0E5-4244186BC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253841" y="188390448"/>
          <a:ext cx="2128838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353853</xdr:colOff>
      <xdr:row>214</xdr:row>
      <xdr:rowOff>61201</xdr:rowOff>
    </xdr:from>
    <xdr:to>
      <xdr:col>0</xdr:col>
      <xdr:colOff>2282666</xdr:colOff>
      <xdr:row>214</xdr:row>
      <xdr:rowOff>639845</xdr:rowOff>
    </xdr:to>
    <xdr:pic>
      <xdr:nvPicPr>
        <xdr:cNvPr id="429" name="Picture 428" descr="Insight Picture 428">
          <a:extLst>
            <a:ext uri="{FF2B5EF4-FFF2-40B4-BE49-F238E27FC236}">
              <a16:creationId xmlns:a16="http://schemas.microsoft.com/office/drawing/2014/main" id="{353B8E83-C527-0C59-CE61-5138A4CD0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353853" y="189121021"/>
          <a:ext cx="1928813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364569</xdr:colOff>
      <xdr:row>215</xdr:row>
      <xdr:rowOff>63101</xdr:rowOff>
    </xdr:from>
    <xdr:to>
      <xdr:col>0</xdr:col>
      <xdr:colOff>2271950</xdr:colOff>
      <xdr:row>215</xdr:row>
      <xdr:rowOff>1041795</xdr:rowOff>
    </xdr:to>
    <xdr:pic>
      <xdr:nvPicPr>
        <xdr:cNvPr id="431" name="Picture 430" descr="Insight Picture 430">
          <a:extLst>
            <a:ext uri="{FF2B5EF4-FFF2-40B4-BE49-F238E27FC236}">
              <a16:creationId xmlns:a16="http://schemas.microsoft.com/office/drawing/2014/main" id="{D8F68852-5B79-599C-4DFE-AA9701D02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364569" y="189823961"/>
          <a:ext cx="1907381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364569</xdr:colOff>
      <xdr:row>216</xdr:row>
      <xdr:rowOff>61203</xdr:rowOff>
    </xdr:from>
    <xdr:to>
      <xdr:col>0</xdr:col>
      <xdr:colOff>2271950</xdr:colOff>
      <xdr:row>216</xdr:row>
      <xdr:rowOff>1097047</xdr:rowOff>
    </xdr:to>
    <xdr:pic>
      <xdr:nvPicPr>
        <xdr:cNvPr id="433" name="Picture 432" descr="Insight Picture 432">
          <a:extLst>
            <a:ext uri="{FF2B5EF4-FFF2-40B4-BE49-F238E27FC236}">
              <a16:creationId xmlns:a16="http://schemas.microsoft.com/office/drawing/2014/main" id="{EB5A01AB-EDD7-6821-CBF0-E0B3EDBA7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364569" y="190926963"/>
          <a:ext cx="1907381" cy="1035844"/>
        </a:xfrm>
        <a:prstGeom prst="rect">
          <a:avLst/>
        </a:prstGeom>
      </xdr:spPr>
    </xdr:pic>
    <xdr:clientData/>
  </xdr:twoCellAnchor>
  <xdr:twoCellAnchor editAs="oneCell">
    <xdr:from>
      <xdr:col>0</xdr:col>
      <xdr:colOff>278844</xdr:colOff>
      <xdr:row>217</xdr:row>
      <xdr:rowOff>60722</xdr:rowOff>
    </xdr:from>
    <xdr:to>
      <xdr:col>0</xdr:col>
      <xdr:colOff>2357675</xdr:colOff>
      <xdr:row>217</xdr:row>
      <xdr:rowOff>625078</xdr:rowOff>
    </xdr:to>
    <xdr:pic>
      <xdr:nvPicPr>
        <xdr:cNvPr id="435" name="Picture 434" descr="Insight Picture 434">
          <a:extLst>
            <a:ext uri="{FF2B5EF4-FFF2-40B4-BE49-F238E27FC236}">
              <a16:creationId xmlns:a16="http://schemas.microsoft.com/office/drawing/2014/main" id="{6FDE6AEE-7FE0-5AFE-88B5-0661431F9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278844" y="192084722"/>
          <a:ext cx="2078831" cy="564356"/>
        </a:xfrm>
        <a:prstGeom prst="rect">
          <a:avLst/>
        </a:prstGeom>
      </xdr:spPr>
    </xdr:pic>
    <xdr:clientData/>
  </xdr:twoCellAnchor>
  <xdr:twoCellAnchor editAs="oneCell">
    <xdr:from>
      <xdr:col>0</xdr:col>
      <xdr:colOff>364569</xdr:colOff>
      <xdr:row>218</xdr:row>
      <xdr:rowOff>61677</xdr:rowOff>
    </xdr:from>
    <xdr:to>
      <xdr:col>0</xdr:col>
      <xdr:colOff>2271950</xdr:colOff>
      <xdr:row>218</xdr:row>
      <xdr:rowOff>997508</xdr:rowOff>
    </xdr:to>
    <xdr:pic>
      <xdr:nvPicPr>
        <xdr:cNvPr id="437" name="Picture 436" descr="Insight Picture 436">
          <a:extLst>
            <a:ext uri="{FF2B5EF4-FFF2-40B4-BE49-F238E27FC236}">
              <a16:creationId xmlns:a16="http://schemas.microsoft.com/office/drawing/2014/main" id="{AF50E921-CAFB-636C-95A7-3C82DE0D5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364569" y="192771477"/>
          <a:ext cx="1907381" cy="935831"/>
        </a:xfrm>
        <a:prstGeom prst="rect">
          <a:avLst/>
        </a:prstGeom>
      </xdr:spPr>
    </xdr:pic>
    <xdr:clientData/>
  </xdr:twoCellAnchor>
  <xdr:twoCellAnchor editAs="oneCell">
    <xdr:from>
      <xdr:col>0</xdr:col>
      <xdr:colOff>253841</xdr:colOff>
      <xdr:row>219</xdr:row>
      <xdr:rowOff>60243</xdr:rowOff>
    </xdr:from>
    <xdr:to>
      <xdr:col>0</xdr:col>
      <xdr:colOff>2382679</xdr:colOff>
      <xdr:row>219</xdr:row>
      <xdr:rowOff>838912</xdr:rowOff>
    </xdr:to>
    <xdr:pic>
      <xdr:nvPicPr>
        <xdr:cNvPr id="439" name="Picture 438" descr="Insight Picture 438">
          <a:extLst>
            <a:ext uri="{FF2B5EF4-FFF2-40B4-BE49-F238E27FC236}">
              <a16:creationId xmlns:a16="http://schemas.microsoft.com/office/drawing/2014/main" id="{F2CD60C3-38A8-EA88-912B-8C740A074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253841" y="193829223"/>
          <a:ext cx="2128838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671750</xdr:colOff>
      <xdr:row>220</xdr:row>
      <xdr:rowOff>60241</xdr:rowOff>
    </xdr:from>
    <xdr:to>
      <xdr:col>0</xdr:col>
      <xdr:colOff>1964769</xdr:colOff>
      <xdr:row>220</xdr:row>
      <xdr:rowOff>724610</xdr:rowOff>
    </xdr:to>
    <xdr:pic>
      <xdr:nvPicPr>
        <xdr:cNvPr id="441" name="Picture 440" descr="Insight Picture 440">
          <a:extLst>
            <a:ext uri="{FF2B5EF4-FFF2-40B4-BE49-F238E27FC236}">
              <a16:creationId xmlns:a16="http://schemas.microsoft.com/office/drawing/2014/main" id="{5A9549A8-581B-C8DB-C7F1-B3A7AC5A7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671750" y="194728381"/>
          <a:ext cx="1293019" cy="664369"/>
        </a:xfrm>
        <a:prstGeom prst="rect">
          <a:avLst/>
        </a:prstGeom>
      </xdr:spPr>
    </xdr:pic>
    <xdr:clientData/>
  </xdr:twoCellAnchor>
  <xdr:twoCellAnchor editAs="oneCell">
    <xdr:from>
      <xdr:col>0</xdr:col>
      <xdr:colOff>439578</xdr:colOff>
      <xdr:row>221</xdr:row>
      <xdr:rowOff>60251</xdr:rowOff>
    </xdr:from>
    <xdr:to>
      <xdr:col>0</xdr:col>
      <xdr:colOff>2196941</xdr:colOff>
      <xdr:row>221</xdr:row>
      <xdr:rowOff>838920</xdr:rowOff>
    </xdr:to>
    <xdr:pic>
      <xdr:nvPicPr>
        <xdr:cNvPr id="443" name="Picture 442" descr="Insight Picture 442">
          <a:extLst>
            <a:ext uri="{FF2B5EF4-FFF2-40B4-BE49-F238E27FC236}">
              <a16:creationId xmlns:a16="http://schemas.microsoft.com/office/drawing/2014/main" id="{872C9CA4-3B98-1A7A-CEF3-BB9F0B02E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439578" y="195513251"/>
          <a:ext cx="1757363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328851</xdr:colOff>
      <xdr:row>222</xdr:row>
      <xdr:rowOff>63584</xdr:rowOff>
    </xdr:from>
    <xdr:to>
      <xdr:col>0</xdr:col>
      <xdr:colOff>2307670</xdr:colOff>
      <xdr:row>222</xdr:row>
      <xdr:rowOff>599365</xdr:rowOff>
    </xdr:to>
    <xdr:pic>
      <xdr:nvPicPr>
        <xdr:cNvPr id="445" name="Picture 444" descr="Insight Picture 444">
          <a:extLst>
            <a:ext uri="{FF2B5EF4-FFF2-40B4-BE49-F238E27FC236}">
              <a16:creationId xmlns:a16="http://schemas.microsoft.com/office/drawing/2014/main" id="{C3E45EA0-3063-6702-F3D0-3E908C90B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328851" y="196415744"/>
          <a:ext cx="1978819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621745</xdr:colOff>
      <xdr:row>223</xdr:row>
      <xdr:rowOff>63339</xdr:rowOff>
    </xdr:from>
    <xdr:to>
      <xdr:col>0</xdr:col>
      <xdr:colOff>2014776</xdr:colOff>
      <xdr:row>223</xdr:row>
      <xdr:rowOff>591977</xdr:rowOff>
    </xdr:to>
    <xdr:pic>
      <xdr:nvPicPr>
        <xdr:cNvPr id="447" name="Picture 446" descr="Insight Picture 446">
          <a:extLst>
            <a:ext uri="{FF2B5EF4-FFF2-40B4-BE49-F238E27FC236}">
              <a16:creationId xmlns:a16="http://schemas.microsoft.com/office/drawing/2014/main" id="{D3A14A0D-DDA8-02FE-16F9-91A1BDBB4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621745" y="197078439"/>
          <a:ext cx="1393031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353853</xdr:colOff>
      <xdr:row>224</xdr:row>
      <xdr:rowOff>60246</xdr:rowOff>
    </xdr:from>
    <xdr:to>
      <xdr:col>0</xdr:col>
      <xdr:colOff>2282666</xdr:colOff>
      <xdr:row>224</xdr:row>
      <xdr:rowOff>838915</xdr:rowOff>
    </xdr:to>
    <xdr:pic>
      <xdr:nvPicPr>
        <xdr:cNvPr id="449" name="Picture 448" descr="Insight Picture 448">
          <a:extLst>
            <a:ext uri="{FF2B5EF4-FFF2-40B4-BE49-F238E27FC236}">
              <a16:creationId xmlns:a16="http://schemas.microsoft.com/office/drawing/2014/main" id="{90607D66-9934-E0DE-27B9-53FDCEF84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353853" y="197730666"/>
          <a:ext cx="1928813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375285</xdr:colOff>
      <xdr:row>225</xdr:row>
      <xdr:rowOff>63579</xdr:rowOff>
    </xdr:from>
    <xdr:to>
      <xdr:col>0</xdr:col>
      <xdr:colOff>2261235</xdr:colOff>
      <xdr:row>225</xdr:row>
      <xdr:rowOff>599360</xdr:rowOff>
    </xdr:to>
    <xdr:pic>
      <xdr:nvPicPr>
        <xdr:cNvPr id="451" name="Picture 450" descr="Insight Picture 450">
          <a:extLst>
            <a:ext uri="{FF2B5EF4-FFF2-40B4-BE49-F238E27FC236}">
              <a16:creationId xmlns:a16="http://schemas.microsoft.com/office/drawing/2014/main" id="{7387F25E-57DD-E158-3040-0A296E3FA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375285" y="198633159"/>
          <a:ext cx="1885950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461010</xdr:colOff>
      <xdr:row>226</xdr:row>
      <xdr:rowOff>61672</xdr:rowOff>
    </xdr:from>
    <xdr:to>
      <xdr:col>0</xdr:col>
      <xdr:colOff>2175510</xdr:colOff>
      <xdr:row>226</xdr:row>
      <xdr:rowOff>997503</xdr:rowOff>
    </xdr:to>
    <xdr:pic>
      <xdr:nvPicPr>
        <xdr:cNvPr id="453" name="Picture 452" descr="Insight Picture 452">
          <a:extLst>
            <a:ext uri="{FF2B5EF4-FFF2-40B4-BE49-F238E27FC236}">
              <a16:creationId xmlns:a16="http://schemas.microsoft.com/office/drawing/2014/main" id="{6532B1FA-B4E7-5021-9F5D-69931B0E0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461010" y="199294192"/>
          <a:ext cx="1714500" cy="935831"/>
        </a:xfrm>
        <a:prstGeom prst="rect">
          <a:avLst/>
        </a:prstGeom>
      </xdr:spPr>
    </xdr:pic>
    <xdr:clientData/>
  </xdr:twoCellAnchor>
  <xdr:twoCellAnchor editAs="oneCell">
    <xdr:from>
      <xdr:col>0</xdr:col>
      <xdr:colOff>353853</xdr:colOff>
      <xdr:row>227</xdr:row>
      <xdr:rowOff>61441</xdr:rowOff>
    </xdr:from>
    <xdr:to>
      <xdr:col>0</xdr:col>
      <xdr:colOff>2282666</xdr:colOff>
      <xdr:row>227</xdr:row>
      <xdr:rowOff>761529</xdr:rowOff>
    </xdr:to>
    <xdr:pic>
      <xdr:nvPicPr>
        <xdr:cNvPr id="455" name="Picture 454" descr="Insight Picture 454">
          <a:extLst>
            <a:ext uri="{FF2B5EF4-FFF2-40B4-BE49-F238E27FC236}">
              <a16:creationId xmlns:a16="http://schemas.microsoft.com/office/drawing/2014/main" id="{F1D6C289-5C17-6CE6-102C-63CF92BE5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353853" y="200353141"/>
          <a:ext cx="1928813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325278</xdr:colOff>
      <xdr:row>228</xdr:row>
      <xdr:rowOff>62146</xdr:rowOff>
    </xdr:from>
    <xdr:to>
      <xdr:col>0</xdr:col>
      <xdr:colOff>2311241</xdr:colOff>
      <xdr:row>228</xdr:row>
      <xdr:rowOff>897965</xdr:rowOff>
    </xdr:to>
    <xdr:pic>
      <xdr:nvPicPr>
        <xdr:cNvPr id="457" name="Picture 456" descr="Insight Picture 456">
          <a:extLst>
            <a:ext uri="{FF2B5EF4-FFF2-40B4-BE49-F238E27FC236}">
              <a16:creationId xmlns:a16="http://schemas.microsoft.com/office/drawing/2014/main" id="{1D56A136-9514-64E7-7B7B-84B7F84F6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325278" y="201176806"/>
          <a:ext cx="1985963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253841</xdr:colOff>
      <xdr:row>229</xdr:row>
      <xdr:rowOff>63815</xdr:rowOff>
    </xdr:from>
    <xdr:to>
      <xdr:col>0</xdr:col>
      <xdr:colOff>2382679</xdr:colOff>
      <xdr:row>229</xdr:row>
      <xdr:rowOff>721040</xdr:rowOff>
    </xdr:to>
    <xdr:pic>
      <xdr:nvPicPr>
        <xdr:cNvPr id="459" name="Picture 458" descr="Insight Picture 458">
          <a:extLst>
            <a:ext uri="{FF2B5EF4-FFF2-40B4-BE49-F238E27FC236}">
              <a16:creationId xmlns:a16="http://schemas.microsoft.com/office/drawing/2014/main" id="{7F9AD658-DFEA-9B3D-4D02-FE9C11552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253841" y="202138595"/>
          <a:ext cx="2128838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364569</xdr:colOff>
      <xdr:row>230</xdr:row>
      <xdr:rowOff>63577</xdr:rowOff>
    </xdr:from>
    <xdr:to>
      <xdr:col>0</xdr:col>
      <xdr:colOff>2271950</xdr:colOff>
      <xdr:row>230</xdr:row>
      <xdr:rowOff>827958</xdr:rowOff>
    </xdr:to>
    <xdr:pic>
      <xdr:nvPicPr>
        <xdr:cNvPr id="461" name="Picture 460" descr="Insight Picture 460">
          <a:extLst>
            <a:ext uri="{FF2B5EF4-FFF2-40B4-BE49-F238E27FC236}">
              <a16:creationId xmlns:a16="http://schemas.microsoft.com/office/drawing/2014/main" id="{67605785-75FA-6D96-2FD1-A9B4765FF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364569" y="202923217"/>
          <a:ext cx="1907381" cy="764381"/>
        </a:xfrm>
        <a:prstGeom prst="rect">
          <a:avLst/>
        </a:prstGeom>
      </xdr:spPr>
    </xdr:pic>
    <xdr:clientData/>
  </xdr:twoCellAnchor>
  <xdr:twoCellAnchor editAs="oneCell">
    <xdr:from>
      <xdr:col>0</xdr:col>
      <xdr:colOff>278844</xdr:colOff>
      <xdr:row>231</xdr:row>
      <xdr:rowOff>60479</xdr:rowOff>
    </xdr:from>
    <xdr:to>
      <xdr:col>0</xdr:col>
      <xdr:colOff>2357675</xdr:colOff>
      <xdr:row>231</xdr:row>
      <xdr:rowOff>846292</xdr:rowOff>
    </xdr:to>
    <xdr:pic>
      <xdr:nvPicPr>
        <xdr:cNvPr id="463" name="Picture 462" descr="Insight Picture 462">
          <a:extLst>
            <a:ext uri="{FF2B5EF4-FFF2-40B4-BE49-F238E27FC236}">
              <a16:creationId xmlns:a16="http://schemas.microsoft.com/office/drawing/2014/main" id="{E4F11B3E-0F0B-FBEF-E0C5-1ECEA9FCB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278844" y="203811659"/>
          <a:ext cx="2078831" cy="785813"/>
        </a:xfrm>
        <a:prstGeom prst="rect">
          <a:avLst/>
        </a:prstGeom>
      </xdr:spPr>
    </xdr:pic>
    <xdr:clientData/>
  </xdr:twoCellAnchor>
  <xdr:twoCellAnchor editAs="oneCell">
    <xdr:from>
      <xdr:col>0</xdr:col>
      <xdr:colOff>253841</xdr:colOff>
      <xdr:row>232</xdr:row>
      <xdr:rowOff>63101</xdr:rowOff>
    </xdr:from>
    <xdr:to>
      <xdr:col>0</xdr:col>
      <xdr:colOff>2382679</xdr:colOff>
      <xdr:row>232</xdr:row>
      <xdr:rowOff>927495</xdr:rowOff>
    </xdr:to>
    <xdr:pic>
      <xdr:nvPicPr>
        <xdr:cNvPr id="465" name="Picture 464" descr="Insight Picture 464">
          <a:extLst>
            <a:ext uri="{FF2B5EF4-FFF2-40B4-BE49-F238E27FC236}">
              <a16:creationId xmlns:a16="http://schemas.microsoft.com/office/drawing/2014/main" id="{6C5E4D67-A33F-368F-7F1D-00B70A38C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253841" y="204721061"/>
          <a:ext cx="2128838" cy="864394"/>
        </a:xfrm>
        <a:prstGeom prst="rect">
          <a:avLst/>
        </a:prstGeom>
      </xdr:spPr>
    </xdr:pic>
    <xdr:clientData/>
  </xdr:twoCellAnchor>
  <xdr:twoCellAnchor editAs="oneCell">
    <xdr:from>
      <xdr:col>0</xdr:col>
      <xdr:colOff>461010</xdr:colOff>
      <xdr:row>233</xdr:row>
      <xdr:rowOff>61203</xdr:rowOff>
    </xdr:from>
    <xdr:to>
      <xdr:col>0</xdr:col>
      <xdr:colOff>2175510</xdr:colOff>
      <xdr:row>233</xdr:row>
      <xdr:rowOff>639847</xdr:rowOff>
    </xdr:to>
    <xdr:pic>
      <xdr:nvPicPr>
        <xdr:cNvPr id="467" name="Picture 466" descr="Insight Picture 466">
          <a:extLst>
            <a:ext uri="{FF2B5EF4-FFF2-40B4-BE49-F238E27FC236}">
              <a16:creationId xmlns:a16="http://schemas.microsoft.com/office/drawing/2014/main" id="{3859E7EA-A45C-F171-FAAB-29651C231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461010" y="205709763"/>
          <a:ext cx="1714500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218122</xdr:colOff>
      <xdr:row>234</xdr:row>
      <xdr:rowOff>61913</xdr:rowOff>
    </xdr:from>
    <xdr:to>
      <xdr:col>0</xdr:col>
      <xdr:colOff>2418397</xdr:colOff>
      <xdr:row>234</xdr:row>
      <xdr:rowOff>890588</xdr:rowOff>
    </xdr:to>
    <xdr:pic>
      <xdr:nvPicPr>
        <xdr:cNvPr id="469" name="Picture 468" descr="Insight Picture 468">
          <a:extLst>
            <a:ext uri="{FF2B5EF4-FFF2-40B4-BE49-F238E27FC236}">
              <a16:creationId xmlns:a16="http://schemas.microsoft.com/office/drawing/2014/main" id="{1873D1DA-CB30-EA7C-D9C9-F64C984C6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218122" y="206411513"/>
          <a:ext cx="2200275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461010</xdr:colOff>
      <xdr:row>235</xdr:row>
      <xdr:rowOff>61193</xdr:rowOff>
    </xdr:from>
    <xdr:to>
      <xdr:col>0</xdr:col>
      <xdr:colOff>2175510</xdr:colOff>
      <xdr:row>235</xdr:row>
      <xdr:rowOff>754137</xdr:rowOff>
    </xdr:to>
    <xdr:pic>
      <xdr:nvPicPr>
        <xdr:cNvPr id="471" name="Picture 470" descr="Insight Picture 470">
          <a:extLst>
            <a:ext uri="{FF2B5EF4-FFF2-40B4-BE49-F238E27FC236}">
              <a16:creationId xmlns:a16="http://schemas.microsoft.com/office/drawing/2014/main" id="{4D550A92-0D1C-B38C-0408-819563FDB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461010" y="207363293"/>
          <a:ext cx="1714500" cy="692944"/>
        </a:xfrm>
        <a:prstGeom prst="rect">
          <a:avLst/>
        </a:prstGeom>
      </xdr:spPr>
    </xdr:pic>
    <xdr:clientData/>
  </xdr:twoCellAnchor>
  <xdr:twoCellAnchor editAs="oneCell">
    <xdr:from>
      <xdr:col>0</xdr:col>
      <xdr:colOff>496728</xdr:colOff>
      <xdr:row>236</xdr:row>
      <xdr:rowOff>60241</xdr:rowOff>
    </xdr:from>
    <xdr:to>
      <xdr:col>0</xdr:col>
      <xdr:colOff>2139791</xdr:colOff>
      <xdr:row>236</xdr:row>
      <xdr:rowOff>838910</xdr:rowOff>
    </xdr:to>
    <xdr:pic>
      <xdr:nvPicPr>
        <xdr:cNvPr id="473" name="Picture 472" descr="Insight Picture 472">
          <a:extLst>
            <a:ext uri="{FF2B5EF4-FFF2-40B4-BE49-F238E27FC236}">
              <a16:creationId xmlns:a16="http://schemas.microsoft.com/office/drawing/2014/main" id="{A86D9408-74AB-6F16-BFEB-C7CC88125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496728" y="208177681"/>
          <a:ext cx="1643063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543163</xdr:colOff>
      <xdr:row>237</xdr:row>
      <xdr:rowOff>60251</xdr:rowOff>
    </xdr:from>
    <xdr:to>
      <xdr:col>0</xdr:col>
      <xdr:colOff>2093357</xdr:colOff>
      <xdr:row>237</xdr:row>
      <xdr:rowOff>838920</xdr:rowOff>
    </xdr:to>
    <xdr:pic>
      <xdr:nvPicPr>
        <xdr:cNvPr id="475" name="Picture 474" descr="Insight Picture 474">
          <a:extLst>
            <a:ext uri="{FF2B5EF4-FFF2-40B4-BE49-F238E27FC236}">
              <a16:creationId xmlns:a16="http://schemas.microsoft.com/office/drawing/2014/main" id="{42CA7A8B-2F99-CFC0-F7D1-EA28DDE53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543163" y="209076851"/>
          <a:ext cx="1550194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511016</xdr:colOff>
      <xdr:row>238</xdr:row>
      <xdr:rowOff>63336</xdr:rowOff>
    </xdr:from>
    <xdr:to>
      <xdr:col>0</xdr:col>
      <xdr:colOff>2125504</xdr:colOff>
      <xdr:row>238</xdr:row>
      <xdr:rowOff>706274</xdr:rowOff>
    </xdr:to>
    <xdr:pic>
      <xdr:nvPicPr>
        <xdr:cNvPr id="477" name="Picture 476" descr="Insight Picture 476">
          <a:extLst>
            <a:ext uri="{FF2B5EF4-FFF2-40B4-BE49-F238E27FC236}">
              <a16:creationId xmlns:a16="http://schemas.microsoft.com/office/drawing/2014/main" id="{AD04CF8B-E861-8374-7B1D-594F8ABE0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11016" y="209979096"/>
          <a:ext cx="1614488" cy="642938"/>
        </a:xfrm>
        <a:prstGeom prst="rect">
          <a:avLst/>
        </a:prstGeom>
      </xdr:spPr>
    </xdr:pic>
    <xdr:clientData/>
  </xdr:twoCellAnchor>
  <xdr:twoCellAnchor editAs="oneCell">
    <xdr:from>
      <xdr:col>0</xdr:col>
      <xdr:colOff>514588</xdr:colOff>
      <xdr:row>239</xdr:row>
      <xdr:rowOff>63108</xdr:rowOff>
    </xdr:from>
    <xdr:to>
      <xdr:col>0</xdr:col>
      <xdr:colOff>2121932</xdr:colOff>
      <xdr:row>239</xdr:row>
      <xdr:rowOff>584602</xdr:rowOff>
    </xdr:to>
    <xdr:pic>
      <xdr:nvPicPr>
        <xdr:cNvPr id="479" name="Picture 478" descr="Insight Picture 478">
          <a:extLst>
            <a:ext uri="{FF2B5EF4-FFF2-40B4-BE49-F238E27FC236}">
              <a16:creationId xmlns:a16="http://schemas.microsoft.com/office/drawing/2014/main" id="{29642673-3EA7-3BC7-E778-4EFB00B13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514588" y="210748488"/>
          <a:ext cx="1607344" cy="521494"/>
        </a:xfrm>
        <a:prstGeom prst="rect">
          <a:avLst/>
        </a:prstGeom>
      </xdr:spPr>
    </xdr:pic>
    <xdr:clientData/>
  </xdr:twoCellAnchor>
  <xdr:twoCellAnchor editAs="oneCell">
    <xdr:from>
      <xdr:col>0</xdr:col>
      <xdr:colOff>611028</xdr:colOff>
      <xdr:row>240</xdr:row>
      <xdr:rowOff>62141</xdr:rowOff>
    </xdr:from>
    <xdr:to>
      <xdr:col>0</xdr:col>
      <xdr:colOff>2025491</xdr:colOff>
      <xdr:row>240</xdr:row>
      <xdr:rowOff>669360</xdr:rowOff>
    </xdr:to>
    <xdr:pic>
      <xdr:nvPicPr>
        <xdr:cNvPr id="481" name="Picture 480" descr="Insight Picture 480">
          <a:extLst>
            <a:ext uri="{FF2B5EF4-FFF2-40B4-BE49-F238E27FC236}">
              <a16:creationId xmlns:a16="http://schemas.microsoft.com/office/drawing/2014/main" id="{55EA6C33-1E9F-0E09-BF24-51F4AE92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611028" y="211395221"/>
          <a:ext cx="1414463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335994</xdr:colOff>
      <xdr:row>241</xdr:row>
      <xdr:rowOff>62161</xdr:rowOff>
    </xdr:from>
    <xdr:to>
      <xdr:col>0</xdr:col>
      <xdr:colOff>2300525</xdr:colOff>
      <xdr:row>241</xdr:row>
      <xdr:rowOff>555080</xdr:rowOff>
    </xdr:to>
    <xdr:pic>
      <xdr:nvPicPr>
        <xdr:cNvPr id="483" name="Picture 482" descr="Insight Picture 482">
          <a:extLst>
            <a:ext uri="{FF2B5EF4-FFF2-40B4-BE49-F238E27FC236}">
              <a16:creationId xmlns:a16="http://schemas.microsoft.com/office/drawing/2014/main" id="{8BD92E3A-E1E7-8724-7459-07DB5C8E7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335994" y="212126761"/>
          <a:ext cx="1964531" cy="492919"/>
        </a:xfrm>
        <a:prstGeom prst="rect">
          <a:avLst/>
        </a:prstGeom>
      </xdr:spPr>
    </xdr:pic>
    <xdr:clientData/>
  </xdr:twoCellAnchor>
  <xdr:twoCellAnchor editAs="oneCell">
    <xdr:from>
      <xdr:col>0</xdr:col>
      <xdr:colOff>335994</xdr:colOff>
      <xdr:row>242</xdr:row>
      <xdr:rowOff>62156</xdr:rowOff>
    </xdr:from>
    <xdr:to>
      <xdr:col>0</xdr:col>
      <xdr:colOff>2300525</xdr:colOff>
      <xdr:row>242</xdr:row>
      <xdr:rowOff>555075</xdr:rowOff>
    </xdr:to>
    <xdr:pic>
      <xdr:nvPicPr>
        <xdr:cNvPr id="485" name="Picture 484" descr="Insight Picture 484">
          <a:extLst>
            <a:ext uri="{FF2B5EF4-FFF2-40B4-BE49-F238E27FC236}">
              <a16:creationId xmlns:a16="http://schemas.microsoft.com/office/drawing/2014/main" id="{3CA9B090-C3E5-DE0E-DA8E-B6E69D43D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335994" y="212743976"/>
          <a:ext cx="1964531" cy="492919"/>
        </a:xfrm>
        <a:prstGeom prst="rect">
          <a:avLst/>
        </a:prstGeom>
      </xdr:spPr>
    </xdr:pic>
    <xdr:clientData/>
  </xdr:twoCellAnchor>
  <xdr:twoCellAnchor editAs="oneCell">
    <xdr:from>
      <xdr:col>0</xdr:col>
      <xdr:colOff>464582</xdr:colOff>
      <xdr:row>243</xdr:row>
      <xdr:rowOff>63589</xdr:rowOff>
    </xdr:from>
    <xdr:to>
      <xdr:col>0</xdr:col>
      <xdr:colOff>2171938</xdr:colOff>
      <xdr:row>243</xdr:row>
      <xdr:rowOff>599370</xdr:rowOff>
    </xdr:to>
    <xdr:pic>
      <xdr:nvPicPr>
        <xdr:cNvPr id="487" name="Picture 486" descr="Insight Picture 486">
          <a:extLst>
            <a:ext uri="{FF2B5EF4-FFF2-40B4-BE49-F238E27FC236}">
              <a16:creationId xmlns:a16="http://schemas.microsoft.com/office/drawing/2014/main" id="{2AE16C68-CE68-CD7D-0F8A-5F73AADAF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464582" y="213362629"/>
          <a:ext cx="1707356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332422</xdr:colOff>
      <xdr:row>244</xdr:row>
      <xdr:rowOff>63579</xdr:rowOff>
    </xdr:from>
    <xdr:to>
      <xdr:col>0</xdr:col>
      <xdr:colOff>2304097</xdr:colOff>
      <xdr:row>244</xdr:row>
      <xdr:rowOff>599360</xdr:rowOff>
    </xdr:to>
    <xdr:pic>
      <xdr:nvPicPr>
        <xdr:cNvPr id="489" name="Picture 488" descr="Insight Picture 488">
          <a:extLst>
            <a:ext uri="{FF2B5EF4-FFF2-40B4-BE49-F238E27FC236}">
              <a16:creationId xmlns:a16="http://schemas.microsoft.com/office/drawing/2014/main" id="{485D84D5-60B8-82EB-7FB8-D5E52A2EF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332422" y="214025559"/>
          <a:ext cx="1971675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464582</xdr:colOff>
      <xdr:row>245</xdr:row>
      <xdr:rowOff>63569</xdr:rowOff>
    </xdr:from>
    <xdr:to>
      <xdr:col>0</xdr:col>
      <xdr:colOff>2171938</xdr:colOff>
      <xdr:row>245</xdr:row>
      <xdr:rowOff>599350</xdr:rowOff>
    </xdr:to>
    <xdr:pic>
      <xdr:nvPicPr>
        <xdr:cNvPr id="491" name="Picture 490" descr="Insight Picture 490">
          <a:extLst>
            <a:ext uri="{FF2B5EF4-FFF2-40B4-BE49-F238E27FC236}">
              <a16:creationId xmlns:a16="http://schemas.microsoft.com/office/drawing/2014/main" id="{0046B442-44C5-3075-69A1-FE9F6D69C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464582" y="214688489"/>
          <a:ext cx="1707356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353853</xdr:colOff>
      <xdr:row>246</xdr:row>
      <xdr:rowOff>63584</xdr:rowOff>
    </xdr:from>
    <xdr:to>
      <xdr:col>0</xdr:col>
      <xdr:colOff>2282666</xdr:colOff>
      <xdr:row>246</xdr:row>
      <xdr:rowOff>599365</xdr:rowOff>
    </xdr:to>
    <xdr:pic>
      <xdr:nvPicPr>
        <xdr:cNvPr id="493" name="Picture 492" descr="Insight Picture 492">
          <a:extLst>
            <a:ext uri="{FF2B5EF4-FFF2-40B4-BE49-F238E27FC236}">
              <a16:creationId xmlns:a16="http://schemas.microsoft.com/office/drawing/2014/main" id="{1EA0C6E6-E282-1F35-36BA-38A69889E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353853" y="215351444"/>
          <a:ext cx="1928813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643175</xdr:colOff>
      <xdr:row>247</xdr:row>
      <xdr:rowOff>60722</xdr:rowOff>
    </xdr:from>
    <xdr:to>
      <xdr:col>0</xdr:col>
      <xdr:colOff>1993344</xdr:colOff>
      <xdr:row>247</xdr:row>
      <xdr:rowOff>853678</xdr:rowOff>
    </xdr:to>
    <xdr:pic>
      <xdr:nvPicPr>
        <xdr:cNvPr id="495" name="Picture 494" descr="Insight Picture 494">
          <a:extLst>
            <a:ext uri="{FF2B5EF4-FFF2-40B4-BE49-F238E27FC236}">
              <a16:creationId xmlns:a16="http://schemas.microsoft.com/office/drawing/2014/main" id="{5E90645F-2814-11D5-118A-E3F031CD7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643175" y="216011522"/>
          <a:ext cx="1350169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411003</xdr:colOff>
      <xdr:row>248</xdr:row>
      <xdr:rowOff>61193</xdr:rowOff>
    </xdr:from>
    <xdr:to>
      <xdr:col>0</xdr:col>
      <xdr:colOff>2225516</xdr:colOff>
      <xdr:row>248</xdr:row>
      <xdr:rowOff>639837</xdr:rowOff>
    </xdr:to>
    <xdr:pic>
      <xdr:nvPicPr>
        <xdr:cNvPr id="497" name="Picture 496" descr="Insight Picture 496">
          <a:extLst>
            <a:ext uri="{FF2B5EF4-FFF2-40B4-BE49-F238E27FC236}">
              <a16:creationId xmlns:a16="http://schemas.microsoft.com/office/drawing/2014/main" id="{C65AEC9D-E0C9-6F2A-C828-100E04C90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411003" y="216926393"/>
          <a:ext cx="1814513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307419</xdr:colOff>
      <xdr:row>249</xdr:row>
      <xdr:rowOff>61208</xdr:rowOff>
    </xdr:from>
    <xdr:to>
      <xdr:col>0</xdr:col>
      <xdr:colOff>2329100</xdr:colOff>
      <xdr:row>249</xdr:row>
      <xdr:rowOff>639852</xdr:rowOff>
    </xdr:to>
    <xdr:pic>
      <xdr:nvPicPr>
        <xdr:cNvPr id="499" name="Picture 498" descr="Insight Picture 498">
          <a:extLst>
            <a:ext uri="{FF2B5EF4-FFF2-40B4-BE49-F238E27FC236}">
              <a16:creationId xmlns:a16="http://schemas.microsoft.com/office/drawing/2014/main" id="{3635E43E-E36E-804E-02BB-0A5DB36F5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307419" y="217627448"/>
          <a:ext cx="2021681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411003</xdr:colOff>
      <xdr:row>250</xdr:row>
      <xdr:rowOff>61198</xdr:rowOff>
    </xdr:from>
    <xdr:to>
      <xdr:col>0</xdr:col>
      <xdr:colOff>2225516</xdr:colOff>
      <xdr:row>250</xdr:row>
      <xdr:rowOff>639842</xdr:rowOff>
    </xdr:to>
    <xdr:pic>
      <xdr:nvPicPr>
        <xdr:cNvPr id="501" name="Picture 500" descr="Insight Picture 500">
          <a:extLst>
            <a:ext uri="{FF2B5EF4-FFF2-40B4-BE49-F238E27FC236}">
              <a16:creationId xmlns:a16="http://schemas.microsoft.com/office/drawing/2014/main" id="{8F06B502-5B37-92D6-1167-D21911409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411003" y="218328478"/>
          <a:ext cx="1814513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400288</xdr:colOff>
      <xdr:row>251</xdr:row>
      <xdr:rowOff>63818</xdr:rowOff>
    </xdr:from>
    <xdr:to>
      <xdr:col>0</xdr:col>
      <xdr:colOff>2236232</xdr:colOff>
      <xdr:row>251</xdr:row>
      <xdr:rowOff>721043</xdr:rowOff>
    </xdr:to>
    <xdr:pic>
      <xdr:nvPicPr>
        <xdr:cNvPr id="503" name="Picture 502" descr="Insight Picture 502">
          <a:extLst>
            <a:ext uri="{FF2B5EF4-FFF2-40B4-BE49-F238E27FC236}">
              <a16:creationId xmlns:a16="http://schemas.microsoft.com/office/drawing/2014/main" id="{278B27D2-AAC5-2494-D950-BA1D24AC8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400288" y="219032138"/>
          <a:ext cx="1835944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400288</xdr:colOff>
      <xdr:row>252</xdr:row>
      <xdr:rowOff>63827</xdr:rowOff>
    </xdr:from>
    <xdr:to>
      <xdr:col>0</xdr:col>
      <xdr:colOff>2236232</xdr:colOff>
      <xdr:row>252</xdr:row>
      <xdr:rowOff>721052</xdr:rowOff>
    </xdr:to>
    <xdr:pic>
      <xdr:nvPicPr>
        <xdr:cNvPr id="505" name="Picture 504" descr="Insight Picture 504">
          <a:extLst>
            <a:ext uri="{FF2B5EF4-FFF2-40B4-BE49-F238E27FC236}">
              <a16:creationId xmlns:a16="http://schemas.microsoft.com/office/drawing/2014/main" id="{EEB2146B-8170-BD1B-CC41-278B66495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400288" y="219817007"/>
          <a:ext cx="1835944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400288</xdr:colOff>
      <xdr:row>253</xdr:row>
      <xdr:rowOff>63813</xdr:rowOff>
    </xdr:from>
    <xdr:to>
      <xdr:col>0</xdr:col>
      <xdr:colOff>2236232</xdr:colOff>
      <xdr:row>253</xdr:row>
      <xdr:rowOff>721038</xdr:rowOff>
    </xdr:to>
    <xdr:pic>
      <xdr:nvPicPr>
        <xdr:cNvPr id="507" name="Picture 506" descr="Insight Picture 506">
          <a:extLst>
            <a:ext uri="{FF2B5EF4-FFF2-40B4-BE49-F238E27FC236}">
              <a16:creationId xmlns:a16="http://schemas.microsoft.com/office/drawing/2014/main" id="{BE12810E-4C92-623E-70BF-64C965F4C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400288" y="220601853"/>
          <a:ext cx="1835944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250269</xdr:colOff>
      <xdr:row>254</xdr:row>
      <xdr:rowOff>63822</xdr:rowOff>
    </xdr:from>
    <xdr:to>
      <xdr:col>0</xdr:col>
      <xdr:colOff>2386250</xdr:colOff>
      <xdr:row>254</xdr:row>
      <xdr:rowOff>721047</xdr:rowOff>
    </xdr:to>
    <xdr:pic>
      <xdr:nvPicPr>
        <xdr:cNvPr id="509" name="Picture 508" descr="Insight Picture 508">
          <a:extLst>
            <a:ext uri="{FF2B5EF4-FFF2-40B4-BE49-F238E27FC236}">
              <a16:creationId xmlns:a16="http://schemas.microsoft.com/office/drawing/2014/main" id="{C17F3829-5B1F-C3CE-C33D-97ADDE1BA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250269" y="221386722"/>
          <a:ext cx="2135981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250269</xdr:colOff>
      <xdr:row>255</xdr:row>
      <xdr:rowOff>63808</xdr:rowOff>
    </xdr:from>
    <xdr:to>
      <xdr:col>0</xdr:col>
      <xdr:colOff>2386250</xdr:colOff>
      <xdr:row>255</xdr:row>
      <xdr:rowOff>721033</xdr:rowOff>
    </xdr:to>
    <xdr:pic>
      <xdr:nvPicPr>
        <xdr:cNvPr id="511" name="Picture 510" descr="Insight Picture 510">
          <a:extLst>
            <a:ext uri="{FF2B5EF4-FFF2-40B4-BE49-F238E27FC236}">
              <a16:creationId xmlns:a16="http://schemas.microsoft.com/office/drawing/2014/main" id="{4E58C5A0-F7EB-94F3-C548-C55839D57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250269" y="222171568"/>
          <a:ext cx="2135981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253841</xdr:colOff>
      <xdr:row>256</xdr:row>
      <xdr:rowOff>63818</xdr:rowOff>
    </xdr:from>
    <xdr:to>
      <xdr:col>0</xdr:col>
      <xdr:colOff>2382679</xdr:colOff>
      <xdr:row>256</xdr:row>
      <xdr:rowOff>721043</xdr:rowOff>
    </xdr:to>
    <xdr:pic>
      <xdr:nvPicPr>
        <xdr:cNvPr id="513" name="Picture 512" descr="Insight Picture 512">
          <a:extLst>
            <a:ext uri="{FF2B5EF4-FFF2-40B4-BE49-F238E27FC236}">
              <a16:creationId xmlns:a16="http://schemas.microsoft.com/office/drawing/2014/main" id="{08503A4D-5147-BC92-5779-11A4ED0C1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253841" y="222956438"/>
          <a:ext cx="2128838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353853</xdr:colOff>
      <xdr:row>257</xdr:row>
      <xdr:rowOff>61446</xdr:rowOff>
    </xdr:from>
    <xdr:to>
      <xdr:col>0</xdr:col>
      <xdr:colOff>2282666</xdr:colOff>
      <xdr:row>257</xdr:row>
      <xdr:rowOff>761534</xdr:rowOff>
    </xdr:to>
    <xdr:pic>
      <xdr:nvPicPr>
        <xdr:cNvPr id="515" name="Picture 514" descr="Insight Picture 514">
          <a:extLst>
            <a:ext uri="{FF2B5EF4-FFF2-40B4-BE49-F238E27FC236}">
              <a16:creationId xmlns:a16="http://schemas.microsoft.com/office/drawing/2014/main" id="{5A08CBAA-94B3-EB06-9E2C-A36D53954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353853" y="223738926"/>
          <a:ext cx="1928813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253841</xdr:colOff>
      <xdr:row>258</xdr:row>
      <xdr:rowOff>63813</xdr:rowOff>
    </xdr:from>
    <xdr:to>
      <xdr:col>0</xdr:col>
      <xdr:colOff>2382679</xdr:colOff>
      <xdr:row>258</xdr:row>
      <xdr:rowOff>721038</xdr:rowOff>
    </xdr:to>
    <xdr:pic>
      <xdr:nvPicPr>
        <xdr:cNvPr id="517" name="Picture 516" descr="Insight Picture 516">
          <a:extLst>
            <a:ext uri="{FF2B5EF4-FFF2-40B4-BE49-F238E27FC236}">
              <a16:creationId xmlns:a16="http://schemas.microsoft.com/office/drawing/2014/main" id="{590E9979-C57D-3B8B-371C-B5AA157F5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253841" y="224564253"/>
          <a:ext cx="2128838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353853</xdr:colOff>
      <xdr:row>259</xdr:row>
      <xdr:rowOff>61441</xdr:rowOff>
    </xdr:from>
    <xdr:to>
      <xdr:col>0</xdr:col>
      <xdr:colOff>2282666</xdr:colOff>
      <xdr:row>259</xdr:row>
      <xdr:rowOff>761529</xdr:rowOff>
    </xdr:to>
    <xdr:pic>
      <xdr:nvPicPr>
        <xdr:cNvPr id="519" name="Picture 518" descr="Insight Picture 518">
          <a:extLst>
            <a:ext uri="{FF2B5EF4-FFF2-40B4-BE49-F238E27FC236}">
              <a16:creationId xmlns:a16="http://schemas.microsoft.com/office/drawing/2014/main" id="{C51A9B82-84EE-903A-1799-309B3A768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353853" y="225346741"/>
          <a:ext cx="1928813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550307</xdr:colOff>
      <xdr:row>260</xdr:row>
      <xdr:rowOff>60236</xdr:rowOff>
    </xdr:from>
    <xdr:to>
      <xdr:col>0</xdr:col>
      <xdr:colOff>2086213</xdr:colOff>
      <xdr:row>260</xdr:row>
      <xdr:rowOff>496005</xdr:rowOff>
    </xdr:to>
    <xdr:pic>
      <xdr:nvPicPr>
        <xdr:cNvPr id="521" name="Picture 520" descr="Insight Picture 520">
          <a:extLst>
            <a:ext uri="{FF2B5EF4-FFF2-40B4-BE49-F238E27FC236}">
              <a16:creationId xmlns:a16="http://schemas.microsoft.com/office/drawing/2014/main" id="{2098EA71-F8BE-7B81-EA25-FDB3EE5D5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550307" y="226168496"/>
          <a:ext cx="1535906" cy="435769"/>
        </a:xfrm>
        <a:prstGeom prst="rect">
          <a:avLst/>
        </a:prstGeom>
      </xdr:spPr>
    </xdr:pic>
    <xdr:clientData/>
  </xdr:twoCellAnchor>
  <xdr:twoCellAnchor editAs="oneCell">
    <xdr:from>
      <xdr:col>0</xdr:col>
      <xdr:colOff>482441</xdr:colOff>
      <xdr:row>261</xdr:row>
      <xdr:rowOff>61188</xdr:rowOff>
    </xdr:from>
    <xdr:to>
      <xdr:col>0</xdr:col>
      <xdr:colOff>2154079</xdr:colOff>
      <xdr:row>261</xdr:row>
      <xdr:rowOff>639832</xdr:rowOff>
    </xdr:to>
    <xdr:pic>
      <xdr:nvPicPr>
        <xdr:cNvPr id="523" name="Picture 522" descr="Insight Picture 522">
          <a:extLst>
            <a:ext uri="{FF2B5EF4-FFF2-40B4-BE49-F238E27FC236}">
              <a16:creationId xmlns:a16="http://schemas.microsoft.com/office/drawing/2014/main" id="{B9F5466A-70D6-2177-0CAD-702D94737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482441" y="226725708"/>
          <a:ext cx="1671638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396716</xdr:colOff>
      <xdr:row>262</xdr:row>
      <xdr:rowOff>61203</xdr:rowOff>
    </xdr:from>
    <xdr:to>
      <xdr:col>0</xdr:col>
      <xdr:colOff>2239804</xdr:colOff>
      <xdr:row>262</xdr:row>
      <xdr:rowOff>639847</xdr:rowOff>
    </xdr:to>
    <xdr:pic>
      <xdr:nvPicPr>
        <xdr:cNvPr id="525" name="Picture 524" descr="Insight Picture 524">
          <a:extLst>
            <a:ext uri="{FF2B5EF4-FFF2-40B4-BE49-F238E27FC236}">
              <a16:creationId xmlns:a16="http://schemas.microsoft.com/office/drawing/2014/main" id="{621BB079-5587-719A-CB19-AFA620F49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396716" y="227426763"/>
          <a:ext cx="1843088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400288</xdr:colOff>
      <xdr:row>263</xdr:row>
      <xdr:rowOff>62384</xdr:rowOff>
    </xdr:from>
    <xdr:to>
      <xdr:col>0</xdr:col>
      <xdr:colOff>2236232</xdr:colOff>
      <xdr:row>263</xdr:row>
      <xdr:rowOff>676747</xdr:rowOff>
    </xdr:to>
    <xdr:pic>
      <xdr:nvPicPr>
        <xdr:cNvPr id="527" name="Picture 526" descr="Insight Picture 526">
          <a:extLst>
            <a:ext uri="{FF2B5EF4-FFF2-40B4-BE49-F238E27FC236}">
              <a16:creationId xmlns:a16="http://schemas.microsoft.com/office/drawing/2014/main" id="{521C87BC-DD28-446A-56E5-A803D455F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400288" y="228128984"/>
          <a:ext cx="1835944" cy="614363"/>
        </a:xfrm>
        <a:prstGeom prst="rect">
          <a:avLst/>
        </a:prstGeom>
      </xdr:spPr>
    </xdr:pic>
    <xdr:clientData/>
  </xdr:twoCellAnchor>
  <xdr:twoCellAnchor editAs="oneCell">
    <xdr:from>
      <xdr:col>0</xdr:col>
      <xdr:colOff>364569</xdr:colOff>
      <xdr:row>264</xdr:row>
      <xdr:rowOff>63589</xdr:rowOff>
    </xdr:from>
    <xdr:to>
      <xdr:col>0</xdr:col>
      <xdr:colOff>2271950</xdr:colOff>
      <xdr:row>264</xdr:row>
      <xdr:rowOff>599370</xdr:rowOff>
    </xdr:to>
    <xdr:pic>
      <xdr:nvPicPr>
        <xdr:cNvPr id="529" name="Picture 528" descr="Insight Picture 528">
          <a:extLst>
            <a:ext uri="{FF2B5EF4-FFF2-40B4-BE49-F238E27FC236}">
              <a16:creationId xmlns:a16="http://schemas.microsoft.com/office/drawing/2014/main" id="{89EA6FB6-8126-2834-628F-C3BDC9D0D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364569" y="228869329"/>
          <a:ext cx="1907381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318135</xdr:colOff>
      <xdr:row>265</xdr:row>
      <xdr:rowOff>62389</xdr:rowOff>
    </xdr:from>
    <xdr:to>
      <xdr:col>0</xdr:col>
      <xdr:colOff>2318385</xdr:colOff>
      <xdr:row>265</xdr:row>
      <xdr:rowOff>676752</xdr:rowOff>
    </xdr:to>
    <xdr:pic>
      <xdr:nvPicPr>
        <xdr:cNvPr id="531" name="Picture 530" descr="Insight Picture 530">
          <a:extLst>
            <a:ext uri="{FF2B5EF4-FFF2-40B4-BE49-F238E27FC236}">
              <a16:creationId xmlns:a16="http://schemas.microsoft.com/office/drawing/2014/main" id="{B2467A03-6B3C-53C6-7534-EC8FD8330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318135" y="229531069"/>
          <a:ext cx="2000250" cy="614363"/>
        </a:xfrm>
        <a:prstGeom prst="rect">
          <a:avLst/>
        </a:prstGeom>
      </xdr:spPr>
    </xdr:pic>
    <xdr:clientData/>
  </xdr:twoCellAnchor>
  <xdr:twoCellAnchor editAs="oneCell">
    <xdr:from>
      <xdr:col>0</xdr:col>
      <xdr:colOff>446722</xdr:colOff>
      <xdr:row>266</xdr:row>
      <xdr:rowOff>61188</xdr:rowOff>
    </xdr:from>
    <xdr:to>
      <xdr:col>0</xdr:col>
      <xdr:colOff>2189797</xdr:colOff>
      <xdr:row>266</xdr:row>
      <xdr:rowOff>639832</xdr:rowOff>
    </xdr:to>
    <xdr:pic>
      <xdr:nvPicPr>
        <xdr:cNvPr id="533" name="Picture 532" descr="Insight Picture 532">
          <a:extLst>
            <a:ext uri="{FF2B5EF4-FFF2-40B4-BE49-F238E27FC236}">
              <a16:creationId xmlns:a16="http://schemas.microsoft.com/office/drawing/2014/main" id="{4800E033-90F9-19C7-295E-EDC94B1D1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446722" y="230269008"/>
          <a:ext cx="1743075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411003</xdr:colOff>
      <xdr:row>267</xdr:row>
      <xdr:rowOff>61203</xdr:rowOff>
    </xdr:from>
    <xdr:to>
      <xdr:col>0</xdr:col>
      <xdr:colOff>2225516</xdr:colOff>
      <xdr:row>267</xdr:row>
      <xdr:rowOff>639847</xdr:rowOff>
    </xdr:to>
    <xdr:pic>
      <xdr:nvPicPr>
        <xdr:cNvPr id="535" name="Picture 534" descr="Insight Picture 534">
          <a:extLst>
            <a:ext uri="{FF2B5EF4-FFF2-40B4-BE49-F238E27FC236}">
              <a16:creationId xmlns:a16="http://schemas.microsoft.com/office/drawing/2014/main" id="{7FFDA84B-1245-6BC0-38D5-88EEDB9C9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411003" y="230970063"/>
          <a:ext cx="1814513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461010</xdr:colOff>
      <xdr:row>268</xdr:row>
      <xdr:rowOff>61193</xdr:rowOff>
    </xdr:from>
    <xdr:to>
      <xdr:col>0</xdr:col>
      <xdr:colOff>2175510</xdr:colOff>
      <xdr:row>268</xdr:row>
      <xdr:rowOff>639837</xdr:rowOff>
    </xdr:to>
    <xdr:pic>
      <xdr:nvPicPr>
        <xdr:cNvPr id="537" name="Picture 536" descr="Insight Picture 536">
          <a:extLst>
            <a:ext uri="{FF2B5EF4-FFF2-40B4-BE49-F238E27FC236}">
              <a16:creationId xmlns:a16="http://schemas.microsoft.com/office/drawing/2014/main" id="{C53E6977-6164-A2EB-69A2-19BE9933D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461010" y="231671093"/>
          <a:ext cx="1714500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439578</xdr:colOff>
      <xdr:row>269</xdr:row>
      <xdr:rowOff>61208</xdr:rowOff>
    </xdr:from>
    <xdr:to>
      <xdr:col>0</xdr:col>
      <xdr:colOff>2196941</xdr:colOff>
      <xdr:row>269</xdr:row>
      <xdr:rowOff>639852</xdr:rowOff>
    </xdr:to>
    <xdr:pic>
      <xdr:nvPicPr>
        <xdr:cNvPr id="539" name="Picture 538" descr="Insight Picture 538">
          <a:extLst>
            <a:ext uri="{FF2B5EF4-FFF2-40B4-BE49-F238E27FC236}">
              <a16:creationId xmlns:a16="http://schemas.microsoft.com/office/drawing/2014/main" id="{C870D342-A863-3F40-298D-0039DB2A8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439578" y="232372148"/>
          <a:ext cx="1757363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143113</xdr:colOff>
      <xdr:row>270</xdr:row>
      <xdr:rowOff>63827</xdr:rowOff>
    </xdr:from>
    <xdr:to>
      <xdr:col>0</xdr:col>
      <xdr:colOff>2493407</xdr:colOff>
      <xdr:row>270</xdr:row>
      <xdr:rowOff>721052</xdr:rowOff>
    </xdr:to>
    <xdr:pic>
      <xdr:nvPicPr>
        <xdr:cNvPr id="541" name="Picture 540" descr="Insight Picture 540">
          <a:extLst>
            <a:ext uri="{FF2B5EF4-FFF2-40B4-BE49-F238E27FC236}">
              <a16:creationId xmlns:a16="http://schemas.microsoft.com/office/drawing/2014/main" id="{9E6FA563-3DC7-F733-21F1-906082E42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43113" y="233075807"/>
          <a:ext cx="2350294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150257</xdr:colOff>
      <xdr:row>271</xdr:row>
      <xdr:rowOff>62399</xdr:rowOff>
    </xdr:from>
    <xdr:to>
      <xdr:col>0</xdr:col>
      <xdr:colOff>2486263</xdr:colOff>
      <xdr:row>271</xdr:row>
      <xdr:rowOff>676762</xdr:rowOff>
    </xdr:to>
    <xdr:pic>
      <xdr:nvPicPr>
        <xdr:cNvPr id="543" name="Picture 542" descr="Insight Picture 542">
          <a:extLst>
            <a:ext uri="{FF2B5EF4-FFF2-40B4-BE49-F238E27FC236}">
              <a16:creationId xmlns:a16="http://schemas.microsoft.com/office/drawing/2014/main" id="{A1C6BE14-969F-A989-762F-747332ACB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50257" y="233859239"/>
          <a:ext cx="2336006" cy="614363"/>
        </a:xfrm>
        <a:prstGeom prst="rect">
          <a:avLst/>
        </a:prstGeom>
      </xdr:spPr>
    </xdr:pic>
    <xdr:clientData/>
  </xdr:twoCellAnchor>
  <xdr:twoCellAnchor editAs="oneCell">
    <xdr:from>
      <xdr:col>0</xdr:col>
      <xdr:colOff>221694</xdr:colOff>
      <xdr:row>272</xdr:row>
      <xdr:rowOff>62141</xdr:rowOff>
    </xdr:from>
    <xdr:to>
      <xdr:col>0</xdr:col>
      <xdr:colOff>2414825</xdr:colOff>
      <xdr:row>272</xdr:row>
      <xdr:rowOff>897960</xdr:rowOff>
    </xdr:to>
    <xdr:pic>
      <xdr:nvPicPr>
        <xdr:cNvPr id="545" name="Picture 544" descr="Insight Picture 544">
          <a:extLst>
            <a:ext uri="{FF2B5EF4-FFF2-40B4-BE49-F238E27FC236}">
              <a16:creationId xmlns:a16="http://schemas.microsoft.com/office/drawing/2014/main" id="{B93989D0-E832-4F94-F059-3DE1263C1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221694" y="234598121"/>
          <a:ext cx="2193131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536020</xdr:colOff>
      <xdr:row>273</xdr:row>
      <xdr:rowOff>63574</xdr:rowOff>
    </xdr:from>
    <xdr:to>
      <xdr:col>0</xdr:col>
      <xdr:colOff>2100501</xdr:colOff>
      <xdr:row>273</xdr:row>
      <xdr:rowOff>827955</xdr:rowOff>
    </xdr:to>
    <xdr:pic>
      <xdr:nvPicPr>
        <xdr:cNvPr id="547" name="Picture 546" descr="Insight Picture 546">
          <a:extLst>
            <a:ext uri="{FF2B5EF4-FFF2-40B4-BE49-F238E27FC236}">
              <a16:creationId xmlns:a16="http://schemas.microsoft.com/office/drawing/2014/main" id="{47B8936C-25CB-8D53-A6CF-8B53FC407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536020" y="235559674"/>
          <a:ext cx="1564481" cy="764381"/>
        </a:xfrm>
        <a:prstGeom prst="rect">
          <a:avLst/>
        </a:prstGeom>
      </xdr:spPr>
    </xdr:pic>
    <xdr:clientData/>
  </xdr:twoCellAnchor>
  <xdr:twoCellAnchor editAs="oneCell">
    <xdr:from>
      <xdr:col>0</xdr:col>
      <xdr:colOff>364569</xdr:colOff>
      <xdr:row>274</xdr:row>
      <xdr:rowOff>63589</xdr:rowOff>
    </xdr:from>
    <xdr:to>
      <xdr:col>0</xdr:col>
      <xdr:colOff>2271950</xdr:colOff>
      <xdr:row>274</xdr:row>
      <xdr:rowOff>827970</xdr:rowOff>
    </xdr:to>
    <xdr:pic>
      <xdr:nvPicPr>
        <xdr:cNvPr id="549" name="Picture 548" descr="Insight Picture 548">
          <a:extLst>
            <a:ext uri="{FF2B5EF4-FFF2-40B4-BE49-F238E27FC236}">
              <a16:creationId xmlns:a16="http://schemas.microsoft.com/office/drawing/2014/main" id="{F7E6FDC6-D7F1-CAA0-FCDA-33E42CD39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364569" y="236451229"/>
          <a:ext cx="1907381" cy="764381"/>
        </a:xfrm>
        <a:prstGeom prst="rect">
          <a:avLst/>
        </a:prstGeom>
      </xdr:spPr>
    </xdr:pic>
    <xdr:clientData/>
  </xdr:twoCellAnchor>
  <xdr:twoCellAnchor editAs="oneCell">
    <xdr:from>
      <xdr:col>0</xdr:col>
      <xdr:colOff>350282</xdr:colOff>
      <xdr:row>275</xdr:row>
      <xdr:rowOff>62637</xdr:rowOff>
    </xdr:from>
    <xdr:to>
      <xdr:col>0</xdr:col>
      <xdr:colOff>2286238</xdr:colOff>
      <xdr:row>275</xdr:row>
      <xdr:rowOff>798443</xdr:rowOff>
    </xdr:to>
    <xdr:pic>
      <xdr:nvPicPr>
        <xdr:cNvPr id="551" name="Picture 550" descr="Insight Picture 550">
          <a:extLst>
            <a:ext uri="{FF2B5EF4-FFF2-40B4-BE49-F238E27FC236}">
              <a16:creationId xmlns:a16="http://schemas.microsoft.com/office/drawing/2014/main" id="{3A6935B6-28E6-B7CC-88ED-3D48EEED4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350282" y="237341817"/>
          <a:ext cx="1935956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343138</xdr:colOff>
      <xdr:row>276</xdr:row>
      <xdr:rowOff>62151</xdr:rowOff>
    </xdr:from>
    <xdr:to>
      <xdr:col>0</xdr:col>
      <xdr:colOff>2293382</xdr:colOff>
      <xdr:row>276</xdr:row>
      <xdr:rowOff>669370</xdr:rowOff>
    </xdr:to>
    <xdr:pic>
      <xdr:nvPicPr>
        <xdr:cNvPr id="553" name="Picture 552" descr="Insight Picture 552">
          <a:extLst>
            <a:ext uri="{FF2B5EF4-FFF2-40B4-BE49-F238E27FC236}">
              <a16:creationId xmlns:a16="http://schemas.microsoft.com/office/drawing/2014/main" id="{6AB846FD-5A63-6575-AC01-1B9CC8EC0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343138" y="238202391"/>
          <a:ext cx="1950244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157401</xdr:colOff>
      <xdr:row>277</xdr:row>
      <xdr:rowOff>62394</xdr:rowOff>
    </xdr:from>
    <xdr:to>
      <xdr:col>0</xdr:col>
      <xdr:colOff>2479120</xdr:colOff>
      <xdr:row>277</xdr:row>
      <xdr:rowOff>1019657</xdr:rowOff>
    </xdr:to>
    <xdr:pic>
      <xdr:nvPicPr>
        <xdr:cNvPr id="555" name="Picture 554" descr="Insight Picture 554">
          <a:extLst>
            <a:ext uri="{FF2B5EF4-FFF2-40B4-BE49-F238E27FC236}">
              <a16:creationId xmlns:a16="http://schemas.microsoft.com/office/drawing/2014/main" id="{172F59A6-7D07-50B9-A1AB-269A6D6DB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57401" y="238934154"/>
          <a:ext cx="2321719" cy="957263"/>
        </a:xfrm>
        <a:prstGeom prst="rect">
          <a:avLst/>
        </a:prstGeom>
      </xdr:spPr>
    </xdr:pic>
    <xdr:clientData/>
  </xdr:twoCellAnchor>
  <xdr:twoCellAnchor editAs="oneCell">
    <xdr:from>
      <xdr:col>0</xdr:col>
      <xdr:colOff>343138</xdr:colOff>
      <xdr:row>278</xdr:row>
      <xdr:rowOff>60722</xdr:rowOff>
    </xdr:from>
    <xdr:to>
      <xdr:col>0</xdr:col>
      <xdr:colOff>2293382</xdr:colOff>
      <xdr:row>278</xdr:row>
      <xdr:rowOff>625078</xdr:rowOff>
    </xdr:to>
    <xdr:pic>
      <xdr:nvPicPr>
        <xdr:cNvPr id="557" name="Picture 556" descr="Insight Picture 556">
          <a:extLst>
            <a:ext uri="{FF2B5EF4-FFF2-40B4-BE49-F238E27FC236}">
              <a16:creationId xmlns:a16="http://schemas.microsoft.com/office/drawing/2014/main" id="{B007FA02-956A-1F6C-FEE8-9B6A71A3E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343138" y="240014522"/>
          <a:ext cx="1950244" cy="564356"/>
        </a:xfrm>
        <a:prstGeom prst="rect">
          <a:avLst/>
        </a:prstGeom>
      </xdr:spPr>
    </xdr:pic>
    <xdr:clientData/>
  </xdr:twoCellAnchor>
  <xdr:twoCellAnchor editAs="oneCell">
    <xdr:from>
      <xdr:col>0</xdr:col>
      <xdr:colOff>200263</xdr:colOff>
      <xdr:row>279</xdr:row>
      <xdr:rowOff>62632</xdr:rowOff>
    </xdr:from>
    <xdr:to>
      <xdr:col>0</xdr:col>
      <xdr:colOff>2436257</xdr:colOff>
      <xdr:row>279</xdr:row>
      <xdr:rowOff>798438</xdr:rowOff>
    </xdr:to>
    <xdr:pic>
      <xdr:nvPicPr>
        <xdr:cNvPr id="559" name="Picture 558" descr="Insight Picture 558">
          <a:extLst>
            <a:ext uri="{FF2B5EF4-FFF2-40B4-BE49-F238E27FC236}">
              <a16:creationId xmlns:a16="http://schemas.microsoft.com/office/drawing/2014/main" id="{4C7C760D-408C-EF3A-68CD-8CE5815EE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200263" y="240702232"/>
          <a:ext cx="2235994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289560</xdr:colOff>
      <xdr:row>280</xdr:row>
      <xdr:rowOff>62617</xdr:rowOff>
    </xdr:from>
    <xdr:to>
      <xdr:col>0</xdr:col>
      <xdr:colOff>2346960</xdr:colOff>
      <xdr:row>280</xdr:row>
      <xdr:rowOff>798423</xdr:rowOff>
    </xdr:to>
    <xdr:pic>
      <xdr:nvPicPr>
        <xdr:cNvPr id="561" name="Picture 560" descr="Insight Picture 560">
          <a:extLst>
            <a:ext uri="{FF2B5EF4-FFF2-40B4-BE49-F238E27FC236}">
              <a16:creationId xmlns:a16="http://schemas.microsoft.com/office/drawing/2014/main" id="{8FA6F823-F8F3-3EA4-8ABF-EC33EFD10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289560" y="241563277"/>
          <a:ext cx="2057400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728900</xdr:colOff>
      <xdr:row>281</xdr:row>
      <xdr:rowOff>61908</xdr:rowOff>
    </xdr:from>
    <xdr:to>
      <xdr:col>0</xdr:col>
      <xdr:colOff>1907619</xdr:colOff>
      <xdr:row>281</xdr:row>
      <xdr:rowOff>661983</xdr:rowOff>
    </xdr:to>
    <xdr:pic>
      <xdr:nvPicPr>
        <xdr:cNvPr id="563" name="Picture 562" descr="Insight Picture 562">
          <a:extLst>
            <a:ext uri="{FF2B5EF4-FFF2-40B4-BE49-F238E27FC236}">
              <a16:creationId xmlns:a16="http://schemas.microsoft.com/office/drawing/2014/main" id="{2B730D79-848C-348E-E40A-9F382C864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728900" y="242423628"/>
          <a:ext cx="1178719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693182</xdr:colOff>
      <xdr:row>282</xdr:row>
      <xdr:rowOff>63346</xdr:rowOff>
    </xdr:from>
    <xdr:to>
      <xdr:col>0</xdr:col>
      <xdr:colOff>1943338</xdr:colOff>
      <xdr:row>282</xdr:row>
      <xdr:rowOff>591984</xdr:rowOff>
    </xdr:to>
    <xdr:pic>
      <xdr:nvPicPr>
        <xdr:cNvPr id="565" name="Picture 564" descr="Insight Picture 564">
          <a:extLst>
            <a:ext uri="{FF2B5EF4-FFF2-40B4-BE49-F238E27FC236}">
              <a16:creationId xmlns:a16="http://schemas.microsoft.com/office/drawing/2014/main" id="{E1D1DAFF-CD46-54E6-23C5-7CE8B9A21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693182" y="243148966"/>
          <a:ext cx="1250156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818198</xdr:colOff>
      <xdr:row>283</xdr:row>
      <xdr:rowOff>62151</xdr:rowOff>
    </xdr:from>
    <xdr:to>
      <xdr:col>0</xdr:col>
      <xdr:colOff>1818323</xdr:colOff>
      <xdr:row>283</xdr:row>
      <xdr:rowOff>669370</xdr:rowOff>
    </xdr:to>
    <xdr:pic>
      <xdr:nvPicPr>
        <xdr:cNvPr id="567" name="Picture 566" descr="Insight Picture 566">
          <a:extLst>
            <a:ext uri="{FF2B5EF4-FFF2-40B4-BE49-F238E27FC236}">
              <a16:creationId xmlns:a16="http://schemas.microsoft.com/office/drawing/2014/main" id="{13E2DEA6-7299-1222-D6EF-6A57E29DF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818198" y="243803091"/>
          <a:ext cx="1000125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718185</xdr:colOff>
      <xdr:row>284</xdr:row>
      <xdr:rowOff>63113</xdr:rowOff>
    </xdr:from>
    <xdr:to>
      <xdr:col>0</xdr:col>
      <xdr:colOff>1918335</xdr:colOff>
      <xdr:row>284</xdr:row>
      <xdr:rowOff>813207</xdr:rowOff>
    </xdr:to>
    <xdr:pic>
      <xdr:nvPicPr>
        <xdr:cNvPr id="569" name="Picture 568" descr="Insight Picture 568">
          <a:extLst>
            <a:ext uri="{FF2B5EF4-FFF2-40B4-BE49-F238E27FC236}">
              <a16:creationId xmlns:a16="http://schemas.microsoft.com/office/drawing/2014/main" id="{87FDDAEA-4F6E-C694-AA59-D2F520E19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718185" y="244535573"/>
          <a:ext cx="1200150" cy="750094"/>
        </a:xfrm>
        <a:prstGeom prst="rect">
          <a:avLst/>
        </a:prstGeom>
      </xdr:spPr>
    </xdr:pic>
    <xdr:clientData/>
  </xdr:twoCellAnchor>
  <xdr:twoCellAnchor editAs="oneCell">
    <xdr:from>
      <xdr:col>0</xdr:col>
      <xdr:colOff>646747</xdr:colOff>
      <xdr:row>285</xdr:row>
      <xdr:rowOff>62146</xdr:rowOff>
    </xdr:from>
    <xdr:to>
      <xdr:col>0</xdr:col>
      <xdr:colOff>1989772</xdr:colOff>
      <xdr:row>285</xdr:row>
      <xdr:rowOff>555065</xdr:rowOff>
    </xdr:to>
    <xdr:pic>
      <xdr:nvPicPr>
        <xdr:cNvPr id="571" name="Picture 570" descr="Insight Picture 570">
          <a:extLst>
            <a:ext uri="{FF2B5EF4-FFF2-40B4-BE49-F238E27FC236}">
              <a16:creationId xmlns:a16="http://schemas.microsoft.com/office/drawing/2014/main" id="{09CECD1B-F380-C354-948D-A14E96F84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646747" y="245410906"/>
          <a:ext cx="1343025" cy="492919"/>
        </a:xfrm>
        <a:prstGeom prst="rect">
          <a:avLst/>
        </a:prstGeom>
      </xdr:spPr>
    </xdr:pic>
    <xdr:clientData/>
  </xdr:twoCellAnchor>
  <xdr:twoCellAnchor editAs="oneCell">
    <xdr:from>
      <xdr:col>0</xdr:col>
      <xdr:colOff>332422</xdr:colOff>
      <xdr:row>286</xdr:row>
      <xdr:rowOff>63579</xdr:rowOff>
    </xdr:from>
    <xdr:to>
      <xdr:col>0</xdr:col>
      <xdr:colOff>2304097</xdr:colOff>
      <xdr:row>286</xdr:row>
      <xdr:rowOff>599360</xdr:rowOff>
    </xdr:to>
    <xdr:pic>
      <xdr:nvPicPr>
        <xdr:cNvPr id="573" name="Picture 572" descr="Insight Picture 572">
          <a:extLst>
            <a:ext uri="{FF2B5EF4-FFF2-40B4-BE49-F238E27FC236}">
              <a16:creationId xmlns:a16="http://schemas.microsoft.com/office/drawing/2014/main" id="{088FBD97-90AA-2C2D-3325-E31F8071C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332422" y="246029559"/>
          <a:ext cx="1971675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332422</xdr:colOff>
      <xdr:row>287</xdr:row>
      <xdr:rowOff>63569</xdr:rowOff>
    </xdr:from>
    <xdr:to>
      <xdr:col>0</xdr:col>
      <xdr:colOff>2304097</xdr:colOff>
      <xdr:row>287</xdr:row>
      <xdr:rowOff>599350</xdr:rowOff>
    </xdr:to>
    <xdr:pic>
      <xdr:nvPicPr>
        <xdr:cNvPr id="575" name="Picture 574" descr="Insight Picture 574">
          <a:extLst>
            <a:ext uri="{FF2B5EF4-FFF2-40B4-BE49-F238E27FC236}">
              <a16:creationId xmlns:a16="http://schemas.microsoft.com/office/drawing/2014/main" id="{B467208D-E648-06F2-EF74-2817C1220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332422" y="246692489"/>
          <a:ext cx="1971675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332422</xdr:colOff>
      <xdr:row>288</xdr:row>
      <xdr:rowOff>63584</xdr:rowOff>
    </xdr:from>
    <xdr:to>
      <xdr:col>0</xdr:col>
      <xdr:colOff>2304097</xdr:colOff>
      <xdr:row>288</xdr:row>
      <xdr:rowOff>599365</xdr:rowOff>
    </xdr:to>
    <xdr:pic>
      <xdr:nvPicPr>
        <xdr:cNvPr id="577" name="Picture 576" descr="Insight Picture 576">
          <a:extLst>
            <a:ext uri="{FF2B5EF4-FFF2-40B4-BE49-F238E27FC236}">
              <a16:creationId xmlns:a16="http://schemas.microsoft.com/office/drawing/2014/main" id="{9642B8F9-500E-6CDD-BAA9-51853A1FA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332422" y="247355444"/>
          <a:ext cx="1971675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464582</xdr:colOff>
      <xdr:row>289</xdr:row>
      <xdr:rowOff>62161</xdr:rowOff>
    </xdr:from>
    <xdr:to>
      <xdr:col>0</xdr:col>
      <xdr:colOff>2171938</xdr:colOff>
      <xdr:row>289</xdr:row>
      <xdr:rowOff>555080</xdr:rowOff>
    </xdr:to>
    <xdr:pic>
      <xdr:nvPicPr>
        <xdr:cNvPr id="579" name="Picture 578" descr="Insight Picture 578">
          <a:extLst>
            <a:ext uri="{FF2B5EF4-FFF2-40B4-BE49-F238E27FC236}">
              <a16:creationId xmlns:a16="http://schemas.microsoft.com/office/drawing/2014/main" id="{5406CEE8-2413-4A28-5A55-2204C2C14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464582" y="248016961"/>
          <a:ext cx="1707356" cy="492919"/>
        </a:xfrm>
        <a:prstGeom prst="rect">
          <a:avLst/>
        </a:prstGeom>
      </xdr:spPr>
    </xdr:pic>
    <xdr:clientData/>
  </xdr:twoCellAnchor>
  <xdr:twoCellAnchor editAs="oneCell">
    <xdr:from>
      <xdr:col>0</xdr:col>
      <xdr:colOff>375285</xdr:colOff>
      <xdr:row>290</xdr:row>
      <xdr:rowOff>62156</xdr:rowOff>
    </xdr:from>
    <xdr:to>
      <xdr:col>0</xdr:col>
      <xdr:colOff>2261235</xdr:colOff>
      <xdr:row>290</xdr:row>
      <xdr:rowOff>555075</xdr:rowOff>
    </xdr:to>
    <xdr:pic>
      <xdr:nvPicPr>
        <xdr:cNvPr id="581" name="Picture 580" descr="Insight Picture 580">
          <a:extLst>
            <a:ext uri="{FF2B5EF4-FFF2-40B4-BE49-F238E27FC236}">
              <a16:creationId xmlns:a16="http://schemas.microsoft.com/office/drawing/2014/main" id="{03DE840B-5583-712B-6884-CCCC9329A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375285" y="248634176"/>
          <a:ext cx="1885950" cy="492919"/>
        </a:xfrm>
        <a:prstGeom prst="rect">
          <a:avLst/>
        </a:prstGeom>
      </xdr:spPr>
    </xdr:pic>
    <xdr:clientData/>
  </xdr:twoCellAnchor>
  <xdr:twoCellAnchor editAs="oneCell">
    <xdr:from>
      <xdr:col>0</xdr:col>
      <xdr:colOff>375285</xdr:colOff>
      <xdr:row>291</xdr:row>
      <xdr:rowOff>62151</xdr:rowOff>
    </xdr:from>
    <xdr:to>
      <xdr:col>0</xdr:col>
      <xdr:colOff>2261235</xdr:colOff>
      <xdr:row>291</xdr:row>
      <xdr:rowOff>555070</xdr:rowOff>
    </xdr:to>
    <xdr:pic>
      <xdr:nvPicPr>
        <xdr:cNvPr id="583" name="Picture 582" descr="Insight Picture 582">
          <a:extLst>
            <a:ext uri="{FF2B5EF4-FFF2-40B4-BE49-F238E27FC236}">
              <a16:creationId xmlns:a16="http://schemas.microsoft.com/office/drawing/2014/main" id="{B26AF0D5-51E8-9E03-9702-3FE925E83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375285" y="249251391"/>
          <a:ext cx="1885950" cy="492919"/>
        </a:xfrm>
        <a:prstGeom prst="rect">
          <a:avLst/>
        </a:prstGeom>
      </xdr:spPr>
    </xdr:pic>
    <xdr:clientData/>
  </xdr:twoCellAnchor>
  <xdr:twoCellAnchor editAs="oneCell">
    <xdr:from>
      <xdr:col>0</xdr:col>
      <xdr:colOff>464582</xdr:colOff>
      <xdr:row>292</xdr:row>
      <xdr:rowOff>60732</xdr:rowOff>
    </xdr:from>
    <xdr:to>
      <xdr:col>0</xdr:col>
      <xdr:colOff>2171938</xdr:colOff>
      <xdr:row>292</xdr:row>
      <xdr:rowOff>853688</xdr:rowOff>
    </xdr:to>
    <xdr:pic>
      <xdr:nvPicPr>
        <xdr:cNvPr id="585" name="Picture 584" descr="Insight Picture 584">
          <a:extLst>
            <a:ext uri="{FF2B5EF4-FFF2-40B4-BE49-F238E27FC236}">
              <a16:creationId xmlns:a16="http://schemas.microsoft.com/office/drawing/2014/main" id="{13B481BF-2E1B-9289-9040-325824065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464582" y="249867192"/>
          <a:ext cx="1707356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403860</xdr:colOff>
      <xdr:row>293</xdr:row>
      <xdr:rowOff>60236</xdr:rowOff>
    </xdr:from>
    <xdr:to>
      <xdr:col>0</xdr:col>
      <xdr:colOff>2232660</xdr:colOff>
      <xdr:row>293</xdr:row>
      <xdr:rowOff>838905</xdr:rowOff>
    </xdr:to>
    <xdr:pic>
      <xdr:nvPicPr>
        <xdr:cNvPr id="587" name="Picture 586" descr="Insight Picture 586">
          <a:extLst>
            <a:ext uri="{FF2B5EF4-FFF2-40B4-BE49-F238E27FC236}">
              <a16:creationId xmlns:a16="http://schemas.microsoft.com/office/drawing/2014/main" id="{1D945732-4BEA-87F7-A416-00363398C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403860" y="250781096"/>
          <a:ext cx="1828800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511016</xdr:colOff>
      <xdr:row>294</xdr:row>
      <xdr:rowOff>63346</xdr:rowOff>
    </xdr:from>
    <xdr:to>
      <xdr:col>0</xdr:col>
      <xdr:colOff>2125504</xdr:colOff>
      <xdr:row>294</xdr:row>
      <xdr:rowOff>706284</xdr:rowOff>
    </xdr:to>
    <xdr:pic>
      <xdr:nvPicPr>
        <xdr:cNvPr id="589" name="Picture 588" descr="Insight Picture 588">
          <a:extLst>
            <a:ext uri="{FF2B5EF4-FFF2-40B4-BE49-F238E27FC236}">
              <a16:creationId xmlns:a16="http://schemas.microsoft.com/office/drawing/2014/main" id="{05707DCF-D830-9029-C2FA-E3BD589AE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511016" y="251683366"/>
          <a:ext cx="1614488" cy="642938"/>
        </a:xfrm>
        <a:prstGeom prst="rect">
          <a:avLst/>
        </a:prstGeom>
      </xdr:spPr>
    </xdr:pic>
    <xdr:clientData/>
  </xdr:twoCellAnchor>
  <xdr:twoCellAnchor editAs="oneCell">
    <xdr:from>
      <xdr:col>0</xdr:col>
      <xdr:colOff>575310</xdr:colOff>
      <xdr:row>295</xdr:row>
      <xdr:rowOff>63589</xdr:rowOff>
    </xdr:from>
    <xdr:to>
      <xdr:col>0</xdr:col>
      <xdr:colOff>2061210</xdr:colOff>
      <xdr:row>295</xdr:row>
      <xdr:rowOff>599370</xdr:rowOff>
    </xdr:to>
    <xdr:pic>
      <xdr:nvPicPr>
        <xdr:cNvPr id="591" name="Picture 590" descr="Insight Picture 590">
          <a:extLst>
            <a:ext uri="{FF2B5EF4-FFF2-40B4-BE49-F238E27FC236}">
              <a16:creationId xmlns:a16="http://schemas.microsoft.com/office/drawing/2014/main" id="{08305815-3005-EEBD-21B9-0CA8E34F2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575310" y="252453229"/>
          <a:ext cx="1485900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736045</xdr:colOff>
      <xdr:row>296</xdr:row>
      <xdr:rowOff>63579</xdr:rowOff>
    </xdr:from>
    <xdr:to>
      <xdr:col>0</xdr:col>
      <xdr:colOff>1900476</xdr:colOff>
      <xdr:row>296</xdr:row>
      <xdr:rowOff>599360</xdr:rowOff>
    </xdr:to>
    <xdr:pic>
      <xdr:nvPicPr>
        <xdr:cNvPr id="593" name="Picture 592" descr="Insight Picture 592">
          <a:extLst>
            <a:ext uri="{FF2B5EF4-FFF2-40B4-BE49-F238E27FC236}">
              <a16:creationId xmlns:a16="http://schemas.microsoft.com/office/drawing/2014/main" id="{67D9A848-D710-2F8B-316A-59B4DEC59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736045" y="253116159"/>
          <a:ext cx="1164431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693182</xdr:colOff>
      <xdr:row>297</xdr:row>
      <xdr:rowOff>63346</xdr:rowOff>
    </xdr:from>
    <xdr:to>
      <xdr:col>0</xdr:col>
      <xdr:colOff>1943338</xdr:colOff>
      <xdr:row>297</xdr:row>
      <xdr:rowOff>591984</xdr:rowOff>
    </xdr:to>
    <xdr:pic>
      <xdr:nvPicPr>
        <xdr:cNvPr id="595" name="Picture 594" descr="Insight Picture 594">
          <a:extLst>
            <a:ext uri="{FF2B5EF4-FFF2-40B4-BE49-F238E27FC236}">
              <a16:creationId xmlns:a16="http://schemas.microsoft.com/office/drawing/2014/main" id="{E3C99F8F-3E58-5284-0636-FB1D2FCED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693182" y="253778866"/>
          <a:ext cx="1250156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632460</xdr:colOff>
      <xdr:row>298</xdr:row>
      <xdr:rowOff>62151</xdr:rowOff>
    </xdr:from>
    <xdr:to>
      <xdr:col>0</xdr:col>
      <xdr:colOff>2004060</xdr:colOff>
      <xdr:row>298</xdr:row>
      <xdr:rowOff>669370</xdr:rowOff>
    </xdr:to>
    <xdr:pic>
      <xdr:nvPicPr>
        <xdr:cNvPr id="597" name="Picture 596" descr="Insight Picture 596">
          <a:extLst>
            <a:ext uri="{FF2B5EF4-FFF2-40B4-BE49-F238E27FC236}">
              <a16:creationId xmlns:a16="http://schemas.microsoft.com/office/drawing/2014/main" id="{A6BD1EC3-A7C2-44B6-7AD3-1A01F8B18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632460" y="254432991"/>
          <a:ext cx="1371600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646747</xdr:colOff>
      <xdr:row>299</xdr:row>
      <xdr:rowOff>62146</xdr:rowOff>
    </xdr:from>
    <xdr:to>
      <xdr:col>0</xdr:col>
      <xdr:colOff>1989772</xdr:colOff>
      <xdr:row>299</xdr:row>
      <xdr:rowOff>555065</xdr:rowOff>
    </xdr:to>
    <xdr:pic>
      <xdr:nvPicPr>
        <xdr:cNvPr id="599" name="Picture 598" descr="Insight Picture 598">
          <a:extLst>
            <a:ext uri="{FF2B5EF4-FFF2-40B4-BE49-F238E27FC236}">
              <a16:creationId xmlns:a16="http://schemas.microsoft.com/office/drawing/2014/main" id="{1ACC85BD-293F-13C7-4A34-024C2F811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646747" y="255164506"/>
          <a:ext cx="1343025" cy="492919"/>
        </a:xfrm>
        <a:prstGeom prst="rect">
          <a:avLst/>
        </a:prstGeom>
      </xdr:spPr>
    </xdr:pic>
    <xdr:clientData/>
  </xdr:twoCellAnchor>
  <xdr:twoCellAnchor editAs="oneCell">
    <xdr:from>
      <xdr:col>0</xdr:col>
      <xdr:colOff>464582</xdr:colOff>
      <xdr:row>300</xdr:row>
      <xdr:rowOff>63579</xdr:rowOff>
    </xdr:from>
    <xdr:to>
      <xdr:col>0</xdr:col>
      <xdr:colOff>2171938</xdr:colOff>
      <xdr:row>300</xdr:row>
      <xdr:rowOff>599360</xdr:rowOff>
    </xdr:to>
    <xdr:pic>
      <xdr:nvPicPr>
        <xdr:cNvPr id="601" name="Picture 600" descr="Insight Picture 600">
          <a:extLst>
            <a:ext uri="{FF2B5EF4-FFF2-40B4-BE49-F238E27FC236}">
              <a16:creationId xmlns:a16="http://schemas.microsoft.com/office/drawing/2014/main" id="{27A5C564-C4D7-E49B-1A8E-CBF068220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464582" y="255783159"/>
          <a:ext cx="1707356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332422</xdr:colOff>
      <xdr:row>301</xdr:row>
      <xdr:rowOff>63569</xdr:rowOff>
    </xdr:from>
    <xdr:to>
      <xdr:col>0</xdr:col>
      <xdr:colOff>2304097</xdr:colOff>
      <xdr:row>301</xdr:row>
      <xdr:rowOff>599350</xdr:rowOff>
    </xdr:to>
    <xdr:pic>
      <xdr:nvPicPr>
        <xdr:cNvPr id="603" name="Picture 602" descr="Insight Picture 602">
          <a:extLst>
            <a:ext uri="{FF2B5EF4-FFF2-40B4-BE49-F238E27FC236}">
              <a16:creationId xmlns:a16="http://schemas.microsoft.com/office/drawing/2014/main" id="{42D45959-2A83-7DB2-0CF9-8D3B2ECAB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332422" y="256446089"/>
          <a:ext cx="1971675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332422</xdr:colOff>
      <xdr:row>302</xdr:row>
      <xdr:rowOff>63584</xdr:rowOff>
    </xdr:from>
    <xdr:to>
      <xdr:col>0</xdr:col>
      <xdr:colOff>2304097</xdr:colOff>
      <xdr:row>302</xdr:row>
      <xdr:rowOff>599365</xdr:rowOff>
    </xdr:to>
    <xdr:pic>
      <xdr:nvPicPr>
        <xdr:cNvPr id="605" name="Picture 604" descr="Insight Picture 604">
          <a:extLst>
            <a:ext uri="{FF2B5EF4-FFF2-40B4-BE49-F238E27FC236}">
              <a16:creationId xmlns:a16="http://schemas.microsoft.com/office/drawing/2014/main" id="{46467535-6155-5D6A-DF7C-ACA76BC71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332422" y="257109044"/>
          <a:ext cx="1971675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464582</xdr:colOff>
      <xdr:row>303</xdr:row>
      <xdr:rowOff>63574</xdr:rowOff>
    </xdr:from>
    <xdr:to>
      <xdr:col>0</xdr:col>
      <xdr:colOff>2171938</xdr:colOff>
      <xdr:row>303</xdr:row>
      <xdr:rowOff>599355</xdr:rowOff>
    </xdr:to>
    <xdr:pic>
      <xdr:nvPicPr>
        <xdr:cNvPr id="607" name="Picture 606" descr="Insight Picture 606">
          <a:extLst>
            <a:ext uri="{FF2B5EF4-FFF2-40B4-BE49-F238E27FC236}">
              <a16:creationId xmlns:a16="http://schemas.microsoft.com/office/drawing/2014/main" id="{D9428587-DB1A-772B-6DB2-8E14CE73E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464582" y="257771974"/>
          <a:ext cx="1707356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332422</xdr:colOff>
      <xdr:row>304</xdr:row>
      <xdr:rowOff>63589</xdr:rowOff>
    </xdr:from>
    <xdr:to>
      <xdr:col>0</xdr:col>
      <xdr:colOff>2304097</xdr:colOff>
      <xdr:row>304</xdr:row>
      <xdr:rowOff>599370</xdr:rowOff>
    </xdr:to>
    <xdr:pic>
      <xdr:nvPicPr>
        <xdr:cNvPr id="609" name="Picture 608" descr="Insight Picture 608">
          <a:extLst>
            <a:ext uri="{FF2B5EF4-FFF2-40B4-BE49-F238E27FC236}">
              <a16:creationId xmlns:a16="http://schemas.microsoft.com/office/drawing/2014/main" id="{E1D7A8A3-16EC-A1B8-548D-2D93D2A2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332422" y="258434929"/>
          <a:ext cx="1971675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464582</xdr:colOff>
      <xdr:row>305</xdr:row>
      <xdr:rowOff>62141</xdr:rowOff>
    </xdr:from>
    <xdr:to>
      <xdr:col>0</xdr:col>
      <xdr:colOff>2171938</xdr:colOff>
      <xdr:row>305</xdr:row>
      <xdr:rowOff>555060</xdr:rowOff>
    </xdr:to>
    <xdr:pic>
      <xdr:nvPicPr>
        <xdr:cNvPr id="611" name="Picture 610" descr="Insight Picture 610">
          <a:extLst>
            <a:ext uri="{FF2B5EF4-FFF2-40B4-BE49-F238E27FC236}">
              <a16:creationId xmlns:a16="http://schemas.microsoft.com/office/drawing/2014/main" id="{ECC5BD36-419C-EDE2-AC21-3EDA6A70C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464582" y="259096421"/>
          <a:ext cx="1707356" cy="492919"/>
        </a:xfrm>
        <a:prstGeom prst="rect">
          <a:avLst/>
        </a:prstGeom>
      </xdr:spPr>
    </xdr:pic>
    <xdr:clientData/>
  </xdr:twoCellAnchor>
  <xdr:twoCellAnchor editAs="oneCell">
    <xdr:from>
      <xdr:col>0</xdr:col>
      <xdr:colOff>225266</xdr:colOff>
      <xdr:row>306</xdr:row>
      <xdr:rowOff>63574</xdr:rowOff>
    </xdr:from>
    <xdr:to>
      <xdr:col>0</xdr:col>
      <xdr:colOff>2411254</xdr:colOff>
      <xdr:row>306</xdr:row>
      <xdr:rowOff>599355</xdr:rowOff>
    </xdr:to>
    <xdr:pic>
      <xdr:nvPicPr>
        <xdr:cNvPr id="613" name="Picture 612" descr="Insight Picture 612">
          <a:extLst>
            <a:ext uri="{FF2B5EF4-FFF2-40B4-BE49-F238E27FC236}">
              <a16:creationId xmlns:a16="http://schemas.microsoft.com/office/drawing/2014/main" id="{CB3C6FEE-BA44-A76C-5D7A-718099A37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225266" y="259715074"/>
          <a:ext cx="2185988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536020</xdr:colOff>
      <xdr:row>307</xdr:row>
      <xdr:rowOff>60241</xdr:rowOff>
    </xdr:from>
    <xdr:to>
      <xdr:col>0</xdr:col>
      <xdr:colOff>2100501</xdr:colOff>
      <xdr:row>307</xdr:row>
      <xdr:rowOff>838910</xdr:rowOff>
    </xdr:to>
    <xdr:pic>
      <xdr:nvPicPr>
        <xdr:cNvPr id="615" name="Picture 614" descr="Insight Picture 614">
          <a:extLst>
            <a:ext uri="{FF2B5EF4-FFF2-40B4-BE49-F238E27FC236}">
              <a16:creationId xmlns:a16="http://schemas.microsoft.com/office/drawing/2014/main" id="{AA87DD73-3E3E-4356-703D-37F836766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536020" y="260374681"/>
          <a:ext cx="1564481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536020</xdr:colOff>
      <xdr:row>308</xdr:row>
      <xdr:rowOff>62632</xdr:rowOff>
    </xdr:from>
    <xdr:to>
      <xdr:col>0</xdr:col>
      <xdr:colOff>2100501</xdr:colOff>
      <xdr:row>308</xdr:row>
      <xdr:rowOff>798438</xdr:rowOff>
    </xdr:to>
    <xdr:pic>
      <xdr:nvPicPr>
        <xdr:cNvPr id="617" name="Picture 616" descr="Insight Picture 616">
          <a:extLst>
            <a:ext uri="{FF2B5EF4-FFF2-40B4-BE49-F238E27FC236}">
              <a16:creationId xmlns:a16="http://schemas.microsoft.com/office/drawing/2014/main" id="{C0A67175-1A3B-1A0E-B2B5-60AD51B19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536020" y="261276232"/>
          <a:ext cx="1564481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418147</xdr:colOff>
      <xdr:row>309</xdr:row>
      <xdr:rowOff>61674</xdr:rowOff>
    </xdr:from>
    <xdr:to>
      <xdr:col>0</xdr:col>
      <xdr:colOff>2218372</xdr:colOff>
      <xdr:row>309</xdr:row>
      <xdr:rowOff>540305</xdr:rowOff>
    </xdr:to>
    <xdr:pic>
      <xdr:nvPicPr>
        <xdr:cNvPr id="619" name="Picture 618" descr="Insight Picture 618">
          <a:extLst>
            <a:ext uri="{FF2B5EF4-FFF2-40B4-BE49-F238E27FC236}">
              <a16:creationId xmlns:a16="http://schemas.microsoft.com/office/drawing/2014/main" id="{FAF3AC49-FC9D-F30C-16AB-6E1DE63C0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418147" y="262136334"/>
          <a:ext cx="1800225" cy="478631"/>
        </a:xfrm>
        <a:prstGeom prst="rect">
          <a:avLst/>
        </a:prstGeom>
      </xdr:spPr>
    </xdr:pic>
    <xdr:clientData/>
  </xdr:twoCellAnchor>
  <xdr:twoCellAnchor editAs="oneCell">
    <xdr:from>
      <xdr:col>0</xdr:col>
      <xdr:colOff>375285</xdr:colOff>
      <xdr:row>310</xdr:row>
      <xdr:rowOff>62622</xdr:rowOff>
    </xdr:from>
    <xdr:to>
      <xdr:col>0</xdr:col>
      <xdr:colOff>2261235</xdr:colOff>
      <xdr:row>310</xdr:row>
      <xdr:rowOff>798428</xdr:rowOff>
    </xdr:to>
    <xdr:pic>
      <xdr:nvPicPr>
        <xdr:cNvPr id="621" name="Picture 620" descr="Insight Picture 620">
          <a:extLst>
            <a:ext uri="{FF2B5EF4-FFF2-40B4-BE49-F238E27FC236}">
              <a16:creationId xmlns:a16="http://schemas.microsoft.com/office/drawing/2014/main" id="{460C07AE-EF64-C5B6-7DE9-AA2E9D5F8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375285" y="262739262"/>
          <a:ext cx="1885950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375285</xdr:colOff>
      <xdr:row>311</xdr:row>
      <xdr:rowOff>62632</xdr:rowOff>
    </xdr:from>
    <xdr:to>
      <xdr:col>0</xdr:col>
      <xdr:colOff>2261235</xdr:colOff>
      <xdr:row>311</xdr:row>
      <xdr:rowOff>798438</xdr:rowOff>
    </xdr:to>
    <xdr:pic>
      <xdr:nvPicPr>
        <xdr:cNvPr id="623" name="Picture 622" descr="Insight Picture 622">
          <a:extLst>
            <a:ext uri="{FF2B5EF4-FFF2-40B4-BE49-F238E27FC236}">
              <a16:creationId xmlns:a16="http://schemas.microsoft.com/office/drawing/2014/main" id="{FAA6DE94-118E-9714-BE4C-BE91E5AEE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375285" y="263600332"/>
          <a:ext cx="1885950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243126</xdr:colOff>
      <xdr:row>312</xdr:row>
      <xdr:rowOff>63584</xdr:rowOff>
    </xdr:from>
    <xdr:to>
      <xdr:col>0</xdr:col>
      <xdr:colOff>2393395</xdr:colOff>
      <xdr:row>312</xdr:row>
      <xdr:rowOff>599365</xdr:rowOff>
    </xdr:to>
    <xdr:pic>
      <xdr:nvPicPr>
        <xdr:cNvPr id="625" name="Picture 624" descr="Insight Picture 624">
          <a:extLst>
            <a:ext uri="{FF2B5EF4-FFF2-40B4-BE49-F238E27FC236}">
              <a16:creationId xmlns:a16="http://schemas.microsoft.com/office/drawing/2014/main" id="{E23586D8-B931-7B55-0CE7-D89AA3899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243126" y="264462344"/>
          <a:ext cx="2150269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353853</xdr:colOff>
      <xdr:row>313</xdr:row>
      <xdr:rowOff>62632</xdr:rowOff>
    </xdr:from>
    <xdr:to>
      <xdr:col>0</xdr:col>
      <xdr:colOff>2282666</xdr:colOff>
      <xdr:row>313</xdr:row>
      <xdr:rowOff>798438</xdr:rowOff>
    </xdr:to>
    <xdr:pic>
      <xdr:nvPicPr>
        <xdr:cNvPr id="627" name="Picture 626" descr="Insight Picture 626">
          <a:extLst>
            <a:ext uri="{FF2B5EF4-FFF2-40B4-BE49-F238E27FC236}">
              <a16:creationId xmlns:a16="http://schemas.microsoft.com/office/drawing/2014/main" id="{958BFA3D-A806-3B2A-67A0-E13CAC4BF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353853" y="265124332"/>
          <a:ext cx="1928813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596741</xdr:colOff>
      <xdr:row>314</xdr:row>
      <xdr:rowOff>63584</xdr:rowOff>
    </xdr:from>
    <xdr:to>
      <xdr:col>0</xdr:col>
      <xdr:colOff>2039779</xdr:colOff>
      <xdr:row>314</xdr:row>
      <xdr:rowOff>599365</xdr:rowOff>
    </xdr:to>
    <xdr:pic>
      <xdr:nvPicPr>
        <xdr:cNvPr id="629" name="Picture 628" descr="Insight Picture 628">
          <a:extLst>
            <a:ext uri="{FF2B5EF4-FFF2-40B4-BE49-F238E27FC236}">
              <a16:creationId xmlns:a16="http://schemas.microsoft.com/office/drawing/2014/main" id="{1170EA2A-077B-2F04-B147-685285656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596741" y="265986344"/>
          <a:ext cx="1443038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278844</xdr:colOff>
      <xdr:row>315</xdr:row>
      <xdr:rowOff>62632</xdr:rowOff>
    </xdr:from>
    <xdr:to>
      <xdr:col>0</xdr:col>
      <xdr:colOff>2357675</xdr:colOff>
      <xdr:row>315</xdr:row>
      <xdr:rowOff>798438</xdr:rowOff>
    </xdr:to>
    <xdr:pic>
      <xdr:nvPicPr>
        <xdr:cNvPr id="631" name="Picture 630" descr="Insight Picture 630">
          <a:extLst>
            <a:ext uri="{FF2B5EF4-FFF2-40B4-BE49-F238E27FC236}">
              <a16:creationId xmlns:a16="http://schemas.microsoft.com/office/drawing/2014/main" id="{3E7F3EA9-CA28-4F8C-EB2F-746935E1C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278844" y="266648332"/>
          <a:ext cx="2078831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375285</xdr:colOff>
      <xdr:row>316</xdr:row>
      <xdr:rowOff>61426</xdr:rowOff>
    </xdr:from>
    <xdr:to>
      <xdr:col>0</xdr:col>
      <xdr:colOff>2261235</xdr:colOff>
      <xdr:row>316</xdr:row>
      <xdr:rowOff>875814</xdr:rowOff>
    </xdr:to>
    <xdr:pic>
      <xdr:nvPicPr>
        <xdr:cNvPr id="633" name="Picture 632" descr="Insight Picture 632">
          <a:extLst>
            <a:ext uri="{FF2B5EF4-FFF2-40B4-BE49-F238E27FC236}">
              <a16:creationId xmlns:a16="http://schemas.microsoft.com/office/drawing/2014/main" id="{7EC8A63E-498F-2255-ABA1-9CE47BB0F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375285" y="267508186"/>
          <a:ext cx="1885950" cy="814388"/>
        </a:xfrm>
        <a:prstGeom prst="rect">
          <a:avLst/>
        </a:prstGeom>
      </xdr:spPr>
    </xdr:pic>
    <xdr:clientData/>
  </xdr:twoCellAnchor>
  <xdr:twoCellAnchor editAs="oneCell">
    <xdr:from>
      <xdr:col>0</xdr:col>
      <xdr:colOff>314563</xdr:colOff>
      <xdr:row>317</xdr:row>
      <xdr:rowOff>61436</xdr:rowOff>
    </xdr:from>
    <xdr:to>
      <xdr:col>0</xdr:col>
      <xdr:colOff>2321957</xdr:colOff>
      <xdr:row>317</xdr:row>
      <xdr:rowOff>875824</xdr:rowOff>
    </xdr:to>
    <xdr:pic>
      <xdr:nvPicPr>
        <xdr:cNvPr id="635" name="Picture 634" descr="Insight Picture 634">
          <a:extLst>
            <a:ext uri="{FF2B5EF4-FFF2-40B4-BE49-F238E27FC236}">
              <a16:creationId xmlns:a16="http://schemas.microsoft.com/office/drawing/2014/main" id="{50EFC70D-0F4B-907D-10BD-7F600BDC7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314563" y="268445456"/>
          <a:ext cx="2007394" cy="814388"/>
        </a:xfrm>
        <a:prstGeom prst="rect">
          <a:avLst/>
        </a:prstGeom>
      </xdr:spPr>
    </xdr:pic>
    <xdr:clientData/>
  </xdr:twoCellAnchor>
  <xdr:twoCellAnchor editAs="oneCell">
    <xdr:from>
      <xdr:col>0</xdr:col>
      <xdr:colOff>278844</xdr:colOff>
      <xdr:row>318</xdr:row>
      <xdr:rowOff>63108</xdr:rowOff>
    </xdr:from>
    <xdr:to>
      <xdr:col>0</xdr:col>
      <xdr:colOff>2357675</xdr:colOff>
      <xdr:row>318</xdr:row>
      <xdr:rowOff>1041802</xdr:rowOff>
    </xdr:to>
    <xdr:pic>
      <xdr:nvPicPr>
        <xdr:cNvPr id="637" name="Picture 636" descr="Insight Picture 636">
          <a:extLst>
            <a:ext uri="{FF2B5EF4-FFF2-40B4-BE49-F238E27FC236}">
              <a16:creationId xmlns:a16="http://schemas.microsoft.com/office/drawing/2014/main" id="{580BE7F3-7FEE-4EAD-6B2F-EC03FFFDA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278844" y="269384388"/>
          <a:ext cx="2078831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278844</xdr:colOff>
      <xdr:row>319</xdr:row>
      <xdr:rowOff>63108</xdr:rowOff>
    </xdr:from>
    <xdr:to>
      <xdr:col>0</xdr:col>
      <xdr:colOff>2357675</xdr:colOff>
      <xdr:row>319</xdr:row>
      <xdr:rowOff>1041802</xdr:rowOff>
    </xdr:to>
    <xdr:pic>
      <xdr:nvPicPr>
        <xdr:cNvPr id="639" name="Picture 638" descr="Insight Picture 638">
          <a:extLst>
            <a:ext uri="{FF2B5EF4-FFF2-40B4-BE49-F238E27FC236}">
              <a16:creationId xmlns:a16="http://schemas.microsoft.com/office/drawing/2014/main" id="{4A35C554-9196-243B-1FE5-96067F5F7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278844" y="270489288"/>
          <a:ext cx="2078831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168116</xdr:colOff>
      <xdr:row>320</xdr:row>
      <xdr:rowOff>63108</xdr:rowOff>
    </xdr:from>
    <xdr:to>
      <xdr:col>0</xdr:col>
      <xdr:colOff>2468404</xdr:colOff>
      <xdr:row>320</xdr:row>
      <xdr:rowOff>1041802</xdr:rowOff>
    </xdr:to>
    <xdr:pic>
      <xdr:nvPicPr>
        <xdr:cNvPr id="641" name="Picture 640" descr="Insight Picture 640">
          <a:extLst>
            <a:ext uri="{FF2B5EF4-FFF2-40B4-BE49-F238E27FC236}">
              <a16:creationId xmlns:a16="http://schemas.microsoft.com/office/drawing/2014/main" id="{E578984F-2B66-B444-43CF-2303A161F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68116" y="271594188"/>
          <a:ext cx="2300288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393144</xdr:colOff>
      <xdr:row>321</xdr:row>
      <xdr:rowOff>62141</xdr:rowOff>
    </xdr:from>
    <xdr:to>
      <xdr:col>0</xdr:col>
      <xdr:colOff>2243375</xdr:colOff>
      <xdr:row>321</xdr:row>
      <xdr:rowOff>897960</xdr:rowOff>
    </xdr:to>
    <xdr:pic>
      <xdr:nvPicPr>
        <xdr:cNvPr id="643" name="Picture 642" descr="Insight Picture 642">
          <a:extLst>
            <a:ext uri="{FF2B5EF4-FFF2-40B4-BE49-F238E27FC236}">
              <a16:creationId xmlns:a16="http://schemas.microsoft.com/office/drawing/2014/main" id="{480DAA9F-7C51-DBE6-6939-8E828EE5D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393144" y="272698121"/>
          <a:ext cx="1850231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439578</xdr:colOff>
      <xdr:row>322</xdr:row>
      <xdr:rowOff>63574</xdr:rowOff>
    </xdr:from>
    <xdr:to>
      <xdr:col>0</xdr:col>
      <xdr:colOff>2196941</xdr:colOff>
      <xdr:row>322</xdr:row>
      <xdr:rowOff>599355</xdr:rowOff>
    </xdr:to>
    <xdr:pic>
      <xdr:nvPicPr>
        <xdr:cNvPr id="645" name="Picture 644" descr="Insight Picture 644">
          <a:extLst>
            <a:ext uri="{FF2B5EF4-FFF2-40B4-BE49-F238E27FC236}">
              <a16:creationId xmlns:a16="http://schemas.microsoft.com/office/drawing/2014/main" id="{6FB0241E-8490-2230-A9D0-453A7C877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439578" y="273659674"/>
          <a:ext cx="1757363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578882</xdr:colOff>
      <xdr:row>323</xdr:row>
      <xdr:rowOff>60241</xdr:rowOff>
    </xdr:from>
    <xdr:to>
      <xdr:col>0</xdr:col>
      <xdr:colOff>2057638</xdr:colOff>
      <xdr:row>323</xdr:row>
      <xdr:rowOff>838910</xdr:rowOff>
    </xdr:to>
    <xdr:pic>
      <xdr:nvPicPr>
        <xdr:cNvPr id="647" name="Picture 646" descr="Insight Picture 646">
          <a:extLst>
            <a:ext uri="{FF2B5EF4-FFF2-40B4-BE49-F238E27FC236}">
              <a16:creationId xmlns:a16="http://schemas.microsoft.com/office/drawing/2014/main" id="{859CF4A0-80EB-A10C-E8F5-7059499A6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578882" y="274319281"/>
          <a:ext cx="1478756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578882</xdr:colOff>
      <xdr:row>324</xdr:row>
      <xdr:rowOff>60251</xdr:rowOff>
    </xdr:from>
    <xdr:to>
      <xdr:col>0</xdr:col>
      <xdr:colOff>2057638</xdr:colOff>
      <xdr:row>324</xdr:row>
      <xdr:rowOff>838920</xdr:rowOff>
    </xdr:to>
    <xdr:pic>
      <xdr:nvPicPr>
        <xdr:cNvPr id="649" name="Picture 648" descr="Insight Picture 648">
          <a:extLst>
            <a:ext uri="{FF2B5EF4-FFF2-40B4-BE49-F238E27FC236}">
              <a16:creationId xmlns:a16="http://schemas.microsoft.com/office/drawing/2014/main" id="{43D1A287-E429-33D2-2D21-56234D3F1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578882" y="275218451"/>
          <a:ext cx="1478756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578882</xdr:colOff>
      <xdr:row>325</xdr:row>
      <xdr:rowOff>60236</xdr:rowOff>
    </xdr:from>
    <xdr:to>
      <xdr:col>0</xdr:col>
      <xdr:colOff>2057638</xdr:colOff>
      <xdr:row>325</xdr:row>
      <xdr:rowOff>838905</xdr:rowOff>
    </xdr:to>
    <xdr:pic>
      <xdr:nvPicPr>
        <xdr:cNvPr id="651" name="Picture 650" descr="Insight Picture 650">
          <a:extLst>
            <a:ext uri="{FF2B5EF4-FFF2-40B4-BE49-F238E27FC236}">
              <a16:creationId xmlns:a16="http://schemas.microsoft.com/office/drawing/2014/main" id="{B8CC7A37-8F7A-C55D-B752-BC418F7BA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578882" y="276117596"/>
          <a:ext cx="1478756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553878</xdr:colOff>
      <xdr:row>326</xdr:row>
      <xdr:rowOff>63569</xdr:rowOff>
    </xdr:from>
    <xdr:to>
      <xdr:col>0</xdr:col>
      <xdr:colOff>2082641</xdr:colOff>
      <xdr:row>326</xdr:row>
      <xdr:rowOff>599350</xdr:rowOff>
    </xdr:to>
    <xdr:pic>
      <xdr:nvPicPr>
        <xdr:cNvPr id="653" name="Picture 652" descr="Insight Picture 652">
          <a:extLst>
            <a:ext uri="{FF2B5EF4-FFF2-40B4-BE49-F238E27FC236}">
              <a16:creationId xmlns:a16="http://schemas.microsoft.com/office/drawing/2014/main" id="{DAB2080F-48DA-3992-9C33-77FF27DAE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553878" y="277020089"/>
          <a:ext cx="1528763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603885</xdr:colOff>
      <xdr:row>327</xdr:row>
      <xdr:rowOff>62146</xdr:rowOff>
    </xdr:from>
    <xdr:to>
      <xdr:col>0</xdr:col>
      <xdr:colOff>2032635</xdr:colOff>
      <xdr:row>327</xdr:row>
      <xdr:rowOff>669365</xdr:rowOff>
    </xdr:to>
    <xdr:pic>
      <xdr:nvPicPr>
        <xdr:cNvPr id="655" name="Picture 654" descr="Insight Picture 654">
          <a:extLst>
            <a:ext uri="{FF2B5EF4-FFF2-40B4-BE49-F238E27FC236}">
              <a16:creationId xmlns:a16="http://schemas.microsoft.com/office/drawing/2014/main" id="{2EC4C6EA-B561-574F-B9CA-AC7A6F45D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603885" y="277681606"/>
          <a:ext cx="1428750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625316</xdr:colOff>
      <xdr:row>328</xdr:row>
      <xdr:rowOff>63827</xdr:rowOff>
    </xdr:from>
    <xdr:to>
      <xdr:col>0</xdr:col>
      <xdr:colOff>2011204</xdr:colOff>
      <xdr:row>328</xdr:row>
      <xdr:rowOff>721052</xdr:rowOff>
    </xdr:to>
    <xdr:pic>
      <xdr:nvPicPr>
        <xdr:cNvPr id="657" name="Picture 656" descr="Insight Picture 656">
          <a:extLst>
            <a:ext uri="{FF2B5EF4-FFF2-40B4-BE49-F238E27FC236}">
              <a16:creationId xmlns:a16="http://schemas.microsoft.com/office/drawing/2014/main" id="{A63021F1-E34B-EC74-6F17-9C271439A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625316" y="278414807"/>
          <a:ext cx="1385888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400288</xdr:colOff>
      <xdr:row>329</xdr:row>
      <xdr:rowOff>60241</xdr:rowOff>
    </xdr:from>
    <xdr:to>
      <xdr:col>0</xdr:col>
      <xdr:colOff>2236232</xdr:colOff>
      <xdr:row>329</xdr:row>
      <xdr:rowOff>838910</xdr:rowOff>
    </xdr:to>
    <xdr:pic>
      <xdr:nvPicPr>
        <xdr:cNvPr id="659" name="Picture 658" descr="Insight Picture 658">
          <a:extLst>
            <a:ext uri="{FF2B5EF4-FFF2-40B4-BE49-F238E27FC236}">
              <a16:creationId xmlns:a16="http://schemas.microsoft.com/office/drawing/2014/main" id="{E8FB68CE-CF3B-A680-6A8C-E18CE0B00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400288" y="279196081"/>
          <a:ext cx="1835944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628888</xdr:colOff>
      <xdr:row>330</xdr:row>
      <xdr:rowOff>63574</xdr:rowOff>
    </xdr:from>
    <xdr:to>
      <xdr:col>0</xdr:col>
      <xdr:colOff>2007632</xdr:colOff>
      <xdr:row>330</xdr:row>
      <xdr:rowOff>599355</xdr:rowOff>
    </xdr:to>
    <xdr:pic>
      <xdr:nvPicPr>
        <xdr:cNvPr id="661" name="Picture 660" descr="Insight Picture 660">
          <a:extLst>
            <a:ext uri="{FF2B5EF4-FFF2-40B4-BE49-F238E27FC236}">
              <a16:creationId xmlns:a16="http://schemas.microsoft.com/office/drawing/2014/main" id="{F5123BAF-DB8B-C3F0-91C3-EB4C61836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628888" y="280098574"/>
          <a:ext cx="1378744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532447</xdr:colOff>
      <xdr:row>331</xdr:row>
      <xdr:rowOff>63093</xdr:rowOff>
    </xdr:from>
    <xdr:to>
      <xdr:col>0</xdr:col>
      <xdr:colOff>2104072</xdr:colOff>
      <xdr:row>331</xdr:row>
      <xdr:rowOff>813187</xdr:rowOff>
    </xdr:to>
    <xdr:pic>
      <xdr:nvPicPr>
        <xdr:cNvPr id="663" name="Picture 662" descr="Insight Picture 662">
          <a:extLst>
            <a:ext uri="{FF2B5EF4-FFF2-40B4-BE49-F238E27FC236}">
              <a16:creationId xmlns:a16="http://schemas.microsoft.com/office/drawing/2014/main" id="{1C5DB0C7-3D3D-9DA5-4189-D70660706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532447" y="280761033"/>
          <a:ext cx="1571625" cy="750094"/>
        </a:xfrm>
        <a:prstGeom prst="rect">
          <a:avLst/>
        </a:prstGeom>
      </xdr:spPr>
    </xdr:pic>
    <xdr:clientData/>
  </xdr:twoCellAnchor>
  <xdr:twoCellAnchor editAs="oneCell">
    <xdr:from>
      <xdr:col>0</xdr:col>
      <xdr:colOff>439578</xdr:colOff>
      <xdr:row>332</xdr:row>
      <xdr:rowOff>62151</xdr:rowOff>
    </xdr:from>
    <xdr:to>
      <xdr:col>0</xdr:col>
      <xdr:colOff>2196941</xdr:colOff>
      <xdr:row>332</xdr:row>
      <xdr:rowOff>555070</xdr:rowOff>
    </xdr:to>
    <xdr:pic>
      <xdr:nvPicPr>
        <xdr:cNvPr id="665" name="Picture 664" descr="Insight Picture 664">
          <a:extLst>
            <a:ext uri="{FF2B5EF4-FFF2-40B4-BE49-F238E27FC236}">
              <a16:creationId xmlns:a16="http://schemas.microsoft.com/office/drawing/2014/main" id="{7317B532-FA25-26AB-68FD-DE1A1C2EC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439578" y="281636391"/>
          <a:ext cx="1757363" cy="492919"/>
        </a:xfrm>
        <a:prstGeom prst="rect">
          <a:avLst/>
        </a:prstGeom>
      </xdr:spPr>
    </xdr:pic>
    <xdr:clientData/>
  </xdr:twoCellAnchor>
  <xdr:twoCellAnchor editAs="oneCell">
    <xdr:from>
      <xdr:col>0</xdr:col>
      <xdr:colOff>707470</xdr:colOff>
      <xdr:row>333</xdr:row>
      <xdr:rowOff>60484</xdr:rowOff>
    </xdr:from>
    <xdr:to>
      <xdr:col>0</xdr:col>
      <xdr:colOff>1929051</xdr:colOff>
      <xdr:row>333</xdr:row>
      <xdr:rowOff>846297</xdr:rowOff>
    </xdr:to>
    <xdr:pic>
      <xdr:nvPicPr>
        <xdr:cNvPr id="667" name="Picture 666" descr="Insight Picture 666">
          <a:extLst>
            <a:ext uri="{FF2B5EF4-FFF2-40B4-BE49-F238E27FC236}">
              <a16:creationId xmlns:a16="http://schemas.microsoft.com/office/drawing/2014/main" id="{ED621145-051C-3655-C991-735232F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707470" y="282251944"/>
          <a:ext cx="1221581" cy="785813"/>
        </a:xfrm>
        <a:prstGeom prst="rect">
          <a:avLst/>
        </a:prstGeom>
      </xdr:spPr>
    </xdr:pic>
    <xdr:clientData/>
  </xdr:twoCellAnchor>
  <xdr:twoCellAnchor editAs="oneCell">
    <xdr:from>
      <xdr:col>0</xdr:col>
      <xdr:colOff>550307</xdr:colOff>
      <xdr:row>334</xdr:row>
      <xdr:rowOff>60241</xdr:rowOff>
    </xdr:from>
    <xdr:to>
      <xdr:col>0</xdr:col>
      <xdr:colOff>2086213</xdr:colOff>
      <xdr:row>334</xdr:row>
      <xdr:rowOff>496010</xdr:rowOff>
    </xdr:to>
    <xdr:pic>
      <xdr:nvPicPr>
        <xdr:cNvPr id="669" name="Picture 668" descr="Insight Picture 668">
          <a:extLst>
            <a:ext uri="{FF2B5EF4-FFF2-40B4-BE49-F238E27FC236}">
              <a16:creationId xmlns:a16="http://schemas.microsoft.com/office/drawing/2014/main" id="{D2A9F4DD-CBC2-B797-0BBF-1389B1AA8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550307" y="283158481"/>
          <a:ext cx="1535906" cy="435769"/>
        </a:xfrm>
        <a:prstGeom prst="rect">
          <a:avLst/>
        </a:prstGeom>
      </xdr:spPr>
    </xdr:pic>
    <xdr:clientData/>
  </xdr:twoCellAnchor>
  <xdr:twoCellAnchor editAs="oneCell">
    <xdr:from>
      <xdr:col>0</xdr:col>
      <xdr:colOff>450294</xdr:colOff>
      <xdr:row>335</xdr:row>
      <xdr:rowOff>60251</xdr:rowOff>
    </xdr:from>
    <xdr:to>
      <xdr:col>0</xdr:col>
      <xdr:colOff>2186225</xdr:colOff>
      <xdr:row>335</xdr:row>
      <xdr:rowOff>496020</xdr:rowOff>
    </xdr:to>
    <xdr:pic>
      <xdr:nvPicPr>
        <xdr:cNvPr id="671" name="Picture 670" descr="Insight Picture 670">
          <a:extLst>
            <a:ext uri="{FF2B5EF4-FFF2-40B4-BE49-F238E27FC236}">
              <a16:creationId xmlns:a16="http://schemas.microsoft.com/office/drawing/2014/main" id="{9794CAA9-0172-4AEF-F7EB-D151B0C17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450294" y="283714751"/>
          <a:ext cx="1735931" cy="435769"/>
        </a:xfrm>
        <a:prstGeom prst="rect">
          <a:avLst/>
        </a:prstGeom>
      </xdr:spPr>
    </xdr:pic>
    <xdr:clientData/>
  </xdr:twoCellAnchor>
  <xdr:twoCellAnchor editAs="oneCell">
    <xdr:from>
      <xdr:col>0</xdr:col>
      <xdr:colOff>310991</xdr:colOff>
      <xdr:row>336</xdr:row>
      <xdr:rowOff>61203</xdr:rowOff>
    </xdr:from>
    <xdr:to>
      <xdr:col>0</xdr:col>
      <xdr:colOff>2325529</xdr:colOff>
      <xdr:row>336</xdr:row>
      <xdr:rowOff>639847</xdr:rowOff>
    </xdr:to>
    <xdr:pic>
      <xdr:nvPicPr>
        <xdr:cNvPr id="673" name="Picture 672" descr="Insight Picture 672">
          <a:extLst>
            <a:ext uri="{FF2B5EF4-FFF2-40B4-BE49-F238E27FC236}">
              <a16:creationId xmlns:a16="http://schemas.microsoft.com/office/drawing/2014/main" id="{58F032E5-F61B-A67D-EEDF-880600AB0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310991" y="284271963"/>
          <a:ext cx="2014538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296703</xdr:colOff>
      <xdr:row>337</xdr:row>
      <xdr:rowOff>61913</xdr:rowOff>
    </xdr:from>
    <xdr:to>
      <xdr:col>0</xdr:col>
      <xdr:colOff>2339816</xdr:colOff>
      <xdr:row>337</xdr:row>
      <xdr:rowOff>661988</xdr:rowOff>
    </xdr:to>
    <xdr:pic>
      <xdr:nvPicPr>
        <xdr:cNvPr id="675" name="Picture 674" descr="Insight Picture 674">
          <a:extLst>
            <a:ext uri="{FF2B5EF4-FFF2-40B4-BE49-F238E27FC236}">
              <a16:creationId xmlns:a16="http://schemas.microsoft.com/office/drawing/2014/main" id="{F5EB3730-1B7C-3F83-2198-F957B2A3B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296703" y="284973713"/>
          <a:ext cx="2043113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250269</xdr:colOff>
      <xdr:row>338</xdr:row>
      <xdr:rowOff>63822</xdr:rowOff>
    </xdr:from>
    <xdr:to>
      <xdr:col>0</xdr:col>
      <xdr:colOff>2386250</xdr:colOff>
      <xdr:row>338</xdr:row>
      <xdr:rowOff>721047</xdr:rowOff>
    </xdr:to>
    <xdr:pic>
      <xdr:nvPicPr>
        <xdr:cNvPr id="677" name="Picture 676" descr="Insight Picture 676">
          <a:extLst>
            <a:ext uri="{FF2B5EF4-FFF2-40B4-BE49-F238E27FC236}">
              <a16:creationId xmlns:a16="http://schemas.microsoft.com/office/drawing/2014/main" id="{5DF786D8-05E4-A27C-6085-ED8BE6A02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250269" y="285699522"/>
          <a:ext cx="2135981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536020</xdr:colOff>
      <xdr:row>339</xdr:row>
      <xdr:rowOff>62146</xdr:rowOff>
    </xdr:from>
    <xdr:to>
      <xdr:col>0</xdr:col>
      <xdr:colOff>2100501</xdr:colOff>
      <xdr:row>339</xdr:row>
      <xdr:rowOff>669365</xdr:rowOff>
    </xdr:to>
    <xdr:pic>
      <xdr:nvPicPr>
        <xdr:cNvPr id="679" name="Picture 678" descr="Insight Picture 678">
          <a:extLst>
            <a:ext uri="{FF2B5EF4-FFF2-40B4-BE49-F238E27FC236}">
              <a16:creationId xmlns:a16="http://schemas.microsoft.com/office/drawing/2014/main" id="{9D099B69-5F83-F128-8BA3-394A248C5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536020" y="286482706"/>
          <a:ext cx="1564481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328851</xdr:colOff>
      <xdr:row>340</xdr:row>
      <xdr:rowOff>63331</xdr:rowOff>
    </xdr:from>
    <xdr:to>
      <xdr:col>0</xdr:col>
      <xdr:colOff>2307670</xdr:colOff>
      <xdr:row>340</xdr:row>
      <xdr:rowOff>820569</xdr:rowOff>
    </xdr:to>
    <xdr:pic>
      <xdr:nvPicPr>
        <xdr:cNvPr id="681" name="Picture 680" descr="Insight Picture 680">
          <a:extLst>
            <a:ext uri="{FF2B5EF4-FFF2-40B4-BE49-F238E27FC236}">
              <a16:creationId xmlns:a16="http://schemas.microsoft.com/office/drawing/2014/main" id="{58E00B6F-4A01-3B9F-E2B5-1C1C957EA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328851" y="287215411"/>
          <a:ext cx="1978819" cy="757238"/>
        </a:xfrm>
        <a:prstGeom prst="rect">
          <a:avLst/>
        </a:prstGeom>
      </xdr:spPr>
    </xdr:pic>
    <xdr:clientData/>
  </xdr:twoCellAnchor>
  <xdr:twoCellAnchor editAs="oneCell">
    <xdr:from>
      <xdr:col>0</xdr:col>
      <xdr:colOff>278844</xdr:colOff>
      <xdr:row>341</xdr:row>
      <xdr:rowOff>60722</xdr:rowOff>
    </xdr:from>
    <xdr:to>
      <xdr:col>0</xdr:col>
      <xdr:colOff>2357675</xdr:colOff>
      <xdr:row>341</xdr:row>
      <xdr:rowOff>967978</xdr:rowOff>
    </xdr:to>
    <xdr:pic>
      <xdr:nvPicPr>
        <xdr:cNvPr id="683" name="Picture 682" descr="Insight Picture 682">
          <a:extLst>
            <a:ext uri="{FF2B5EF4-FFF2-40B4-BE49-F238E27FC236}">
              <a16:creationId xmlns:a16="http://schemas.microsoft.com/office/drawing/2014/main" id="{DC724E15-0C16-FB3E-5908-0061C9047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278844" y="288096722"/>
          <a:ext cx="2078831" cy="907256"/>
        </a:xfrm>
        <a:prstGeom prst="rect">
          <a:avLst/>
        </a:prstGeom>
      </xdr:spPr>
    </xdr:pic>
    <xdr:clientData/>
  </xdr:twoCellAnchor>
  <xdr:twoCellAnchor editAs="oneCell">
    <xdr:from>
      <xdr:col>0</xdr:col>
      <xdr:colOff>568166</xdr:colOff>
      <xdr:row>342</xdr:row>
      <xdr:rowOff>61664</xdr:rowOff>
    </xdr:from>
    <xdr:to>
      <xdr:col>0</xdr:col>
      <xdr:colOff>2068354</xdr:colOff>
      <xdr:row>342</xdr:row>
      <xdr:rowOff>540295</xdr:rowOff>
    </xdr:to>
    <xdr:pic>
      <xdr:nvPicPr>
        <xdr:cNvPr id="685" name="Picture 684" descr="Insight Picture 684">
          <a:extLst>
            <a:ext uri="{FF2B5EF4-FFF2-40B4-BE49-F238E27FC236}">
              <a16:creationId xmlns:a16="http://schemas.microsoft.com/office/drawing/2014/main" id="{F9EF9661-660E-6479-97D7-F0636596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568166" y="289126364"/>
          <a:ext cx="1500188" cy="478631"/>
        </a:xfrm>
        <a:prstGeom prst="rect">
          <a:avLst/>
        </a:prstGeom>
      </xdr:spPr>
    </xdr:pic>
    <xdr:clientData/>
  </xdr:twoCellAnchor>
  <xdr:twoCellAnchor editAs="oneCell">
    <xdr:from>
      <xdr:col>0</xdr:col>
      <xdr:colOff>568166</xdr:colOff>
      <xdr:row>343</xdr:row>
      <xdr:rowOff>61669</xdr:rowOff>
    </xdr:from>
    <xdr:to>
      <xdr:col>0</xdr:col>
      <xdr:colOff>2068354</xdr:colOff>
      <xdr:row>343</xdr:row>
      <xdr:rowOff>540300</xdr:rowOff>
    </xdr:to>
    <xdr:pic>
      <xdr:nvPicPr>
        <xdr:cNvPr id="687" name="Picture 686" descr="Insight Picture 686">
          <a:extLst>
            <a:ext uri="{FF2B5EF4-FFF2-40B4-BE49-F238E27FC236}">
              <a16:creationId xmlns:a16="http://schemas.microsoft.com/office/drawing/2014/main" id="{A1AF74AF-95C4-87C9-D139-E7FFA6034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568166" y="289728349"/>
          <a:ext cx="1500188" cy="478631"/>
        </a:xfrm>
        <a:prstGeom prst="rect">
          <a:avLst/>
        </a:prstGeom>
      </xdr:spPr>
    </xdr:pic>
    <xdr:clientData/>
  </xdr:twoCellAnchor>
  <xdr:twoCellAnchor editAs="oneCell">
    <xdr:from>
      <xdr:col>0</xdr:col>
      <xdr:colOff>468153</xdr:colOff>
      <xdr:row>344</xdr:row>
      <xdr:rowOff>61674</xdr:rowOff>
    </xdr:from>
    <xdr:to>
      <xdr:col>0</xdr:col>
      <xdr:colOff>2168366</xdr:colOff>
      <xdr:row>344</xdr:row>
      <xdr:rowOff>540305</xdr:rowOff>
    </xdr:to>
    <xdr:pic>
      <xdr:nvPicPr>
        <xdr:cNvPr id="689" name="Picture 688" descr="Insight Picture 688">
          <a:extLst>
            <a:ext uri="{FF2B5EF4-FFF2-40B4-BE49-F238E27FC236}">
              <a16:creationId xmlns:a16="http://schemas.microsoft.com/office/drawing/2014/main" id="{87999CC7-9EC5-F5FA-39CA-42455C0AA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468153" y="290330334"/>
          <a:ext cx="1700213" cy="478631"/>
        </a:xfrm>
        <a:prstGeom prst="rect">
          <a:avLst/>
        </a:prstGeom>
      </xdr:spPr>
    </xdr:pic>
    <xdr:clientData/>
  </xdr:twoCellAnchor>
  <xdr:twoCellAnchor editAs="oneCell">
    <xdr:from>
      <xdr:col>0</xdr:col>
      <xdr:colOff>461010</xdr:colOff>
      <xdr:row>345</xdr:row>
      <xdr:rowOff>62151</xdr:rowOff>
    </xdr:from>
    <xdr:to>
      <xdr:col>0</xdr:col>
      <xdr:colOff>2175510</xdr:colOff>
      <xdr:row>345</xdr:row>
      <xdr:rowOff>555070</xdr:rowOff>
    </xdr:to>
    <xdr:pic>
      <xdr:nvPicPr>
        <xdr:cNvPr id="691" name="Picture 690" descr="Insight Picture 690">
          <a:extLst>
            <a:ext uri="{FF2B5EF4-FFF2-40B4-BE49-F238E27FC236}">
              <a16:creationId xmlns:a16="http://schemas.microsoft.com/office/drawing/2014/main" id="{34E218F2-5D7C-1582-4B3B-F139D3610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461010" y="290932791"/>
          <a:ext cx="1714500" cy="492919"/>
        </a:xfrm>
        <a:prstGeom prst="rect">
          <a:avLst/>
        </a:prstGeom>
      </xdr:spPr>
    </xdr:pic>
    <xdr:clientData/>
  </xdr:twoCellAnchor>
  <xdr:twoCellAnchor editAs="oneCell">
    <xdr:from>
      <xdr:col>0</xdr:col>
      <xdr:colOff>461010</xdr:colOff>
      <xdr:row>346</xdr:row>
      <xdr:rowOff>60732</xdr:rowOff>
    </xdr:from>
    <xdr:to>
      <xdr:col>0</xdr:col>
      <xdr:colOff>2175510</xdr:colOff>
      <xdr:row>346</xdr:row>
      <xdr:rowOff>625088</xdr:rowOff>
    </xdr:to>
    <xdr:pic>
      <xdr:nvPicPr>
        <xdr:cNvPr id="693" name="Picture 692" descr="Insight Picture 692">
          <a:extLst>
            <a:ext uri="{FF2B5EF4-FFF2-40B4-BE49-F238E27FC236}">
              <a16:creationId xmlns:a16="http://schemas.microsoft.com/office/drawing/2014/main" id="{94577EB8-A4AB-964A-EC6B-7FFAF8BCF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461010" y="291548592"/>
          <a:ext cx="1714500" cy="564356"/>
        </a:xfrm>
        <a:prstGeom prst="rect">
          <a:avLst/>
        </a:prstGeom>
      </xdr:spPr>
    </xdr:pic>
    <xdr:clientData/>
  </xdr:twoCellAnchor>
  <xdr:twoCellAnchor editAs="oneCell">
    <xdr:from>
      <xdr:col>0</xdr:col>
      <xdr:colOff>425291</xdr:colOff>
      <xdr:row>347</xdr:row>
      <xdr:rowOff>62146</xdr:rowOff>
    </xdr:from>
    <xdr:to>
      <xdr:col>0</xdr:col>
      <xdr:colOff>2211229</xdr:colOff>
      <xdr:row>347</xdr:row>
      <xdr:rowOff>555065</xdr:rowOff>
    </xdr:to>
    <xdr:pic>
      <xdr:nvPicPr>
        <xdr:cNvPr id="695" name="Picture 694" descr="Insight Picture 694">
          <a:extLst>
            <a:ext uri="{FF2B5EF4-FFF2-40B4-BE49-F238E27FC236}">
              <a16:creationId xmlns:a16="http://schemas.microsoft.com/office/drawing/2014/main" id="{B4B2C219-7539-57B4-8D68-D7FC7C9B5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425291" y="292235806"/>
          <a:ext cx="1785938" cy="492919"/>
        </a:xfrm>
        <a:prstGeom prst="rect">
          <a:avLst/>
        </a:prstGeom>
      </xdr:spPr>
    </xdr:pic>
    <xdr:clientData/>
  </xdr:twoCellAnchor>
  <xdr:twoCellAnchor editAs="oneCell">
    <xdr:from>
      <xdr:col>0</xdr:col>
      <xdr:colOff>389572</xdr:colOff>
      <xdr:row>348</xdr:row>
      <xdr:rowOff>62141</xdr:rowOff>
    </xdr:from>
    <xdr:to>
      <xdr:col>0</xdr:col>
      <xdr:colOff>2246947</xdr:colOff>
      <xdr:row>348</xdr:row>
      <xdr:rowOff>555060</xdr:rowOff>
    </xdr:to>
    <xdr:pic>
      <xdr:nvPicPr>
        <xdr:cNvPr id="697" name="Picture 696" descr="Insight Picture 696">
          <a:extLst>
            <a:ext uri="{FF2B5EF4-FFF2-40B4-BE49-F238E27FC236}">
              <a16:creationId xmlns:a16="http://schemas.microsoft.com/office/drawing/2014/main" id="{F58CB1B7-51D1-A9B1-B4C4-B8802D4BF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389572" y="292853021"/>
          <a:ext cx="1857375" cy="492919"/>
        </a:xfrm>
        <a:prstGeom prst="rect">
          <a:avLst/>
        </a:prstGeom>
      </xdr:spPr>
    </xdr:pic>
    <xdr:clientData/>
  </xdr:twoCellAnchor>
  <xdr:twoCellAnchor editAs="oneCell">
    <xdr:from>
      <xdr:col>0</xdr:col>
      <xdr:colOff>375285</xdr:colOff>
      <xdr:row>349</xdr:row>
      <xdr:rowOff>62161</xdr:rowOff>
    </xdr:from>
    <xdr:to>
      <xdr:col>0</xdr:col>
      <xdr:colOff>2261235</xdr:colOff>
      <xdr:row>349</xdr:row>
      <xdr:rowOff>555080</xdr:rowOff>
    </xdr:to>
    <xdr:pic>
      <xdr:nvPicPr>
        <xdr:cNvPr id="699" name="Picture 698" descr="Insight Picture 698">
          <a:extLst>
            <a:ext uri="{FF2B5EF4-FFF2-40B4-BE49-F238E27FC236}">
              <a16:creationId xmlns:a16="http://schemas.microsoft.com/office/drawing/2014/main" id="{E548395C-3096-C6CE-437A-9A381DBCC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375285" y="293470261"/>
          <a:ext cx="1885950" cy="492919"/>
        </a:xfrm>
        <a:prstGeom prst="rect">
          <a:avLst/>
        </a:prstGeom>
      </xdr:spPr>
    </xdr:pic>
    <xdr:clientData/>
  </xdr:twoCellAnchor>
  <xdr:twoCellAnchor editAs="oneCell">
    <xdr:from>
      <xdr:col>0</xdr:col>
      <xdr:colOff>353853</xdr:colOff>
      <xdr:row>350</xdr:row>
      <xdr:rowOff>62156</xdr:rowOff>
    </xdr:from>
    <xdr:to>
      <xdr:col>0</xdr:col>
      <xdr:colOff>2282666</xdr:colOff>
      <xdr:row>350</xdr:row>
      <xdr:rowOff>555075</xdr:rowOff>
    </xdr:to>
    <xdr:pic>
      <xdr:nvPicPr>
        <xdr:cNvPr id="701" name="Picture 700" descr="Insight Picture 700">
          <a:extLst>
            <a:ext uri="{FF2B5EF4-FFF2-40B4-BE49-F238E27FC236}">
              <a16:creationId xmlns:a16="http://schemas.microsoft.com/office/drawing/2014/main" id="{82946C9A-1B83-8FC0-E01D-61ED2F01E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353853" y="294087476"/>
          <a:ext cx="1928813" cy="492919"/>
        </a:xfrm>
        <a:prstGeom prst="rect">
          <a:avLst/>
        </a:prstGeom>
      </xdr:spPr>
    </xdr:pic>
    <xdr:clientData/>
  </xdr:twoCellAnchor>
  <xdr:twoCellAnchor editAs="oneCell">
    <xdr:from>
      <xdr:col>0</xdr:col>
      <xdr:colOff>475297</xdr:colOff>
      <xdr:row>351</xdr:row>
      <xdr:rowOff>61679</xdr:rowOff>
    </xdr:from>
    <xdr:to>
      <xdr:col>0</xdr:col>
      <xdr:colOff>2161222</xdr:colOff>
      <xdr:row>351</xdr:row>
      <xdr:rowOff>540310</xdr:rowOff>
    </xdr:to>
    <xdr:pic>
      <xdr:nvPicPr>
        <xdr:cNvPr id="703" name="Picture 702" descr="Insight Picture 702">
          <a:extLst>
            <a:ext uri="{FF2B5EF4-FFF2-40B4-BE49-F238E27FC236}">
              <a16:creationId xmlns:a16="http://schemas.microsoft.com/office/drawing/2014/main" id="{B4CF51FF-D1C7-61E6-79F1-F257D6E92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475297" y="294704219"/>
          <a:ext cx="1685925" cy="478631"/>
        </a:xfrm>
        <a:prstGeom prst="rect">
          <a:avLst/>
        </a:prstGeom>
      </xdr:spPr>
    </xdr:pic>
    <xdr:clientData/>
  </xdr:twoCellAnchor>
  <xdr:twoCellAnchor editAs="oneCell">
    <xdr:from>
      <xdr:col>0</xdr:col>
      <xdr:colOff>396716</xdr:colOff>
      <xdr:row>352</xdr:row>
      <xdr:rowOff>61684</xdr:rowOff>
    </xdr:from>
    <xdr:to>
      <xdr:col>0</xdr:col>
      <xdr:colOff>2239804</xdr:colOff>
      <xdr:row>352</xdr:row>
      <xdr:rowOff>540315</xdr:rowOff>
    </xdr:to>
    <xdr:pic>
      <xdr:nvPicPr>
        <xdr:cNvPr id="705" name="Picture 704" descr="Insight Picture 704">
          <a:extLst>
            <a:ext uri="{FF2B5EF4-FFF2-40B4-BE49-F238E27FC236}">
              <a16:creationId xmlns:a16="http://schemas.microsoft.com/office/drawing/2014/main" id="{B8392646-46B7-E6BE-BC09-F59FB7926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396716" y="295306204"/>
          <a:ext cx="1843088" cy="478631"/>
        </a:xfrm>
        <a:prstGeom prst="rect">
          <a:avLst/>
        </a:prstGeom>
      </xdr:spPr>
    </xdr:pic>
    <xdr:clientData/>
  </xdr:twoCellAnchor>
  <xdr:twoCellAnchor editAs="oneCell">
    <xdr:from>
      <xdr:col>0</xdr:col>
      <xdr:colOff>268128</xdr:colOff>
      <xdr:row>353</xdr:row>
      <xdr:rowOff>63574</xdr:rowOff>
    </xdr:from>
    <xdr:to>
      <xdr:col>0</xdr:col>
      <xdr:colOff>2368391</xdr:colOff>
      <xdr:row>353</xdr:row>
      <xdr:rowOff>599355</xdr:rowOff>
    </xdr:to>
    <xdr:pic>
      <xdr:nvPicPr>
        <xdr:cNvPr id="707" name="Picture 706" descr="Insight Picture 706">
          <a:extLst>
            <a:ext uri="{FF2B5EF4-FFF2-40B4-BE49-F238E27FC236}">
              <a16:creationId xmlns:a16="http://schemas.microsoft.com/office/drawing/2014/main" id="{93FEF683-B8CE-149E-491B-456762226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268128" y="295910074"/>
          <a:ext cx="2100263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268128</xdr:colOff>
      <xdr:row>354</xdr:row>
      <xdr:rowOff>63589</xdr:rowOff>
    </xdr:from>
    <xdr:to>
      <xdr:col>0</xdr:col>
      <xdr:colOff>2368391</xdr:colOff>
      <xdr:row>354</xdr:row>
      <xdr:rowOff>599370</xdr:rowOff>
    </xdr:to>
    <xdr:pic>
      <xdr:nvPicPr>
        <xdr:cNvPr id="709" name="Picture 708" descr="Insight Picture 708">
          <a:extLst>
            <a:ext uri="{FF2B5EF4-FFF2-40B4-BE49-F238E27FC236}">
              <a16:creationId xmlns:a16="http://schemas.microsoft.com/office/drawing/2014/main" id="{FFAF3500-5421-7255-1D4A-9464BF84A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268128" y="296573029"/>
          <a:ext cx="2100263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246697</xdr:colOff>
      <xdr:row>355</xdr:row>
      <xdr:rowOff>62141</xdr:rowOff>
    </xdr:from>
    <xdr:to>
      <xdr:col>0</xdr:col>
      <xdr:colOff>2389822</xdr:colOff>
      <xdr:row>355</xdr:row>
      <xdr:rowOff>555060</xdr:rowOff>
    </xdr:to>
    <xdr:pic>
      <xdr:nvPicPr>
        <xdr:cNvPr id="711" name="Picture 710" descr="Insight Picture 710">
          <a:extLst>
            <a:ext uri="{FF2B5EF4-FFF2-40B4-BE49-F238E27FC236}">
              <a16:creationId xmlns:a16="http://schemas.microsoft.com/office/drawing/2014/main" id="{D024082E-EA89-CFCE-A88D-022E9A55B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246697" y="297234521"/>
          <a:ext cx="2143125" cy="492919"/>
        </a:xfrm>
        <a:prstGeom prst="rect">
          <a:avLst/>
        </a:prstGeom>
      </xdr:spPr>
    </xdr:pic>
    <xdr:clientData/>
  </xdr:twoCellAnchor>
  <xdr:twoCellAnchor editAs="oneCell">
    <xdr:from>
      <xdr:col>0</xdr:col>
      <xdr:colOff>375285</xdr:colOff>
      <xdr:row>356</xdr:row>
      <xdr:rowOff>62632</xdr:rowOff>
    </xdr:from>
    <xdr:to>
      <xdr:col>0</xdr:col>
      <xdr:colOff>2261235</xdr:colOff>
      <xdr:row>356</xdr:row>
      <xdr:rowOff>798438</xdr:rowOff>
    </xdr:to>
    <xdr:pic>
      <xdr:nvPicPr>
        <xdr:cNvPr id="713" name="Picture 712" descr="Insight Picture 712">
          <a:extLst>
            <a:ext uri="{FF2B5EF4-FFF2-40B4-BE49-F238E27FC236}">
              <a16:creationId xmlns:a16="http://schemas.microsoft.com/office/drawing/2014/main" id="{6F2CB647-2FCD-E97D-4702-26AB35CAF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375285" y="297852232"/>
          <a:ext cx="1885950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243126</xdr:colOff>
      <xdr:row>357</xdr:row>
      <xdr:rowOff>63584</xdr:rowOff>
    </xdr:from>
    <xdr:to>
      <xdr:col>0</xdr:col>
      <xdr:colOff>2393395</xdr:colOff>
      <xdr:row>357</xdr:row>
      <xdr:rowOff>599365</xdr:rowOff>
    </xdr:to>
    <xdr:pic>
      <xdr:nvPicPr>
        <xdr:cNvPr id="715" name="Picture 714" descr="Insight Picture 714">
          <a:extLst>
            <a:ext uri="{FF2B5EF4-FFF2-40B4-BE49-F238E27FC236}">
              <a16:creationId xmlns:a16="http://schemas.microsoft.com/office/drawing/2014/main" id="{0D816A99-2F29-86A0-0628-6B772760C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243126" y="298714244"/>
          <a:ext cx="2150269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375285</xdr:colOff>
      <xdr:row>358</xdr:row>
      <xdr:rowOff>62632</xdr:rowOff>
    </xdr:from>
    <xdr:to>
      <xdr:col>0</xdr:col>
      <xdr:colOff>2261235</xdr:colOff>
      <xdr:row>358</xdr:row>
      <xdr:rowOff>798438</xdr:rowOff>
    </xdr:to>
    <xdr:pic>
      <xdr:nvPicPr>
        <xdr:cNvPr id="717" name="Picture 716" descr="Insight Picture 716">
          <a:extLst>
            <a:ext uri="{FF2B5EF4-FFF2-40B4-BE49-F238E27FC236}">
              <a16:creationId xmlns:a16="http://schemas.microsoft.com/office/drawing/2014/main" id="{FF29DECA-42F8-778E-729B-2F1C54647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375285" y="299376232"/>
          <a:ext cx="1885950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375285</xdr:colOff>
      <xdr:row>359</xdr:row>
      <xdr:rowOff>60236</xdr:rowOff>
    </xdr:from>
    <xdr:to>
      <xdr:col>0</xdr:col>
      <xdr:colOff>2261235</xdr:colOff>
      <xdr:row>359</xdr:row>
      <xdr:rowOff>838905</xdr:rowOff>
    </xdr:to>
    <xdr:pic>
      <xdr:nvPicPr>
        <xdr:cNvPr id="719" name="Picture 718" descr="Insight Picture 718">
          <a:extLst>
            <a:ext uri="{FF2B5EF4-FFF2-40B4-BE49-F238E27FC236}">
              <a16:creationId xmlns:a16="http://schemas.microsoft.com/office/drawing/2014/main" id="{7DCACE43-1926-DBB1-59E9-F1521DA67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375285" y="300234896"/>
          <a:ext cx="1885950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478869</xdr:colOff>
      <xdr:row>360</xdr:row>
      <xdr:rowOff>62627</xdr:rowOff>
    </xdr:from>
    <xdr:to>
      <xdr:col>0</xdr:col>
      <xdr:colOff>2157650</xdr:colOff>
      <xdr:row>360</xdr:row>
      <xdr:rowOff>798433</xdr:rowOff>
    </xdr:to>
    <xdr:pic>
      <xdr:nvPicPr>
        <xdr:cNvPr id="721" name="Picture 720" descr="Insight Picture 720">
          <a:extLst>
            <a:ext uri="{FF2B5EF4-FFF2-40B4-BE49-F238E27FC236}">
              <a16:creationId xmlns:a16="http://schemas.microsoft.com/office/drawing/2014/main" id="{620A6D60-86BE-BC42-7976-D3AC80D38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478869" y="301136447"/>
          <a:ext cx="1678781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571738</xdr:colOff>
      <xdr:row>361</xdr:row>
      <xdr:rowOff>61198</xdr:rowOff>
    </xdr:from>
    <xdr:to>
      <xdr:col>0</xdr:col>
      <xdr:colOff>2064782</xdr:colOff>
      <xdr:row>361</xdr:row>
      <xdr:rowOff>639842</xdr:rowOff>
    </xdr:to>
    <xdr:pic>
      <xdr:nvPicPr>
        <xdr:cNvPr id="723" name="Picture 722" descr="Insight Picture 722">
          <a:extLst>
            <a:ext uri="{FF2B5EF4-FFF2-40B4-BE49-F238E27FC236}">
              <a16:creationId xmlns:a16="http://schemas.microsoft.com/office/drawing/2014/main" id="{3DB3CC2B-D73C-5FA6-FBA2-1DDB08D09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571738" y="301996078"/>
          <a:ext cx="1493044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571738</xdr:colOff>
      <xdr:row>362</xdr:row>
      <xdr:rowOff>61188</xdr:rowOff>
    </xdr:from>
    <xdr:to>
      <xdr:col>0</xdr:col>
      <xdr:colOff>2064782</xdr:colOff>
      <xdr:row>362</xdr:row>
      <xdr:rowOff>639832</xdr:rowOff>
    </xdr:to>
    <xdr:pic>
      <xdr:nvPicPr>
        <xdr:cNvPr id="725" name="Picture 724" descr="Insight Picture 724">
          <a:extLst>
            <a:ext uri="{FF2B5EF4-FFF2-40B4-BE49-F238E27FC236}">
              <a16:creationId xmlns:a16="http://schemas.microsoft.com/office/drawing/2014/main" id="{55360E37-362F-9BFC-97B7-E803DEF92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571738" y="302697108"/>
          <a:ext cx="1493044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450294</xdr:colOff>
      <xdr:row>363</xdr:row>
      <xdr:rowOff>62617</xdr:rowOff>
    </xdr:from>
    <xdr:to>
      <xdr:col>0</xdr:col>
      <xdr:colOff>2186225</xdr:colOff>
      <xdr:row>363</xdr:row>
      <xdr:rowOff>798423</xdr:rowOff>
    </xdr:to>
    <xdr:pic>
      <xdr:nvPicPr>
        <xdr:cNvPr id="727" name="Picture 726" descr="Insight Picture 726">
          <a:extLst>
            <a:ext uri="{FF2B5EF4-FFF2-40B4-BE49-F238E27FC236}">
              <a16:creationId xmlns:a16="http://schemas.microsoft.com/office/drawing/2014/main" id="{1D90E3D3-BE99-C62B-1109-CA39B6715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450294" y="303399577"/>
          <a:ext cx="1735931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464582</xdr:colOff>
      <xdr:row>364</xdr:row>
      <xdr:rowOff>61436</xdr:rowOff>
    </xdr:from>
    <xdr:to>
      <xdr:col>0</xdr:col>
      <xdr:colOff>2171938</xdr:colOff>
      <xdr:row>364</xdr:row>
      <xdr:rowOff>875824</xdr:rowOff>
    </xdr:to>
    <xdr:pic>
      <xdr:nvPicPr>
        <xdr:cNvPr id="729" name="Picture 728" descr="Insight Picture 728">
          <a:extLst>
            <a:ext uri="{FF2B5EF4-FFF2-40B4-BE49-F238E27FC236}">
              <a16:creationId xmlns:a16="http://schemas.microsoft.com/office/drawing/2014/main" id="{08C243C1-A2A1-4EB5-72F3-478B0A2FD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464582" y="304259456"/>
          <a:ext cx="1707356" cy="814388"/>
        </a:xfrm>
        <a:prstGeom prst="rect">
          <a:avLst/>
        </a:prstGeom>
      </xdr:spPr>
    </xdr:pic>
    <xdr:clientData/>
  </xdr:twoCellAnchor>
  <xdr:twoCellAnchor editAs="oneCell">
    <xdr:from>
      <xdr:col>0</xdr:col>
      <xdr:colOff>364569</xdr:colOff>
      <xdr:row>365</xdr:row>
      <xdr:rowOff>61446</xdr:rowOff>
    </xdr:from>
    <xdr:to>
      <xdr:col>0</xdr:col>
      <xdr:colOff>2271950</xdr:colOff>
      <xdr:row>365</xdr:row>
      <xdr:rowOff>875834</xdr:rowOff>
    </xdr:to>
    <xdr:pic>
      <xdr:nvPicPr>
        <xdr:cNvPr id="731" name="Picture 730" descr="Insight Picture 730">
          <a:extLst>
            <a:ext uri="{FF2B5EF4-FFF2-40B4-BE49-F238E27FC236}">
              <a16:creationId xmlns:a16="http://schemas.microsoft.com/office/drawing/2014/main" id="{550407D3-C757-CFD9-44BB-F05813E32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364569" y="305196726"/>
          <a:ext cx="1907381" cy="814388"/>
        </a:xfrm>
        <a:prstGeom prst="rect">
          <a:avLst/>
        </a:prstGeom>
      </xdr:spPr>
    </xdr:pic>
    <xdr:clientData/>
  </xdr:twoCellAnchor>
  <xdr:twoCellAnchor editAs="oneCell">
    <xdr:from>
      <xdr:col>0</xdr:col>
      <xdr:colOff>364569</xdr:colOff>
      <xdr:row>366</xdr:row>
      <xdr:rowOff>62622</xdr:rowOff>
    </xdr:from>
    <xdr:to>
      <xdr:col>0</xdr:col>
      <xdr:colOff>2271950</xdr:colOff>
      <xdr:row>366</xdr:row>
      <xdr:rowOff>798428</xdr:rowOff>
    </xdr:to>
    <xdr:pic>
      <xdr:nvPicPr>
        <xdr:cNvPr id="733" name="Picture 732" descr="Insight Picture 732">
          <a:extLst>
            <a:ext uri="{FF2B5EF4-FFF2-40B4-BE49-F238E27FC236}">
              <a16:creationId xmlns:a16="http://schemas.microsoft.com/office/drawing/2014/main" id="{70340419-3AC7-DD7B-736D-FE5E4ED5C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364569" y="306135162"/>
          <a:ext cx="1907381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328851</xdr:colOff>
      <xdr:row>367</xdr:row>
      <xdr:rowOff>62632</xdr:rowOff>
    </xdr:from>
    <xdr:to>
      <xdr:col>0</xdr:col>
      <xdr:colOff>2307670</xdr:colOff>
      <xdr:row>367</xdr:row>
      <xdr:rowOff>798438</xdr:rowOff>
    </xdr:to>
    <xdr:pic>
      <xdr:nvPicPr>
        <xdr:cNvPr id="735" name="Picture 734" descr="Insight Picture 734">
          <a:extLst>
            <a:ext uri="{FF2B5EF4-FFF2-40B4-BE49-F238E27FC236}">
              <a16:creationId xmlns:a16="http://schemas.microsoft.com/office/drawing/2014/main" id="{8D0DADF5-553A-EC86-E523-B9D57F0BE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328851" y="306996232"/>
          <a:ext cx="1978819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293132</xdr:colOff>
      <xdr:row>368</xdr:row>
      <xdr:rowOff>62617</xdr:rowOff>
    </xdr:from>
    <xdr:to>
      <xdr:col>0</xdr:col>
      <xdr:colOff>2343388</xdr:colOff>
      <xdr:row>368</xdr:row>
      <xdr:rowOff>798423</xdr:rowOff>
    </xdr:to>
    <xdr:pic>
      <xdr:nvPicPr>
        <xdr:cNvPr id="737" name="Picture 736" descr="Insight Picture 736">
          <a:extLst>
            <a:ext uri="{FF2B5EF4-FFF2-40B4-BE49-F238E27FC236}">
              <a16:creationId xmlns:a16="http://schemas.microsoft.com/office/drawing/2014/main" id="{1890FDB6-2B19-6571-68EE-098A3B2E4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293132" y="307857277"/>
          <a:ext cx="2050256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253841</xdr:colOff>
      <xdr:row>369</xdr:row>
      <xdr:rowOff>62627</xdr:rowOff>
    </xdr:from>
    <xdr:to>
      <xdr:col>0</xdr:col>
      <xdr:colOff>2382679</xdr:colOff>
      <xdr:row>369</xdr:row>
      <xdr:rowOff>798433</xdr:rowOff>
    </xdr:to>
    <xdr:pic>
      <xdr:nvPicPr>
        <xdr:cNvPr id="739" name="Picture 738" descr="Insight Picture 738">
          <a:extLst>
            <a:ext uri="{FF2B5EF4-FFF2-40B4-BE49-F238E27FC236}">
              <a16:creationId xmlns:a16="http://schemas.microsoft.com/office/drawing/2014/main" id="{79AA3D76-3C57-5389-6C0C-BB82ED2A2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253841" y="308718347"/>
          <a:ext cx="2128838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293132</xdr:colOff>
      <xdr:row>370</xdr:row>
      <xdr:rowOff>61446</xdr:rowOff>
    </xdr:from>
    <xdr:to>
      <xdr:col>0</xdr:col>
      <xdr:colOff>2343388</xdr:colOff>
      <xdr:row>370</xdr:row>
      <xdr:rowOff>875834</xdr:rowOff>
    </xdr:to>
    <xdr:pic>
      <xdr:nvPicPr>
        <xdr:cNvPr id="741" name="Picture 740" descr="Insight Picture 740">
          <a:extLst>
            <a:ext uri="{FF2B5EF4-FFF2-40B4-BE49-F238E27FC236}">
              <a16:creationId xmlns:a16="http://schemas.microsoft.com/office/drawing/2014/main" id="{FD64A345-F6B7-F5E3-0618-E43B4B37B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293132" y="309578226"/>
          <a:ext cx="2050256" cy="814388"/>
        </a:xfrm>
        <a:prstGeom prst="rect">
          <a:avLst/>
        </a:prstGeom>
      </xdr:spPr>
    </xdr:pic>
    <xdr:clientData/>
  </xdr:twoCellAnchor>
  <xdr:twoCellAnchor editAs="oneCell">
    <xdr:from>
      <xdr:col>0</xdr:col>
      <xdr:colOff>278844</xdr:colOff>
      <xdr:row>371</xdr:row>
      <xdr:rowOff>63093</xdr:rowOff>
    </xdr:from>
    <xdr:to>
      <xdr:col>0</xdr:col>
      <xdr:colOff>2357675</xdr:colOff>
      <xdr:row>371</xdr:row>
      <xdr:rowOff>1041787</xdr:rowOff>
    </xdr:to>
    <xdr:pic>
      <xdr:nvPicPr>
        <xdr:cNvPr id="743" name="Picture 742" descr="Insight Picture 742">
          <a:extLst>
            <a:ext uri="{FF2B5EF4-FFF2-40B4-BE49-F238E27FC236}">
              <a16:creationId xmlns:a16="http://schemas.microsoft.com/office/drawing/2014/main" id="{269E6420-774A-D18B-9137-0D3AC2BAA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278844" y="310517133"/>
          <a:ext cx="2078831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278844</xdr:colOff>
      <xdr:row>372</xdr:row>
      <xdr:rowOff>63093</xdr:rowOff>
    </xdr:from>
    <xdr:to>
      <xdr:col>0</xdr:col>
      <xdr:colOff>2357675</xdr:colOff>
      <xdr:row>372</xdr:row>
      <xdr:rowOff>1041787</xdr:rowOff>
    </xdr:to>
    <xdr:pic>
      <xdr:nvPicPr>
        <xdr:cNvPr id="745" name="Picture 744" descr="Insight Picture 744">
          <a:extLst>
            <a:ext uri="{FF2B5EF4-FFF2-40B4-BE49-F238E27FC236}">
              <a16:creationId xmlns:a16="http://schemas.microsoft.com/office/drawing/2014/main" id="{280A1984-71BB-1FC6-53A3-976E972E2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278844" y="311622033"/>
          <a:ext cx="2078831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364569</xdr:colOff>
      <xdr:row>373</xdr:row>
      <xdr:rowOff>63589</xdr:rowOff>
    </xdr:from>
    <xdr:to>
      <xdr:col>0</xdr:col>
      <xdr:colOff>2271950</xdr:colOff>
      <xdr:row>373</xdr:row>
      <xdr:rowOff>942270</xdr:rowOff>
    </xdr:to>
    <xdr:pic>
      <xdr:nvPicPr>
        <xdr:cNvPr id="747" name="Picture 746" descr="Insight Picture 746">
          <a:extLst>
            <a:ext uri="{FF2B5EF4-FFF2-40B4-BE49-F238E27FC236}">
              <a16:creationId xmlns:a16="http://schemas.microsoft.com/office/drawing/2014/main" id="{A748EC33-56D7-2EA8-5951-917209719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364569" y="312727429"/>
          <a:ext cx="1907381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368141</xdr:colOff>
      <xdr:row>374</xdr:row>
      <xdr:rowOff>63579</xdr:rowOff>
    </xdr:from>
    <xdr:to>
      <xdr:col>0</xdr:col>
      <xdr:colOff>2268379</xdr:colOff>
      <xdr:row>374</xdr:row>
      <xdr:rowOff>942260</xdr:rowOff>
    </xdr:to>
    <xdr:pic>
      <xdr:nvPicPr>
        <xdr:cNvPr id="749" name="Picture 748" descr="Insight Picture 748">
          <a:extLst>
            <a:ext uri="{FF2B5EF4-FFF2-40B4-BE49-F238E27FC236}">
              <a16:creationId xmlns:a16="http://schemas.microsoft.com/office/drawing/2014/main" id="{71EF0696-0CBF-91DD-9679-252B48ECB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368141" y="313733259"/>
          <a:ext cx="1900238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532447</xdr:colOff>
      <xdr:row>375</xdr:row>
      <xdr:rowOff>63346</xdr:rowOff>
    </xdr:from>
    <xdr:to>
      <xdr:col>0</xdr:col>
      <xdr:colOff>2104072</xdr:colOff>
      <xdr:row>375</xdr:row>
      <xdr:rowOff>591984</xdr:rowOff>
    </xdr:to>
    <xdr:pic>
      <xdr:nvPicPr>
        <xdr:cNvPr id="751" name="Picture 750" descr="Insight Picture 750">
          <a:extLst>
            <a:ext uri="{FF2B5EF4-FFF2-40B4-BE49-F238E27FC236}">
              <a16:creationId xmlns:a16="http://schemas.microsoft.com/office/drawing/2014/main" id="{A66C371C-5465-C763-8D44-E6C8AA744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532447" y="314738866"/>
          <a:ext cx="1571625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332422</xdr:colOff>
      <xdr:row>376</xdr:row>
      <xdr:rowOff>63589</xdr:rowOff>
    </xdr:from>
    <xdr:to>
      <xdr:col>0</xdr:col>
      <xdr:colOff>2304097</xdr:colOff>
      <xdr:row>376</xdr:row>
      <xdr:rowOff>599370</xdr:rowOff>
    </xdr:to>
    <xdr:pic>
      <xdr:nvPicPr>
        <xdr:cNvPr id="753" name="Picture 752" descr="Insight Picture 752">
          <a:extLst>
            <a:ext uri="{FF2B5EF4-FFF2-40B4-BE49-F238E27FC236}">
              <a16:creationId xmlns:a16="http://schemas.microsoft.com/office/drawing/2014/main" id="{FD22BD9C-D5FC-282F-7D8A-A2ECD2EF0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332422" y="315394429"/>
          <a:ext cx="1971675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403860</xdr:colOff>
      <xdr:row>377</xdr:row>
      <xdr:rowOff>60256</xdr:rowOff>
    </xdr:from>
    <xdr:to>
      <xdr:col>0</xdr:col>
      <xdr:colOff>2232660</xdr:colOff>
      <xdr:row>377</xdr:row>
      <xdr:rowOff>838925</xdr:rowOff>
    </xdr:to>
    <xdr:pic>
      <xdr:nvPicPr>
        <xdr:cNvPr id="755" name="Picture 754" descr="Insight Picture 754">
          <a:extLst>
            <a:ext uri="{FF2B5EF4-FFF2-40B4-BE49-F238E27FC236}">
              <a16:creationId xmlns:a16="http://schemas.microsoft.com/office/drawing/2014/main" id="{26971E32-5914-A500-EE96-C28250CD0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403860" y="316054036"/>
          <a:ext cx="1828800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607457</xdr:colOff>
      <xdr:row>378</xdr:row>
      <xdr:rowOff>63589</xdr:rowOff>
    </xdr:from>
    <xdr:to>
      <xdr:col>0</xdr:col>
      <xdr:colOff>2029063</xdr:colOff>
      <xdr:row>378</xdr:row>
      <xdr:rowOff>599370</xdr:rowOff>
    </xdr:to>
    <xdr:pic>
      <xdr:nvPicPr>
        <xdr:cNvPr id="757" name="Picture 756" descr="Insight Picture 756">
          <a:extLst>
            <a:ext uri="{FF2B5EF4-FFF2-40B4-BE49-F238E27FC236}">
              <a16:creationId xmlns:a16="http://schemas.microsoft.com/office/drawing/2014/main" id="{7199D346-664A-DE88-DCA8-B1EB152A6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607457" y="316956529"/>
          <a:ext cx="1421606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671750</xdr:colOff>
      <xdr:row>379</xdr:row>
      <xdr:rowOff>61446</xdr:rowOff>
    </xdr:from>
    <xdr:to>
      <xdr:col>0</xdr:col>
      <xdr:colOff>1964769</xdr:colOff>
      <xdr:row>379</xdr:row>
      <xdr:rowOff>761534</xdr:rowOff>
    </xdr:to>
    <xdr:pic>
      <xdr:nvPicPr>
        <xdr:cNvPr id="759" name="Picture 758" descr="Insight Picture 758">
          <a:extLst>
            <a:ext uri="{FF2B5EF4-FFF2-40B4-BE49-F238E27FC236}">
              <a16:creationId xmlns:a16="http://schemas.microsoft.com/office/drawing/2014/main" id="{3ED26A05-14E5-16B2-5119-98C9B61CD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671750" y="317617326"/>
          <a:ext cx="1293019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521732</xdr:colOff>
      <xdr:row>380</xdr:row>
      <xdr:rowOff>63589</xdr:rowOff>
    </xdr:from>
    <xdr:to>
      <xdr:col>0</xdr:col>
      <xdr:colOff>2114788</xdr:colOff>
      <xdr:row>380</xdr:row>
      <xdr:rowOff>599370</xdr:rowOff>
    </xdr:to>
    <xdr:pic>
      <xdr:nvPicPr>
        <xdr:cNvPr id="761" name="Picture 760" descr="Insight Picture 760">
          <a:extLst>
            <a:ext uri="{FF2B5EF4-FFF2-40B4-BE49-F238E27FC236}">
              <a16:creationId xmlns:a16="http://schemas.microsoft.com/office/drawing/2014/main" id="{A337A709-BB32-A8FF-4510-64ABF8D8F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521732" y="318442429"/>
          <a:ext cx="1593056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521732</xdr:colOff>
      <xdr:row>381</xdr:row>
      <xdr:rowOff>61446</xdr:rowOff>
    </xdr:from>
    <xdr:to>
      <xdr:col>0</xdr:col>
      <xdr:colOff>2114788</xdr:colOff>
      <xdr:row>381</xdr:row>
      <xdr:rowOff>761534</xdr:rowOff>
    </xdr:to>
    <xdr:pic>
      <xdr:nvPicPr>
        <xdr:cNvPr id="763" name="Picture 762" descr="Insight Picture 762">
          <a:extLst>
            <a:ext uri="{FF2B5EF4-FFF2-40B4-BE49-F238E27FC236}">
              <a16:creationId xmlns:a16="http://schemas.microsoft.com/office/drawing/2014/main" id="{2AFA5A1C-A478-1C78-47A7-7997A656F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521732" y="319103226"/>
          <a:ext cx="1593056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418147</xdr:colOff>
      <xdr:row>382</xdr:row>
      <xdr:rowOff>61431</xdr:rowOff>
    </xdr:from>
    <xdr:to>
      <xdr:col>0</xdr:col>
      <xdr:colOff>2218372</xdr:colOff>
      <xdr:row>382</xdr:row>
      <xdr:rowOff>761519</xdr:rowOff>
    </xdr:to>
    <xdr:pic>
      <xdr:nvPicPr>
        <xdr:cNvPr id="765" name="Picture 764" descr="Insight Picture 764">
          <a:extLst>
            <a:ext uri="{FF2B5EF4-FFF2-40B4-BE49-F238E27FC236}">
              <a16:creationId xmlns:a16="http://schemas.microsoft.com/office/drawing/2014/main" id="{EB39890E-BD89-0A9F-CD91-7280A1B7A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418147" y="319926171"/>
          <a:ext cx="1800225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428863</xdr:colOff>
      <xdr:row>383</xdr:row>
      <xdr:rowOff>63822</xdr:rowOff>
    </xdr:from>
    <xdr:to>
      <xdr:col>0</xdr:col>
      <xdr:colOff>2207657</xdr:colOff>
      <xdr:row>383</xdr:row>
      <xdr:rowOff>1063947</xdr:rowOff>
    </xdr:to>
    <xdr:pic>
      <xdr:nvPicPr>
        <xdr:cNvPr id="767" name="Picture 766" descr="Insight Picture 766">
          <a:extLst>
            <a:ext uri="{FF2B5EF4-FFF2-40B4-BE49-F238E27FC236}">
              <a16:creationId xmlns:a16="http://schemas.microsoft.com/office/drawing/2014/main" id="{CDA91C1F-5896-7E98-839A-43F9C1043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428863" y="320751522"/>
          <a:ext cx="1778794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407432</xdr:colOff>
      <xdr:row>384</xdr:row>
      <xdr:rowOff>62394</xdr:rowOff>
    </xdr:from>
    <xdr:to>
      <xdr:col>0</xdr:col>
      <xdr:colOff>2229088</xdr:colOff>
      <xdr:row>384</xdr:row>
      <xdr:rowOff>1019657</xdr:rowOff>
    </xdr:to>
    <xdr:pic>
      <xdr:nvPicPr>
        <xdr:cNvPr id="769" name="Picture 768" descr="Insight Picture 768">
          <a:extLst>
            <a:ext uri="{FF2B5EF4-FFF2-40B4-BE49-F238E27FC236}">
              <a16:creationId xmlns:a16="http://schemas.microsoft.com/office/drawing/2014/main" id="{7E267091-AFF0-8773-38F7-7B796F0DB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407432" y="321877854"/>
          <a:ext cx="1821656" cy="957263"/>
        </a:xfrm>
        <a:prstGeom prst="rect">
          <a:avLst/>
        </a:prstGeom>
      </xdr:spPr>
    </xdr:pic>
    <xdr:clientData/>
  </xdr:twoCellAnchor>
  <xdr:twoCellAnchor editAs="oneCell">
    <xdr:from>
      <xdr:col>0</xdr:col>
      <xdr:colOff>307419</xdr:colOff>
      <xdr:row>385</xdr:row>
      <xdr:rowOff>62384</xdr:rowOff>
    </xdr:from>
    <xdr:to>
      <xdr:col>0</xdr:col>
      <xdr:colOff>2329100</xdr:colOff>
      <xdr:row>385</xdr:row>
      <xdr:rowOff>1019647</xdr:rowOff>
    </xdr:to>
    <xdr:pic>
      <xdr:nvPicPr>
        <xdr:cNvPr id="771" name="Picture 770" descr="Insight Picture 770">
          <a:extLst>
            <a:ext uri="{FF2B5EF4-FFF2-40B4-BE49-F238E27FC236}">
              <a16:creationId xmlns:a16="http://schemas.microsoft.com/office/drawing/2014/main" id="{CEC940E0-EF7C-21E6-DC36-CCFA37F49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307419" y="322959884"/>
          <a:ext cx="2021681" cy="957263"/>
        </a:xfrm>
        <a:prstGeom prst="rect">
          <a:avLst/>
        </a:prstGeom>
      </xdr:spPr>
    </xdr:pic>
    <xdr:clientData/>
  </xdr:twoCellAnchor>
  <xdr:twoCellAnchor editAs="oneCell">
    <xdr:from>
      <xdr:col>0</xdr:col>
      <xdr:colOff>693182</xdr:colOff>
      <xdr:row>386</xdr:row>
      <xdr:rowOff>62151</xdr:rowOff>
    </xdr:from>
    <xdr:to>
      <xdr:col>0</xdr:col>
      <xdr:colOff>1943338</xdr:colOff>
      <xdr:row>386</xdr:row>
      <xdr:rowOff>669370</xdr:rowOff>
    </xdr:to>
    <xdr:pic>
      <xdr:nvPicPr>
        <xdr:cNvPr id="773" name="Picture 772" descr="Insight Picture 772">
          <a:extLst>
            <a:ext uri="{FF2B5EF4-FFF2-40B4-BE49-F238E27FC236}">
              <a16:creationId xmlns:a16="http://schemas.microsoft.com/office/drawing/2014/main" id="{70515427-81E6-B535-B75F-7432B5103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693182" y="324041691"/>
          <a:ext cx="1250156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578882</xdr:colOff>
      <xdr:row>387</xdr:row>
      <xdr:rowOff>62394</xdr:rowOff>
    </xdr:from>
    <xdr:to>
      <xdr:col>0</xdr:col>
      <xdr:colOff>2057638</xdr:colOff>
      <xdr:row>387</xdr:row>
      <xdr:rowOff>1019657</xdr:rowOff>
    </xdr:to>
    <xdr:pic>
      <xdr:nvPicPr>
        <xdr:cNvPr id="775" name="Picture 774" descr="Insight Picture 774">
          <a:extLst>
            <a:ext uri="{FF2B5EF4-FFF2-40B4-BE49-F238E27FC236}">
              <a16:creationId xmlns:a16="http://schemas.microsoft.com/office/drawing/2014/main" id="{E639028D-35C1-97DE-E87A-9BA6D0932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578882" y="324773454"/>
          <a:ext cx="1478756" cy="957263"/>
        </a:xfrm>
        <a:prstGeom prst="rect">
          <a:avLst/>
        </a:prstGeom>
      </xdr:spPr>
    </xdr:pic>
    <xdr:clientData/>
  </xdr:twoCellAnchor>
  <xdr:twoCellAnchor editAs="oneCell">
    <xdr:from>
      <xdr:col>0</xdr:col>
      <xdr:colOff>607457</xdr:colOff>
      <xdr:row>388</xdr:row>
      <xdr:rowOff>62161</xdr:rowOff>
    </xdr:from>
    <xdr:to>
      <xdr:col>0</xdr:col>
      <xdr:colOff>2029063</xdr:colOff>
      <xdr:row>388</xdr:row>
      <xdr:rowOff>669380</xdr:rowOff>
    </xdr:to>
    <xdr:pic>
      <xdr:nvPicPr>
        <xdr:cNvPr id="777" name="Picture 776" descr="Insight Picture 776">
          <a:extLst>
            <a:ext uri="{FF2B5EF4-FFF2-40B4-BE49-F238E27FC236}">
              <a16:creationId xmlns:a16="http://schemas.microsoft.com/office/drawing/2014/main" id="{9D7D63D9-DD9C-F0F8-D3C8-69B361778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607457" y="325855261"/>
          <a:ext cx="1421606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625316</xdr:colOff>
      <xdr:row>389</xdr:row>
      <xdr:rowOff>60717</xdr:rowOff>
    </xdr:from>
    <xdr:to>
      <xdr:col>0</xdr:col>
      <xdr:colOff>2011204</xdr:colOff>
      <xdr:row>389</xdr:row>
      <xdr:rowOff>853673</xdr:rowOff>
    </xdr:to>
    <xdr:pic>
      <xdr:nvPicPr>
        <xdr:cNvPr id="779" name="Picture 778" descr="Insight Picture 778">
          <a:extLst>
            <a:ext uri="{FF2B5EF4-FFF2-40B4-BE49-F238E27FC236}">
              <a16:creationId xmlns:a16="http://schemas.microsoft.com/office/drawing/2014/main" id="{B83E511D-E065-9B1B-4490-612B5DE1E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625316" y="326585337"/>
          <a:ext cx="1385888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407432</xdr:colOff>
      <xdr:row>390</xdr:row>
      <xdr:rowOff>62379</xdr:rowOff>
    </xdr:from>
    <xdr:to>
      <xdr:col>0</xdr:col>
      <xdr:colOff>2229088</xdr:colOff>
      <xdr:row>390</xdr:row>
      <xdr:rowOff>1019642</xdr:rowOff>
    </xdr:to>
    <xdr:pic>
      <xdr:nvPicPr>
        <xdr:cNvPr id="781" name="Picture 780" descr="Insight Picture 780">
          <a:extLst>
            <a:ext uri="{FF2B5EF4-FFF2-40B4-BE49-F238E27FC236}">
              <a16:creationId xmlns:a16="http://schemas.microsoft.com/office/drawing/2014/main" id="{25505767-824D-8CA1-6D49-35143162B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407432" y="327501399"/>
          <a:ext cx="1821656" cy="957263"/>
        </a:xfrm>
        <a:prstGeom prst="rect">
          <a:avLst/>
        </a:prstGeom>
      </xdr:spPr>
    </xdr:pic>
    <xdr:clientData/>
  </xdr:twoCellAnchor>
  <xdr:twoCellAnchor editAs="oneCell">
    <xdr:from>
      <xdr:col>0</xdr:col>
      <xdr:colOff>578882</xdr:colOff>
      <xdr:row>391</xdr:row>
      <xdr:rowOff>62394</xdr:rowOff>
    </xdr:from>
    <xdr:to>
      <xdr:col>0</xdr:col>
      <xdr:colOff>2057638</xdr:colOff>
      <xdr:row>391</xdr:row>
      <xdr:rowOff>1019657</xdr:rowOff>
    </xdr:to>
    <xdr:pic>
      <xdr:nvPicPr>
        <xdr:cNvPr id="783" name="Picture 782" descr="Insight Picture 782">
          <a:extLst>
            <a:ext uri="{FF2B5EF4-FFF2-40B4-BE49-F238E27FC236}">
              <a16:creationId xmlns:a16="http://schemas.microsoft.com/office/drawing/2014/main" id="{4E08C82A-67DE-1221-8E78-4E1E6B02C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578882" y="328583454"/>
          <a:ext cx="1478756" cy="957263"/>
        </a:xfrm>
        <a:prstGeom prst="rect">
          <a:avLst/>
        </a:prstGeom>
      </xdr:spPr>
    </xdr:pic>
    <xdr:clientData/>
  </xdr:twoCellAnchor>
  <xdr:twoCellAnchor editAs="oneCell">
    <xdr:from>
      <xdr:col>0</xdr:col>
      <xdr:colOff>607457</xdr:colOff>
      <xdr:row>392</xdr:row>
      <xdr:rowOff>62161</xdr:rowOff>
    </xdr:from>
    <xdr:to>
      <xdr:col>0</xdr:col>
      <xdr:colOff>2029063</xdr:colOff>
      <xdr:row>392</xdr:row>
      <xdr:rowOff>669380</xdr:rowOff>
    </xdr:to>
    <xdr:pic>
      <xdr:nvPicPr>
        <xdr:cNvPr id="785" name="Picture 784" descr="Insight Picture 784">
          <a:extLst>
            <a:ext uri="{FF2B5EF4-FFF2-40B4-BE49-F238E27FC236}">
              <a16:creationId xmlns:a16="http://schemas.microsoft.com/office/drawing/2014/main" id="{B52D4BD1-8D96-CEE5-BE5A-ED24A3119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607457" y="329665261"/>
          <a:ext cx="1421606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625316</xdr:colOff>
      <xdr:row>393</xdr:row>
      <xdr:rowOff>63569</xdr:rowOff>
    </xdr:from>
    <xdr:to>
      <xdr:col>0</xdr:col>
      <xdr:colOff>2011204</xdr:colOff>
      <xdr:row>393</xdr:row>
      <xdr:rowOff>599350</xdr:rowOff>
    </xdr:to>
    <xdr:pic>
      <xdr:nvPicPr>
        <xdr:cNvPr id="787" name="Picture 786" descr="Insight Picture 786">
          <a:extLst>
            <a:ext uri="{FF2B5EF4-FFF2-40B4-BE49-F238E27FC236}">
              <a16:creationId xmlns:a16="http://schemas.microsoft.com/office/drawing/2014/main" id="{7DD79FC5-83DB-B660-E531-7091296ED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625316" y="330398189"/>
          <a:ext cx="1385888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753903</xdr:colOff>
      <xdr:row>394</xdr:row>
      <xdr:rowOff>62146</xdr:rowOff>
    </xdr:from>
    <xdr:to>
      <xdr:col>0</xdr:col>
      <xdr:colOff>1882616</xdr:colOff>
      <xdr:row>394</xdr:row>
      <xdr:rowOff>897965</xdr:rowOff>
    </xdr:to>
    <xdr:pic>
      <xdr:nvPicPr>
        <xdr:cNvPr id="789" name="Picture 788" descr="Insight Picture 788">
          <a:extLst>
            <a:ext uri="{FF2B5EF4-FFF2-40B4-BE49-F238E27FC236}">
              <a16:creationId xmlns:a16="http://schemas.microsoft.com/office/drawing/2014/main" id="{E080D0E2-D3A4-E4F8-E70C-7AF6DBBAC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753903" y="331059706"/>
          <a:ext cx="1128713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732472</xdr:colOff>
      <xdr:row>395</xdr:row>
      <xdr:rowOff>62141</xdr:rowOff>
    </xdr:from>
    <xdr:to>
      <xdr:col>0</xdr:col>
      <xdr:colOff>1904047</xdr:colOff>
      <xdr:row>395</xdr:row>
      <xdr:rowOff>897960</xdr:rowOff>
    </xdr:to>
    <xdr:pic>
      <xdr:nvPicPr>
        <xdr:cNvPr id="791" name="Picture 790" descr="Insight Picture 790">
          <a:extLst>
            <a:ext uri="{FF2B5EF4-FFF2-40B4-BE49-F238E27FC236}">
              <a16:creationId xmlns:a16="http://schemas.microsoft.com/office/drawing/2014/main" id="{08A61CFC-90B4-C77F-1081-C53D03792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732472" y="332019821"/>
          <a:ext cx="1171575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289560</xdr:colOff>
      <xdr:row>396</xdr:row>
      <xdr:rowOff>62161</xdr:rowOff>
    </xdr:from>
    <xdr:to>
      <xdr:col>0</xdr:col>
      <xdr:colOff>2346960</xdr:colOff>
      <xdr:row>396</xdr:row>
      <xdr:rowOff>555080</xdr:rowOff>
    </xdr:to>
    <xdr:pic>
      <xdr:nvPicPr>
        <xdr:cNvPr id="793" name="Picture 792" descr="Insight Picture 792">
          <a:extLst>
            <a:ext uri="{FF2B5EF4-FFF2-40B4-BE49-F238E27FC236}">
              <a16:creationId xmlns:a16="http://schemas.microsoft.com/office/drawing/2014/main" id="{8EE32462-1B8E-A35A-59DF-3719C327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289560" y="332979961"/>
          <a:ext cx="2057400" cy="492919"/>
        </a:xfrm>
        <a:prstGeom prst="rect">
          <a:avLst/>
        </a:prstGeom>
      </xdr:spPr>
    </xdr:pic>
    <xdr:clientData/>
  </xdr:twoCellAnchor>
  <xdr:twoCellAnchor editAs="oneCell">
    <xdr:from>
      <xdr:col>0</xdr:col>
      <xdr:colOff>603885</xdr:colOff>
      <xdr:row>397</xdr:row>
      <xdr:rowOff>62156</xdr:rowOff>
    </xdr:from>
    <xdr:to>
      <xdr:col>0</xdr:col>
      <xdr:colOff>2032635</xdr:colOff>
      <xdr:row>397</xdr:row>
      <xdr:rowOff>669375</xdr:rowOff>
    </xdr:to>
    <xdr:pic>
      <xdr:nvPicPr>
        <xdr:cNvPr id="795" name="Picture 794" descr="Insight Picture 794">
          <a:extLst>
            <a:ext uri="{FF2B5EF4-FFF2-40B4-BE49-F238E27FC236}">
              <a16:creationId xmlns:a16="http://schemas.microsoft.com/office/drawing/2014/main" id="{5039EDDA-26CA-0505-B253-7702ECE4E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603885" y="333597176"/>
          <a:ext cx="1428750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439578</xdr:colOff>
      <xdr:row>398</xdr:row>
      <xdr:rowOff>62622</xdr:rowOff>
    </xdr:from>
    <xdr:to>
      <xdr:col>0</xdr:col>
      <xdr:colOff>2196941</xdr:colOff>
      <xdr:row>398</xdr:row>
      <xdr:rowOff>798428</xdr:rowOff>
    </xdr:to>
    <xdr:pic>
      <xdr:nvPicPr>
        <xdr:cNvPr id="797" name="Picture 796" descr="Insight Picture 796">
          <a:extLst>
            <a:ext uri="{FF2B5EF4-FFF2-40B4-BE49-F238E27FC236}">
              <a16:creationId xmlns:a16="http://schemas.microsoft.com/office/drawing/2014/main" id="{97BED69C-5198-232D-57F5-E7371C67C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439578" y="334329162"/>
          <a:ext cx="1757363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607457</xdr:colOff>
      <xdr:row>399</xdr:row>
      <xdr:rowOff>63574</xdr:rowOff>
    </xdr:from>
    <xdr:to>
      <xdr:col>0</xdr:col>
      <xdr:colOff>2029063</xdr:colOff>
      <xdr:row>399</xdr:row>
      <xdr:rowOff>599355</xdr:rowOff>
    </xdr:to>
    <xdr:pic>
      <xdr:nvPicPr>
        <xdr:cNvPr id="799" name="Picture 798" descr="Insight Picture 798">
          <a:extLst>
            <a:ext uri="{FF2B5EF4-FFF2-40B4-BE49-F238E27FC236}">
              <a16:creationId xmlns:a16="http://schemas.microsoft.com/office/drawing/2014/main" id="{C352B6B1-E678-0878-3EC1-CA5688D1B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607457" y="335191174"/>
          <a:ext cx="1421606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521732</xdr:colOff>
      <xdr:row>400</xdr:row>
      <xdr:rowOff>61431</xdr:rowOff>
    </xdr:from>
    <xdr:to>
      <xdr:col>0</xdr:col>
      <xdr:colOff>2114788</xdr:colOff>
      <xdr:row>400</xdr:row>
      <xdr:rowOff>761519</xdr:rowOff>
    </xdr:to>
    <xdr:pic>
      <xdr:nvPicPr>
        <xdr:cNvPr id="801" name="Picture 800" descr="Insight Picture 800">
          <a:extLst>
            <a:ext uri="{FF2B5EF4-FFF2-40B4-BE49-F238E27FC236}">
              <a16:creationId xmlns:a16="http://schemas.microsoft.com/office/drawing/2014/main" id="{6AA4E82B-32A2-F602-7472-0AA78DF69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21732" y="335851971"/>
          <a:ext cx="1593056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418147</xdr:colOff>
      <xdr:row>401</xdr:row>
      <xdr:rowOff>63574</xdr:rowOff>
    </xdr:from>
    <xdr:to>
      <xdr:col>0</xdr:col>
      <xdr:colOff>2218372</xdr:colOff>
      <xdr:row>401</xdr:row>
      <xdr:rowOff>599355</xdr:rowOff>
    </xdr:to>
    <xdr:pic>
      <xdr:nvPicPr>
        <xdr:cNvPr id="803" name="Picture 802" descr="Insight Picture 802">
          <a:extLst>
            <a:ext uri="{FF2B5EF4-FFF2-40B4-BE49-F238E27FC236}">
              <a16:creationId xmlns:a16="http://schemas.microsoft.com/office/drawing/2014/main" id="{3C238E80-8D5A-8583-2E5C-CC3807FEB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418147" y="336677074"/>
          <a:ext cx="1800225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521732</xdr:colOff>
      <xdr:row>402</xdr:row>
      <xdr:rowOff>61431</xdr:rowOff>
    </xdr:from>
    <xdr:to>
      <xdr:col>0</xdr:col>
      <xdr:colOff>2114788</xdr:colOff>
      <xdr:row>402</xdr:row>
      <xdr:rowOff>761519</xdr:rowOff>
    </xdr:to>
    <xdr:pic>
      <xdr:nvPicPr>
        <xdr:cNvPr id="805" name="Picture 804" descr="Insight Picture 804">
          <a:extLst>
            <a:ext uri="{FF2B5EF4-FFF2-40B4-BE49-F238E27FC236}">
              <a16:creationId xmlns:a16="http://schemas.microsoft.com/office/drawing/2014/main" id="{AA8F575C-E545-5C8C-97CC-5A6F66F44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521732" y="337337871"/>
          <a:ext cx="1593056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693182</xdr:colOff>
      <xdr:row>403</xdr:row>
      <xdr:rowOff>62161</xdr:rowOff>
    </xdr:from>
    <xdr:to>
      <xdr:col>0</xdr:col>
      <xdr:colOff>1943338</xdr:colOff>
      <xdr:row>403</xdr:row>
      <xdr:rowOff>669380</xdr:rowOff>
    </xdr:to>
    <xdr:pic>
      <xdr:nvPicPr>
        <xdr:cNvPr id="807" name="Picture 806" descr="Insight Picture 806">
          <a:extLst>
            <a:ext uri="{FF2B5EF4-FFF2-40B4-BE49-F238E27FC236}">
              <a16:creationId xmlns:a16="http://schemas.microsoft.com/office/drawing/2014/main" id="{39990A4C-8E17-CBC8-3767-5C2F5E7CA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693182" y="338161561"/>
          <a:ext cx="1250156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607457</xdr:colOff>
      <xdr:row>404</xdr:row>
      <xdr:rowOff>62156</xdr:rowOff>
    </xdr:from>
    <xdr:to>
      <xdr:col>0</xdr:col>
      <xdr:colOff>2029063</xdr:colOff>
      <xdr:row>404</xdr:row>
      <xdr:rowOff>669375</xdr:rowOff>
    </xdr:to>
    <xdr:pic>
      <xdr:nvPicPr>
        <xdr:cNvPr id="809" name="Picture 808" descr="Insight Picture 808">
          <a:extLst>
            <a:ext uri="{FF2B5EF4-FFF2-40B4-BE49-F238E27FC236}">
              <a16:creationId xmlns:a16="http://schemas.microsoft.com/office/drawing/2014/main" id="{29E5951E-441C-BCEB-F448-D781D3B6E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607457" y="338893076"/>
          <a:ext cx="1421606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625316</xdr:colOff>
      <xdr:row>405</xdr:row>
      <xdr:rowOff>60712</xdr:rowOff>
    </xdr:from>
    <xdr:to>
      <xdr:col>0</xdr:col>
      <xdr:colOff>2011204</xdr:colOff>
      <xdr:row>405</xdr:row>
      <xdr:rowOff>853668</xdr:rowOff>
    </xdr:to>
    <xdr:pic>
      <xdr:nvPicPr>
        <xdr:cNvPr id="811" name="Picture 810" descr="Insight Picture 810">
          <a:extLst>
            <a:ext uri="{FF2B5EF4-FFF2-40B4-BE49-F238E27FC236}">
              <a16:creationId xmlns:a16="http://schemas.microsoft.com/office/drawing/2014/main" id="{19C18438-A787-9341-05C7-D8B9F8E72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625316" y="339623152"/>
          <a:ext cx="1385888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771763</xdr:colOff>
      <xdr:row>406</xdr:row>
      <xdr:rowOff>62399</xdr:rowOff>
    </xdr:from>
    <xdr:to>
      <xdr:col>0</xdr:col>
      <xdr:colOff>1864757</xdr:colOff>
      <xdr:row>406</xdr:row>
      <xdr:rowOff>791062</xdr:rowOff>
    </xdr:to>
    <xdr:pic>
      <xdr:nvPicPr>
        <xdr:cNvPr id="813" name="Picture 812" descr="Insight Picture 812">
          <a:extLst>
            <a:ext uri="{FF2B5EF4-FFF2-40B4-BE49-F238E27FC236}">
              <a16:creationId xmlns:a16="http://schemas.microsoft.com/office/drawing/2014/main" id="{0D19C060-CDF6-827E-FF61-C71974E64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771763" y="340539239"/>
          <a:ext cx="1092994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861060</xdr:colOff>
      <xdr:row>407</xdr:row>
      <xdr:rowOff>61669</xdr:rowOff>
    </xdr:from>
    <xdr:to>
      <xdr:col>0</xdr:col>
      <xdr:colOff>1775460</xdr:colOff>
      <xdr:row>407</xdr:row>
      <xdr:rowOff>768900</xdr:rowOff>
    </xdr:to>
    <xdr:pic>
      <xdr:nvPicPr>
        <xdr:cNvPr id="815" name="Picture 814" descr="Insight Picture 814">
          <a:extLst>
            <a:ext uri="{FF2B5EF4-FFF2-40B4-BE49-F238E27FC236}">
              <a16:creationId xmlns:a16="http://schemas.microsoft.com/office/drawing/2014/main" id="{D8B7FF4E-A393-68C1-B264-08F5C8A2B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861060" y="341391949"/>
          <a:ext cx="914400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632460</xdr:colOff>
      <xdr:row>408</xdr:row>
      <xdr:rowOff>62146</xdr:rowOff>
    </xdr:from>
    <xdr:to>
      <xdr:col>0</xdr:col>
      <xdr:colOff>2004060</xdr:colOff>
      <xdr:row>408</xdr:row>
      <xdr:rowOff>783665</xdr:rowOff>
    </xdr:to>
    <xdr:pic>
      <xdr:nvPicPr>
        <xdr:cNvPr id="817" name="Picture 816" descr="Insight Picture 816">
          <a:extLst>
            <a:ext uri="{FF2B5EF4-FFF2-40B4-BE49-F238E27FC236}">
              <a16:creationId xmlns:a16="http://schemas.microsoft.com/office/drawing/2014/main" id="{EC0BE112-2F2B-63F3-7032-56E83D31A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632460" y="342223006"/>
          <a:ext cx="1371600" cy="721519"/>
        </a:xfrm>
        <a:prstGeom prst="rect">
          <a:avLst/>
        </a:prstGeom>
      </xdr:spPr>
    </xdr:pic>
    <xdr:clientData/>
  </xdr:twoCellAnchor>
  <xdr:twoCellAnchor editAs="oneCell">
    <xdr:from>
      <xdr:col>0</xdr:col>
      <xdr:colOff>775335</xdr:colOff>
      <xdr:row>409</xdr:row>
      <xdr:rowOff>60727</xdr:rowOff>
    </xdr:from>
    <xdr:to>
      <xdr:col>0</xdr:col>
      <xdr:colOff>1861185</xdr:colOff>
      <xdr:row>409</xdr:row>
      <xdr:rowOff>739383</xdr:rowOff>
    </xdr:to>
    <xdr:pic>
      <xdr:nvPicPr>
        <xdr:cNvPr id="819" name="Picture 818" descr="Insight Picture 818">
          <a:extLst>
            <a:ext uri="{FF2B5EF4-FFF2-40B4-BE49-F238E27FC236}">
              <a16:creationId xmlns:a16="http://schemas.microsoft.com/office/drawing/2014/main" id="{C7CDAB2E-3886-D777-A16F-850718F0A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775335" y="343067407"/>
          <a:ext cx="1085850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736045</xdr:colOff>
      <xdr:row>410</xdr:row>
      <xdr:rowOff>60727</xdr:rowOff>
    </xdr:from>
    <xdr:to>
      <xdr:col>0</xdr:col>
      <xdr:colOff>1900476</xdr:colOff>
      <xdr:row>410</xdr:row>
      <xdr:rowOff>739383</xdr:rowOff>
    </xdr:to>
    <xdr:pic>
      <xdr:nvPicPr>
        <xdr:cNvPr id="821" name="Picture 820" descr="Insight Picture 820">
          <a:extLst>
            <a:ext uri="{FF2B5EF4-FFF2-40B4-BE49-F238E27FC236}">
              <a16:creationId xmlns:a16="http://schemas.microsoft.com/office/drawing/2014/main" id="{1E72F041-CC85-3D59-FE90-C5E9F7C75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736045" y="343867507"/>
          <a:ext cx="1164431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525303</xdr:colOff>
      <xdr:row>411</xdr:row>
      <xdr:rowOff>62141</xdr:rowOff>
    </xdr:from>
    <xdr:to>
      <xdr:col>0</xdr:col>
      <xdr:colOff>2111216</xdr:colOff>
      <xdr:row>411</xdr:row>
      <xdr:rowOff>783660</xdr:rowOff>
    </xdr:to>
    <xdr:pic>
      <xdr:nvPicPr>
        <xdr:cNvPr id="823" name="Picture 822" descr="Insight Picture 822">
          <a:extLst>
            <a:ext uri="{FF2B5EF4-FFF2-40B4-BE49-F238E27FC236}">
              <a16:creationId xmlns:a16="http://schemas.microsoft.com/office/drawing/2014/main" id="{65A1BDA5-9BD5-4FA4-D49F-66C091ABD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525303" y="344669021"/>
          <a:ext cx="1585913" cy="721519"/>
        </a:xfrm>
        <a:prstGeom prst="rect">
          <a:avLst/>
        </a:prstGeom>
      </xdr:spPr>
    </xdr:pic>
    <xdr:clientData/>
  </xdr:twoCellAnchor>
  <xdr:twoCellAnchor editAs="oneCell">
    <xdr:from>
      <xdr:col>0</xdr:col>
      <xdr:colOff>653891</xdr:colOff>
      <xdr:row>412</xdr:row>
      <xdr:rowOff>63351</xdr:rowOff>
    </xdr:from>
    <xdr:to>
      <xdr:col>0</xdr:col>
      <xdr:colOff>1982629</xdr:colOff>
      <xdr:row>412</xdr:row>
      <xdr:rowOff>591989</xdr:rowOff>
    </xdr:to>
    <xdr:pic>
      <xdr:nvPicPr>
        <xdr:cNvPr id="825" name="Picture 824" descr="Insight Picture 824">
          <a:extLst>
            <a:ext uri="{FF2B5EF4-FFF2-40B4-BE49-F238E27FC236}">
              <a16:creationId xmlns:a16="http://schemas.microsoft.com/office/drawing/2014/main" id="{0955C141-409A-441D-EC00-F644F9B09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653891" y="345516051"/>
          <a:ext cx="1328738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657463</xdr:colOff>
      <xdr:row>413</xdr:row>
      <xdr:rowOff>60965</xdr:rowOff>
    </xdr:from>
    <xdr:to>
      <xdr:col>0</xdr:col>
      <xdr:colOff>1979057</xdr:colOff>
      <xdr:row>413</xdr:row>
      <xdr:rowOff>975365</xdr:rowOff>
    </xdr:to>
    <xdr:pic>
      <xdr:nvPicPr>
        <xdr:cNvPr id="827" name="Picture 826" descr="Insight Picture 826">
          <a:extLst>
            <a:ext uri="{FF2B5EF4-FFF2-40B4-BE49-F238E27FC236}">
              <a16:creationId xmlns:a16="http://schemas.microsoft.com/office/drawing/2014/main" id="{BCEDA2C7-C752-92A8-AF45-66D074E6B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657463" y="346168985"/>
          <a:ext cx="1321594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771763</xdr:colOff>
      <xdr:row>414</xdr:row>
      <xdr:rowOff>60712</xdr:rowOff>
    </xdr:from>
    <xdr:to>
      <xdr:col>0</xdr:col>
      <xdr:colOff>1864757</xdr:colOff>
      <xdr:row>414</xdr:row>
      <xdr:rowOff>739368</xdr:rowOff>
    </xdr:to>
    <xdr:pic>
      <xdr:nvPicPr>
        <xdr:cNvPr id="829" name="Picture 828" descr="Insight Picture 828">
          <a:extLst>
            <a:ext uri="{FF2B5EF4-FFF2-40B4-BE49-F238E27FC236}">
              <a16:creationId xmlns:a16="http://schemas.microsoft.com/office/drawing/2014/main" id="{831763AF-267B-EC40-D4EE-068449F70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771763" y="347205052"/>
          <a:ext cx="1092994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714613</xdr:colOff>
      <xdr:row>415</xdr:row>
      <xdr:rowOff>63589</xdr:rowOff>
    </xdr:from>
    <xdr:to>
      <xdr:col>0</xdr:col>
      <xdr:colOff>1921907</xdr:colOff>
      <xdr:row>415</xdr:row>
      <xdr:rowOff>827970</xdr:rowOff>
    </xdr:to>
    <xdr:pic>
      <xdr:nvPicPr>
        <xdr:cNvPr id="831" name="Picture 830" descr="Insight Picture 830">
          <a:extLst>
            <a:ext uri="{FF2B5EF4-FFF2-40B4-BE49-F238E27FC236}">
              <a16:creationId xmlns:a16="http://schemas.microsoft.com/office/drawing/2014/main" id="{3066E52E-2D09-64BD-C29E-152C6B7B7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714613" y="348008029"/>
          <a:ext cx="1207294" cy="764381"/>
        </a:xfrm>
        <a:prstGeom prst="rect">
          <a:avLst/>
        </a:prstGeom>
      </xdr:spPr>
    </xdr:pic>
    <xdr:clientData/>
  </xdr:twoCellAnchor>
  <xdr:twoCellAnchor editAs="oneCell">
    <xdr:from>
      <xdr:col>0</xdr:col>
      <xdr:colOff>686038</xdr:colOff>
      <xdr:row>416</xdr:row>
      <xdr:rowOff>63108</xdr:rowOff>
    </xdr:from>
    <xdr:to>
      <xdr:col>0</xdr:col>
      <xdr:colOff>1950482</xdr:colOff>
      <xdr:row>416</xdr:row>
      <xdr:rowOff>813202</xdr:rowOff>
    </xdr:to>
    <xdr:pic>
      <xdr:nvPicPr>
        <xdr:cNvPr id="833" name="Picture 832" descr="Insight Picture 832">
          <a:extLst>
            <a:ext uri="{FF2B5EF4-FFF2-40B4-BE49-F238E27FC236}">
              <a16:creationId xmlns:a16="http://schemas.microsoft.com/office/drawing/2014/main" id="{F8A3FA42-3C32-2E3D-35A8-967F8B539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686038" y="348899088"/>
          <a:ext cx="1264444" cy="750094"/>
        </a:xfrm>
        <a:prstGeom prst="rect">
          <a:avLst/>
        </a:prstGeom>
      </xdr:spPr>
    </xdr:pic>
    <xdr:clientData/>
  </xdr:twoCellAnchor>
  <xdr:twoCellAnchor editAs="oneCell">
    <xdr:from>
      <xdr:col>0</xdr:col>
      <xdr:colOff>771763</xdr:colOff>
      <xdr:row>417</xdr:row>
      <xdr:rowOff>60727</xdr:rowOff>
    </xdr:from>
    <xdr:to>
      <xdr:col>0</xdr:col>
      <xdr:colOff>1864757</xdr:colOff>
      <xdr:row>417</xdr:row>
      <xdr:rowOff>739383</xdr:rowOff>
    </xdr:to>
    <xdr:pic>
      <xdr:nvPicPr>
        <xdr:cNvPr id="835" name="Picture 834" descr="Insight Picture 834">
          <a:extLst>
            <a:ext uri="{FF2B5EF4-FFF2-40B4-BE49-F238E27FC236}">
              <a16:creationId xmlns:a16="http://schemas.microsoft.com/office/drawing/2014/main" id="{B34CBC28-8675-2FEC-4DDA-B5281C120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771763" y="349773007"/>
          <a:ext cx="1092994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771763</xdr:colOff>
      <xdr:row>418</xdr:row>
      <xdr:rowOff>62389</xdr:rowOff>
    </xdr:from>
    <xdr:to>
      <xdr:col>0</xdr:col>
      <xdr:colOff>1864757</xdr:colOff>
      <xdr:row>418</xdr:row>
      <xdr:rowOff>791052</xdr:rowOff>
    </xdr:to>
    <xdr:pic>
      <xdr:nvPicPr>
        <xdr:cNvPr id="837" name="Picture 836" descr="Insight Picture 836">
          <a:extLst>
            <a:ext uri="{FF2B5EF4-FFF2-40B4-BE49-F238E27FC236}">
              <a16:creationId xmlns:a16="http://schemas.microsoft.com/office/drawing/2014/main" id="{DB0AA45E-CE23-46AE-ED4D-A2F6B54A9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771763" y="350574769"/>
          <a:ext cx="1092994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693182</xdr:colOff>
      <xdr:row>419</xdr:row>
      <xdr:rowOff>61684</xdr:rowOff>
    </xdr:from>
    <xdr:to>
      <xdr:col>0</xdr:col>
      <xdr:colOff>1943338</xdr:colOff>
      <xdr:row>419</xdr:row>
      <xdr:rowOff>768915</xdr:rowOff>
    </xdr:to>
    <xdr:pic>
      <xdr:nvPicPr>
        <xdr:cNvPr id="839" name="Picture 838" descr="Insight Picture 838">
          <a:extLst>
            <a:ext uri="{FF2B5EF4-FFF2-40B4-BE49-F238E27FC236}">
              <a16:creationId xmlns:a16="http://schemas.microsoft.com/office/drawing/2014/main" id="{2CC36FBE-EDE3-9F41-43E4-9FB3D4C81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693182" y="351427504"/>
          <a:ext cx="1250156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775335</xdr:colOff>
      <xdr:row>420</xdr:row>
      <xdr:rowOff>60722</xdr:rowOff>
    </xdr:from>
    <xdr:to>
      <xdr:col>0</xdr:col>
      <xdr:colOff>1861185</xdr:colOff>
      <xdr:row>420</xdr:row>
      <xdr:rowOff>739378</xdr:rowOff>
    </xdr:to>
    <xdr:pic>
      <xdr:nvPicPr>
        <xdr:cNvPr id="841" name="Picture 840" descr="Insight Picture 840">
          <a:extLst>
            <a:ext uri="{FF2B5EF4-FFF2-40B4-BE49-F238E27FC236}">
              <a16:creationId xmlns:a16="http://schemas.microsoft.com/office/drawing/2014/main" id="{915DB905-5478-61AC-CD1B-68879B4A4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775335" y="352257122"/>
          <a:ext cx="1085850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714613</xdr:colOff>
      <xdr:row>421</xdr:row>
      <xdr:rowOff>60722</xdr:rowOff>
    </xdr:from>
    <xdr:to>
      <xdr:col>0</xdr:col>
      <xdr:colOff>1921907</xdr:colOff>
      <xdr:row>421</xdr:row>
      <xdr:rowOff>739378</xdr:rowOff>
    </xdr:to>
    <xdr:pic>
      <xdr:nvPicPr>
        <xdr:cNvPr id="843" name="Picture 842" descr="Insight Picture 842">
          <a:extLst>
            <a:ext uri="{FF2B5EF4-FFF2-40B4-BE49-F238E27FC236}">
              <a16:creationId xmlns:a16="http://schemas.microsoft.com/office/drawing/2014/main" id="{4B088376-7E3F-DF46-0E3C-93447DC9F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714613" y="353057222"/>
          <a:ext cx="1207294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632460</xdr:colOff>
      <xdr:row>422</xdr:row>
      <xdr:rowOff>63351</xdr:rowOff>
    </xdr:from>
    <xdr:to>
      <xdr:col>0</xdr:col>
      <xdr:colOff>2004060</xdr:colOff>
      <xdr:row>422</xdr:row>
      <xdr:rowOff>591989</xdr:rowOff>
    </xdr:to>
    <xdr:pic>
      <xdr:nvPicPr>
        <xdr:cNvPr id="845" name="Picture 844" descr="Insight Picture 844">
          <a:extLst>
            <a:ext uri="{FF2B5EF4-FFF2-40B4-BE49-F238E27FC236}">
              <a16:creationId xmlns:a16="http://schemas.microsoft.com/office/drawing/2014/main" id="{5CC14F2A-965A-5C54-D46C-02D637461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632460" y="353859951"/>
          <a:ext cx="1371600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771763</xdr:colOff>
      <xdr:row>423</xdr:row>
      <xdr:rowOff>60717</xdr:rowOff>
    </xdr:from>
    <xdr:to>
      <xdr:col>0</xdr:col>
      <xdr:colOff>1864757</xdr:colOff>
      <xdr:row>423</xdr:row>
      <xdr:rowOff>739373</xdr:rowOff>
    </xdr:to>
    <xdr:pic>
      <xdr:nvPicPr>
        <xdr:cNvPr id="847" name="Picture 846" descr="Insight Picture 846">
          <a:extLst>
            <a:ext uri="{FF2B5EF4-FFF2-40B4-BE49-F238E27FC236}">
              <a16:creationId xmlns:a16="http://schemas.microsoft.com/office/drawing/2014/main" id="{DBDFEED2-102D-DC41-8C2B-ACACE26FF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771763" y="354512637"/>
          <a:ext cx="1092994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693182</xdr:colOff>
      <xdr:row>424</xdr:row>
      <xdr:rowOff>63569</xdr:rowOff>
    </xdr:from>
    <xdr:to>
      <xdr:col>0</xdr:col>
      <xdr:colOff>1943338</xdr:colOff>
      <xdr:row>424</xdr:row>
      <xdr:rowOff>827950</xdr:rowOff>
    </xdr:to>
    <xdr:pic>
      <xdr:nvPicPr>
        <xdr:cNvPr id="849" name="Picture 848" descr="Insight Picture 848">
          <a:extLst>
            <a:ext uri="{FF2B5EF4-FFF2-40B4-BE49-F238E27FC236}">
              <a16:creationId xmlns:a16="http://schemas.microsoft.com/office/drawing/2014/main" id="{698279D8-0F1D-DFAC-23D3-5092D587C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693182" y="355315589"/>
          <a:ext cx="1250156" cy="764381"/>
        </a:xfrm>
        <a:prstGeom prst="rect">
          <a:avLst/>
        </a:prstGeom>
      </xdr:spPr>
    </xdr:pic>
    <xdr:clientData/>
  </xdr:twoCellAnchor>
  <xdr:twoCellAnchor editAs="oneCell">
    <xdr:from>
      <xdr:col>0</xdr:col>
      <xdr:colOff>686038</xdr:colOff>
      <xdr:row>425</xdr:row>
      <xdr:rowOff>63113</xdr:rowOff>
    </xdr:from>
    <xdr:to>
      <xdr:col>0</xdr:col>
      <xdr:colOff>1950482</xdr:colOff>
      <xdr:row>425</xdr:row>
      <xdr:rowOff>813207</xdr:rowOff>
    </xdr:to>
    <xdr:pic>
      <xdr:nvPicPr>
        <xdr:cNvPr id="851" name="Picture 850" descr="Insight Picture 850">
          <a:extLst>
            <a:ext uri="{FF2B5EF4-FFF2-40B4-BE49-F238E27FC236}">
              <a16:creationId xmlns:a16="http://schemas.microsoft.com/office/drawing/2014/main" id="{23C2A6BF-FA2E-5A14-28D6-3D9A325E1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686038" y="356206673"/>
          <a:ext cx="1264444" cy="750094"/>
        </a:xfrm>
        <a:prstGeom prst="rect">
          <a:avLst/>
        </a:prstGeom>
      </xdr:spPr>
    </xdr:pic>
    <xdr:clientData/>
  </xdr:twoCellAnchor>
  <xdr:twoCellAnchor editAs="oneCell">
    <xdr:from>
      <xdr:col>0</xdr:col>
      <xdr:colOff>714613</xdr:colOff>
      <xdr:row>426</xdr:row>
      <xdr:rowOff>61674</xdr:rowOff>
    </xdr:from>
    <xdr:to>
      <xdr:col>0</xdr:col>
      <xdr:colOff>1921907</xdr:colOff>
      <xdr:row>426</xdr:row>
      <xdr:rowOff>768905</xdr:rowOff>
    </xdr:to>
    <xdr:pic>
      <xdr:nvPicPr>
        <xdr:cNvPr id="853" name="Picture 852" descr="Insight Picture 852">
          <a:extLst>
            <a:ext uri="{FF2B5EF4-FFF2-40B4-BE49-F238E27FC236}">
              <a16:creationId xmlns:a16="http://schemas.microsoft.com/office/drawing/2014/main" id="{7D0CA63F-547E-AD83-8742-8CB6F49DB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714613" y="357081534"/>
          <a:ext cx="1207294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811053</xdr:colOff>
      <xdr:row>427</xdr:row>
      <xdr:rowOff>63589</xdr:rowOff>
    </xdr:from>
    <xdr:to>
      <xdr:col>0</xdr:col>
      <xdr:colOff>1825466</xdr:colOff>
      <xdr:row>427</xdr:row>
      <xdr:rowOff>942270</xdr:rowOff>
    </xdr:to>
    <xdr:pic>
      <xdr:nvPicPr>
        <xdr:cNvPr id="855" name="Picture 854" descr="Insight Picture 854">
          <a:extLst>
            <a:ext uri="{FF2B5EF4-FFF2-40B4-BE49-F238E27FC236}">
              <a16:creationId xmlns:a16="http://schemas.microsoft.com/office/drawing/2014/main" id="{28DCACB5-82F7-4247-CA91-89665CD52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811053" y="357914029"/>
          <a:ext cx="1014413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736045</xdr:colOff>
      <xdr:row>428</xdr:row>
      <xdr:rowOff>61198</xdr:rowOff>
    </xdr:from>
    <xdr:to>
      <xdr:col>0</xdr:col>
      <xdr:colOff>1900476</xdr:colOff>
      <xdr:row>428</xdr:row>
      <xdr:rowOff>754142</xdr:rowOff>
    </xdr:to>
    <xdr:pic>
      <xdr:nvPicPr>
        <xdr:cNvPr id="857" name="Picture 856" descr="Insight Picture 856">
          <a:extLst>
            <a:ext uri="{FF2B5EF4-FFF2-40B4-BE49-F238E27FC236}">
              <a16:creationId xmlns:a16="http://schemas.microsoft.com/office/drawing/2014/main" id="{BD8D3EB3-C1AB-7186-0C33-CAF896325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736045" y="358917478"/>
          <a:ext cx="1164431" cy="692944"/>
        </a:xfrm>
        <a:prstGeom prst="rect">
          <a:avLst/>
        </a:prstGeom>
      </xdr:spPr>
    </xdr:pic>
    <xdr:clientData/>
  </xdr:twoCellAnchor>
  <xdr:twoCellAnchor editAs="oneCell">
    <xdr:from>
      <xdr:col>0</xdr:col>
      <xdr:colOff>625316</xdr:colOff>
      <xdr:row>429</xdr:row>
      <xdr:rowOff>63346</xdr:rowOff>
    </xdr:from>
    <xdr:to>
      <xdr:col>0</xdr:col>
      <xdr:colOff>2011204</xdr:colOff>
      <xdr:row>429</xdr:row>
      <xdr:rowOff>591984</xdr:rowOff>
    </xdr:to>
    <xdr:pic>
      <xdr:nvPicPr>
        <xdr:cNvPr id="859" name="Picture 858" descr="Insight Picture 858">
          <a:extLst>
            <a:ext uri="{FF2B5EF4-FFF2-40B4-BE49-F238E27FC236}">
              <a16:creationId xmlns:a16="http://schemas.microsoft.com/office/drawing/2014/main" id="{97FEF8DE-4FB8-5BE3-7E54-B374550C8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625316" y="359734966"/>
          <a:ext cx="1385888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811053</xdr:colOff>
      <xdr:row>430</xdr:row>
      <xdr:rowOff>60241</xdr:rowOff>
    </xdr:from>
    <xdr:to>
      <xdr:col>0</xdr:col>
      <xdr:colOff>1825466</xdr:colOff>
      <xdr:row>430</xdr:row>
      <xdr:rowOff>953210</xdr:rowOff>
    </xdr:to>
    <xdr:pic>
      <xdr:nvPicPr>
        <xdr:cNvPr id="861" name="Picture 860" descr="Insight Picture 860">
          <a:extLst>
            <a:ext uri="{FF2B5EF4-FFF2-40B4-BE49-F238E27FC236}">
              <a16:creationId xmlns:a16="http://schemas.microsoft.com/office/drawing/2014/main" id="{80E5E931-4758-0670-1410-AD5D9CC66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811053" y="360387181"/>
          <a:ext cx="1014413" cy="892969"/>
        </a:xfrm>
        <a:prstGeom prst="rect">
          <a:avLst/>
        </a:prstGeom>
      </xdr:spPr>
    </xdr:pic>
    <xdr:clientData/>
  </xdr:twoCellAnchor>
  <xdr:twoCellAnchor editAs="oneCell">
    <xdr:from>
      <xdr:col>0</xdr:col>
      <xdr:colOff>714613</xdr:colOff>
      <xdr:row>431</xdr:row>
      <xdr:rowOff>63574</xdr:rowOff>
    </xdr:from>
    <xdr:to>
      <xdr:col>0</xdr:col>
      <xdr:colOff>1921907</xdr:colOff>
      <xdr:row>431</xdr:row>
      <xdr:rowOff>827955</xdr:rowOff>
    </xdr:to>
    <xdr:pic>
      <xdr:nvPicPr>
        <xdr:cNvPr id="863" name="Picture 862" descr="Insight Picture 862">
          <a:extLst>
            <a:ext uri="{FF2B5EF4-FFF2-40B4-BE49-F238E27FC236}">
              <a16:creationId xmlns:a16="http://schemas.microsoft.com/office/drawing/2014/main" id="{B5560463-6814-040B-4F17-12A845C01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714613" y="361403974"/>
          <a:ext cx="1207294" cy="764381"/>
        </a:xfrm>
        <a:prstGeom prst="rect">
          <a:avLst/>
        </a:prstGeom>
      </xdr:spPr>
    </xdr:pic>
    <xdr:clientData/>
  </xdr:twoCellAnchor>
  <xdr:twoCellAnchor editAs="oneCell">
    <xdr:from>
      <xdr:col>0</xdr:col>
      <xdr:colOff>621745</xdr:colOff>
      <xdr:row>432</xdr:row>
      <xdr:rowOff>63589</xdr:rowOff>
    </xdr:from>
    <xdr:to>
      <xdr:col>0</xdr:col>
      <xdr:colOff>2014776</xdr:colOff>
      <xdr:row>432</xdr:row>
      <xdr:rowOff>599370</xdr:rowOff>
    </xdr:to>
    <xdr:pic>
      <xdr:nvPicPr>
        <xdr:cNvPr id="865" name="Picture 864" descr="Insight Picture 864">
          <a:extLst>
            <a:ext uri="{FF2B5EF4-FFF2-40B4-BE49-F238E27FC236}">
              <a16:creationId xmlns:a16="http://schemas.microsoft.com/office/drawing/2014/main" id="{36A06CFD-0AEA-3ABA-416E-48BFC56F6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621745" y="362295529"/>
          <a:ext cx="1393031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821770</xdr:colOff>
      <xdr:row>433</xdr:row>
      <xdr:rowOff>61446</xdr:rowOff>
    </xdr:from>
    <xdr:to>
      <xdr:col>0</xdr:col>
      <xdr:colOff>1814751</xdr:colOff>
      <xdr:row>433</xdr:row>
      <xdr:rowOff>761534</xdr:rowOff>
    </xdr:to>
    <xdr:pic>
      <xdr:nvPicPr>
        <xdr:cNvPr id="867" name="Picture 866" descr="Insight Picture 866">
          <a:extLst>
            <a:ext uri="{FF2B5EF4-FFF2-40B4-BE49-F238E27FC236}">
              <a16:creationId xmlns:a16="http://schemas.microsoft.com/office/drawing/2014/main" id="{B984FF2C-85F5-E94C-3FE5-935570FAE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821770" y="362956326"/>
          <a:ext cx="992981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871775</xdr:colOff>
      <xdr:row>434</xdr:row>
      <xdr:rowOff>62622</xdr:rowOff>
    </xdr:from>
    <xdr:to>
      <xdr:col>0</xdr:col>
      <xdr:colOff>1764744</xdr:colOff>
      <xdr:row>434</xdr:row>
      <xdr:rowOff>798428</xdr:rowOff>
    </xdr:to>
    <xdr:pic>
      <xdr:nvPicPr>
        <xdr:cNvPr id="869" name="Picture 868" descr="Insight Picture 868">
          <a:extLst>
            <a:ext uri="{FF2B5EF4-FFF2-40B4-BE49-F238E27FC236}">
              <a16:creationId xmlns:a16="http://schemas.microsoft.com/office/drawing/2014/main" id="{86E2E926-51C1-3ED0-B189-E789456A3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871775" y="363780462"/>
          <a:ext cx="892969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739616</xdr:colOff>
      <xdr:row>435</xdr:row>
      <xdr:rowOff>63822</xdr:rowOff>
    </xdr:from>
    <xdr:to>
      <xdr:col>0</xdr:col>
      <xdr:colOff>1896904</xdr:colOff>
      <xdr:row>435</xdr:row>
      <xdr:rowOff>721047</xdr:rowOff>
    </xdr:to>
    <xdr:pic>
      <xdr:nvPicPr>
        <xdr:cNvPr id="871" name="Picture 870" descr="Insight Picture 870">
          <a:extLst>
            <a:ext uri="{FF2B5EF4-FFF2-40B4-BE49-F238E27FC236}">
              <a16:creationId xmlns:a16="http://schemas.microsoft.com/office/drawing/2014/main" id="{9D97A655-F954-295D-9792-A2D9F1D51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739616" y="364642722"/>
          <a:ext cx="1157288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753903</xdr:colOff>
      <xdr:row>436</xdr:row>
      <xdr:rowOff>63584</xdr:rowOff>
    </xdr:from>
    <xdr:to>
      <xdr:col>0</xdr:col>
      <xdr:colOff>1882616</xdr:colOff>
      <xdr:row>436</xdr:row>
      <xdr:rowOff>827965</xdr:rowOff>
    </xdr:to>
    <xdr:pic>
      <xdr:nvPicPr>
        <xdr:cNvPr id="873" name="Picture 872" descr="Insight Picture 872">
          <a:extLst>
            <a:ext uri="{FF2B5EF4-FFF2-40B4-BE49-F238E27FC236}">
              <a16:creationId xmlns:a16="http://schemas.microsoft.com/office/drawing/2014/main" id="{26646F3A-420F-879F-055E-64EA43681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753903" y="365427344"/>
          <a:ext cx="1128713" cy="764381"/>
        </a:xfrm>
        <a:prstGeom prst="rect">
          <a:avLst/>
        </a:prstGeom>
      </xdr:spPr>
    </xdr:pic>
    <xdr:clientData/>
  </xdr:twoCellAnchor>
  <xdr:twoCellAnchor editAs="oneCell">
    <xdr:from>
      <xdr:col>0</xdr:col>
      <xdr:colOff>764620</xdr:colOff>
      <xdr:row>437</xdr:row>
      <xdr:rowOff>63103</xdr:rowOff>
    </xdr:from>
    <xdr:to>
      <xdr:col>0</xdr:col>
      <xdr:colOff>1871901</xdr:colOff>
      <xdr:row>437</xdr:row>
      <xdr:rowOff>698897</xdr:rowOff>
    </xdr:to>
    <xdr:pic>
      <xdr:nvPicPr>
        <xdr:cNvPr id="875" name="Picture 874" descr="Insight Picture 874">
          <a:extLst>
            <a:ext uri="{FF2B5EF4-FFF2-40B4-BE49-F238E27FC236}">
              <a16:creationId xmlns:a16="http://schemas.microsoft.com/office/drawing/2014/main" id="{DC8B12E6-2C42-3CE3-3651-69F0F2C25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764620" y="366318403"/>
          <a:ext cx="1107281" cy="635794"/>
        </a:xfrm>
        <a:prstGeom prst="rect">
          <a:avLst/>
        </a:prstGeom>
      </xdr:spPr>
    </xdr:pic>
    <xdr:clientData/>
  </xdr:twoCellAnchor>
  <xdr:twoCellAnchor editAs="oneCell">
    <xdr:from>
      <xdr:col>0</xdr:col>
      <xdr:colOff>821770</xdr:colOff>
      <xdr:row>438</xdr:row>
      <xdr:rowOff>61441</xdr:rowOff>
    </xdr:from>
    <xdr:to>
      <xdr:col>0</xdr:col>
      <xdr:colOff>1814751</xdr:colOff>
      <xdr:row>438</xdr:row>
      <xdr:rowOff>761529</xdr:rowOff>
    </xdr:to>
    <xdr:pic>
      <xdr:nvPicPr>
        <xdr:cNvPr id="877" name="Picture 876" descr="Insight Picture 876">
          <a:extLst>
            <a:ext uri="{FF2B5EF4-FFF2-40B4-BE49-F238E27FC236}">
              <a16:creationId xmlns:a16="http://schemas.microsoft.com/office/drawing/2014/main" id="{E2737961-B171-E9E0-38D9-53E494B18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821770" y="367078741"/>
          <a:ext cx="992981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896778</xdr:colOff>
      <xdr:row>439</xdr:row>
      <xdr:rowOff>60732</xdr:rowOff>
    </xdr:from>
    <xdr:to>
      <xdr:col>0</xdr:col>
      <xdr:colOff>1739741</xdr:colOff>
      <xdr:row>439</xdr:row>
      <xdr:rowOff>967988</xdr:rowOff>
    </xdr:to>
    <xdr:pic>
      <xdr:nvPicPr>
        <xdr:cNvPr id="879" name="Picture 878" descr="Insight Picture 878">
          <a:extLst>
            <a:ext uri="{FF2B5EF4-FFF2-40B4-BE49-F238E27FC236}">
              <a16:creationId xmlns:a16="http://schemas.microsoft.com/office/drawing/2014/main" id="{0CBED04D-C860-217B-DEB0-29DE51246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896778" y="367900992"/>
          <a:ext cx="842963" cy="907256"/>
        </a:xfrm>
        <a:prstGeom prst="rect">
          <a:avLst/>
        </a:prstGeom>
      </xdr:spPr>
    </xdr:pic>
    <xdr:clientData/>
  </xdr:twoCellAnchor>
  <xdr:twoCellAnchor editAs="oneCell">
    <xdr:from>
      <xdr:col>0</xdr:col>
      <xdr:colOff>821770</xdr:colOff>
      <xdr:row>440</xdr:row>
      <xdr:rowOff>61426</xdr:rowOff>
    </xdr:from>
    <xdr:to>
      <xdr:col>0</xdr:col>
      <xdr:colOff>1814751</xdr:colOff>
      <xdr:row>440</xdr:row>
      <xdr:rowOff>761514</xdr:rowOff>
    </xdr:to>
    <xdr:pic>
      <xdr:nvPicPr>
        <xdr:cNvPr id="881" name="Picture 880" descr="Insight Picture 880">
          <a:extLst>
            <a:ext uri="{FF2B5EF4-FFF2-40B4-BE49-F238E27FC236}">
              <a16:creationId xmlns:a16="http://schemas.microsoft.com/office/drawing/2014/main" id="{A004E09B-BB30-1801-570E-6C0035C09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821770" y="368930386"/>
          <a:ext cx="992981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732472</xdr:colOff>
      <xdr:row>441</xdr:row>
      <xdr:rowOff>63569</xdr:rowOff>
    </xdr:from>
    <xdr:to>
      <xdr:col>0</xdr:col>
      <xdr:colOff>1904047</xdr:colOff>
      <xdr:row>441</xdr:row>
      <xdr:rowOff>827950</xdr:rowOff>
    </xdr:to>
    <xdr:pic>
      <xdr:nvPicPr>
        <xdr:cNvPr id="883" name="Picture 882" descr="Insight Picture 882">
          <a:extLst>
            <a:ext uri="{FF2B5EF4-FFF2-40B4-BE49-F238E27FC236}">
              <a16:creationId xmlns:a16="http://schemas.microsoft.com/office/drawing/2014/main" id="{EDE43496-AC55-91C9-370A-87AC3ADB6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732472" y="369755489"/>
          <a:ext cx="1171575" cy="764381"/>
        </a:xfrm>
        <a:prstGeom prst="rect">
          <a:avLst/>
        </a:prstGeom>
      </xdr:spPr>
    </xdr:pic>
    <xdr:clientData/>
  </xdr:twoCellAnchor>
  <xdr:twoCellAnchor editAs="oneCell">
    <xdr:from>
      <xdr:col>0</xdr:col>
      <xdr:colOff>743188</xdr:colOff>
      <xdr:row>442</xdr:row>
      <xdr:rowOff>63113</xdr:rowOff>
    </xdr:from>
    <xdr:to>
      <xdr:col>0</xdr:col>
      <xdr:colOff>1893332</xdr:colOff>
      <xdr:row>442</xdr:row>
      <xdr:rowOff>698907</xdr:rowOff>
    </xdr:to>
    <xdr:pic>
      <xdr:nvPicPr>
        <xdr:cNvPr id="885" name="Picture 884" descr="Insight Picture 884">
          <a:extLst>
            <a:ext uri="{FF2B5EF4-FFF2-40B4-BE49-F238E27FC236}">
              <a16:creationId xmlns:a16="http://schemas.microsoft.com/office/drawing/2014/main" id="{DD2E716A-3D7B-DEB1-A741-47C051D9D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743188" y="370646573"/>
          <a:ext cx="1150144" cy="635794"/>
        </a:xfrm>
        <a:prstGeom prst="rect">
          <a:avLst/>
        </a:prstGeom>
      </xdr:spPr>
    </xdr:pic>
    <xdr:clientData/>
  </xdr:twoCellAnchor>
  <xdr:twoCellAnchor editAs="oneCell">
    <xdr:from>
      <xdr:col>0</xdr:col>
      <xdr:colOff>671750</xdr:colOff>
      <xdr:row>443</xdr:row>
      <xdr:rowOff>63336</xdr:rowOff>
    </xdr:from>
    <xdr:to>
      <xdr:col>0</xdr:col>
      <xdr:colOff>1964769</xdr:colOff>
      <xdr:row>443</xdr:row>
      <xdr:rowOff>591974</xdr:rowOff>
    </xdr:to>
    <xdr:pic>
      <xdr:nvPicPr>
        <xdr:cNvPr id="887" name="Picture 886" descr="Insight Picture 886">
          <a:extLst>
            <a:ext uri="{FF2B5EF4-FFF2-40B4-BE49-F238E27FC236}">
              <a16:creationId xmlns:a16="http://schemas.microsoft.com/office/drawing/2014/main" id="{FC96240F-F1DF-7DF5-7165-63A728A29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671750" y="371408796"/>
          <a:ext cx="1293019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739616</xdr:colOff>
      <xdr:row>444</xdr:row>
      <xdr:rowOff>61198</xdr:rowOff>
    </xdr:from>
    <xdr:to>
      <xdr:col>0</xdr:col>
      <xdr:colOff>1896904</xdr:colOff>
      <xdr:row>444</xdr:row>
      <xdr:rowOff>754142</xdr:rowOff>
    </xdr:to>
    <xdr:pic>
      <xdr:nvPicPr>
        <xdr:cNvPr id="889" name="Picture 888" descr="Insight Picture 888">
          <a:extLst>
            <a:ext uri="{FF2B5EF4-FFF2-40B4-BE49-F238E27FC236}">
              <a16:creationId xmlns:a16="http://schemas.microsoft.com/office/drawing/2014/main" id="{0320F74E-2A87-B3F2-B0F4-42CFF6BD8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739616" y="372061978"/>
          <a:ext cx="1157288" cy="692944"/>
        </a:xfrm>
        <a:prstGeom prst="rect">
          <a:avLst/>
        </a:prstGeom>
      </xdr:spPr>
    </xdr:pic>
    <xdr:clientData/>
  </xdr:twoCellAnchor>
  <xdr:twoCellAnchor editAs="oneCell">
    <xdr:from>
      <xdr:col>0</xdr:col>
      <xdr:colOff>753903</xdr:colOff>
      <xdr:row>445</xdr:row>
      <xdr:rowOff>63569</xdr:rowOff>
    </xdr:from>
    <xdr:to>
      <xdr:col>0</xdr:col>
      <xdr:colOff>1882616</xdr:colOff>
      <xdr:row>445</xdr:row>
      <xdr:rowOff>827950</xdr:rowOff>
    </xdr:to>
    <xdr:pic>
      <xdr:nvPicPr>
        <xdr:cNvPr id="891" name="Picture 890" descr="Insight Picture 890">
          <a:extLst>
            <a:ext uri="{FF2B5EF4-FFF2-40B4-BE49-F238E27FC236}">
              <a16:creationId xmlns:a16="http://schemas.microsoft.com/office/drawing/2014/main" id="{36FACF2D-C0FE-9A4A-0C6D-576584629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753903" y="372879689"/>
          <a:ext cx="1128713" cy="764381"/>
        </a:xfrm>
        <a:prstGeom prst="rect">
          <a:avLst/>
        </a:prstGeom>
      </xdr:spPr>
    </xdr:pic>
    <xdr:clientData/>
  </xdr:twoCellAnchor>
  <xdr:twoCellAnchor editAs="oneCell">
    <xdr:from>
      <xdr:col>0</xdr:col>
      <xdr:colOff>243126</xdr:colOff>
      <xdr:row>446</xdr:row>
      <xdr:rowOff>62146</xdr:rowOff>
    </xdr:from>
    <xdr:to>
      <xdr:col>0</xdr:col>
      <xdr:colOff>2393395</xdr:colOff>
      <xdr:row>446</xdr:row>
      <xdr:rowOff>897965</xdr:rowOff>
    </xdr:to>
    <xdr:pic>
      <xdr:nvPicPr>
        <xdr:cNvPr id="893" name="Picture 892" descr="Insight Picture 892">
          <a:extLst>
            <a:ext uri="{FF2B5EF4-FFF2-40B4-BE49-F238E27FC236}">
              <a16:creationId xmlns:a16="http://schemas.microsoft.com/office/drawing/2014/main" id="{ADD6C06F-057F-A7A4-ABD2-3B803C729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243126" y="373769806"/>
          <a:ext cx="2150269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714613</xdr:colOff>
      <xdr:row>447</xdr:row>
      <xdr:rowOff>61198</xdr:rowOff>
    </xdr:from>
    <xdr:to>
      <xdr:col>0</xdr:col>
      <xdr:colOff>1921907</xdr:colOff>
      <xdr:row>447</xdr:row>
      <xdr:rowOff>868442</xdr:rowOff>
    </xdr:to>
    <xdr:pic>
      <xdr:nvPicPr>
        <xdr:cNvPr id="895" name="Picture 894" descr="Insight Picture 894">
          <a:extLst>
            <a:ext uri="{FF2B5EF4-FFF2-40B4-BE49-F238E27FC236}">
              <a16:creationId xmlns:a16="http://schemas.microsoft.com/office/drawing/2014/main" id="{DF6354AE-1B36-ADDA-7FFC-830200272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714613" y="374728978"/>
          <a:ext cx="1207294" cy="807244"/>
        </a:xfrm>
        <a:prstGeom prst="rect">
          <a:avLst/>
        </a:prstGeom>
      </xdr:spPr>
    </xdr:pic>
    <xdr:clientData/>
  </xdr:twoCellAnchor>
  <xdr:twoCellAnchor editAs="oneCell">
    <xdr:from>
      <xdr:col>0</xdr:col>
      <xdr:colOff>789622</xdr:colOff>
      <xdr:row>448</xdr:row>
      <xdr:rowOff>61684</xdr:rowOff>
    </xdr:from>
    <xdr:to>
      <xdr:col>0</xdr:col>
      <xdr:colOff>1846897</xdr:colOff>
      <xdr:row>448</xdr:row>
      <xdr:rowOff>997515</xdr:rowOff>
    </xdr:to>
    <xdr:pic>
      <xdr:nvPicPr>
        <xdr:cNvPr id="897" name="Picture 896" descr="Insight Picture 896">
          <a:extLst>
            <a:ext uri="{FF2B5EF4-FFF2-40B4-BE49-F238E27FC236}">
              <a16:creationId xmlns:a16="http://schemas.microsoft.com/office/drawing/2014/main" id="{C73C89C5-78CD-CC1F-D038-EEFB61C19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789622" y="375659104"/>
          <a:ext cx="1057275" cy="935831"/>
        </a:xfrm>
        <a:prstGeom prst="rect">
          <a:avLst/>
        </a:prstGeom>
      </xdr:spPr>
    </xdr:pic>
    <xdr:clientData/>
  </xdr:twoCellAnchor>
  <xdr:twoCellAnchor editAs="oneCell">
    <xdr:from>
      <xdr:col>0</xdr:col>
      <xdr:colOff>714613</xdr:colOff>
      <xdr:row>449</xdr:row>
      <xdr:rowOff>61193</xdr:rowOff>
    </xdr:from>
    <xdr:to>
      <xdr:col>0</xdr:col>
      <xdr:colOff>1921907</xdr:colOff>
      <xdr:row>449</xdr:row>
      <xdr:rowOff>868437</xdr:rowOff>
    </xdr:to>
    <xdr:pic>
      <xdr:nvPicPr>
        <xdr:cNvPr id="899" name="Picture 898" descr="Insight Picture 898">
          <a:extLst>
            <a:ext uri="{FF2B5EF4-FFF2-40B4-BE49-F238E27FC236}">
              <a16:creationId xmlns:a16="http://schemas.microsoft.com/office/drawing/2014/main" id="{B81ECB3A-98D2-F578-AD32-30FACC93C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714613" y="376717793"/>
          <a:ext cx="1207294" cy="807244"/>
        </a:xfrm>
        <a:prstGeom prst="rect">
          <a:avLst/>
        </a:prstGeom>
      </xdr:spPr>
    </xdr:pic>
    <xdr:clientData/>
  </xdr:twoCellAnchor>
  <xdr:twoCellAnchor editAs="oneCell">
    <xdr:from>
      <xdr:col>0</xdr:col>
      <xdr:colOff>478869</xdr:colOff>
      <xdr:row>450</xdr:row>
      <xdr:rowOff>60241</xdr:rowOff>
    </xdr:from>
    <xdr:to>
      <xdr:col>0</xdr:col>
      <xdr:colOff>2157650</xdr:colOff>
      <xdr:row>450</xdr:row>
      <xdr:rowOff>838910</xdr:rowOff>
    </xdr:to>
    <xdr:pic>
      <xdr:nvPicPr>
        <xdr:cNvPr id="901" name="Picture 900" descr="Insight Picture 900">
          <a:extLst>
            <a:ext uri="{FF2B5EF4-FFF2-40B4-BE49-F238E27FC236}">
              <a16:creationId xmlns:a16="http://schemas.microsoft.com/office/drawing/2014/main" id="{21FF2D25-0CAA-A5CD-6393-D0FB31AE2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478869" y="377646481"/>
          <a:ext cx="1678781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711041</xdr:colOff>
      <xdr:row>451</xdr:row>
      <xdr:rowOff>63103</xdr:rowOff>
    </xdr:from>
    <xdr:to>
      <xdr:col>0</xdr:col>
      <xdr:colOff>1925479</xdr:colOff>
      <xdr:row>451</xdr:row>
      <xdr:rowOff>1156097</xdr:rowOff>
    </xdr:to>
    <xdr:pic>
      <xdr:nvPicPr>
        <xdr:cNvPr id="903" name="Picture 902" descr="Insight Picture 902">
          <a:extLst>
            <a:ext uri="{FF2B5EF4-FFF2-40B4-BE49-F238E27FC236}">
              <a16:creationId xmlns:a16="http://schemas.microsoft.com/office/drawing/2014/main" id="{81A5E997-633A-6923-F04A-293D89407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711041" y="378548503"/>
          <a:ext cx="1214438" cy="1092994"/>
        </a:xfrm>
        <a:prstGeom prst="rect">
          <a:avLst/>
        </a:prstGeom>
      </xdr:spPr>
    </xdr:pic>
    <xdr:clientData/>
  </xdr:twoCellAnchor>
  <xdr:twoCellAnchor editAs="oneCell">
    <xdr:from>
      <xdr:col>0</xdr:col>
      <xdr:colOff>689610</xdr:colOff>
      <xdr:row>452</xdr:row>
      <xdr:rowOff>63351</xdr:rowOff>
    </xdr:from>
    <xdr:to>
      <xdr:col>0</xdr:col>
      <xdr:colOff>1946910</xdr:colOff>
      <xdr:row>452</xdr:row>
      <xdr:rowOff>934889</xdr:rowOff>
    </xdr:to>
    <xdr:pic>
      <xdr:nvPicPr>
        <xdr:cNvPr id="905" name="Picture 904" descr="Insight Picture 904">
          <a:extLst>
            <a:ext uri="{FF2B5EF4-FFF2-40B4-BE49-F238E27FC236}">
              <a16:creationId xmlns:a16="http://schemas.microsoft.com/office/drawing/2014/main" id="{202FC01D-FC4C-4C69-008E-A3FE8683D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689610" y="379767951"/>
          <a:ext cx="1257300" cy="871538"/>
        </a:xfrm>
        <a:prstGeom prst="rect">
          <a:avLst/>
        </a:prstGeom>
      </xdr:spPr>
    </xdr:pic>
    <xdr:clientData/>
  </xdr:twoCellAnchor>
  <xdr:twoCellAnchor editAs="oneCell">
    <xdr:from>
      <xdr:col>0</xdr:col>
      <xdr:colOff>168116</xdr:colOff>
      <xdr:row>453</xdr:row>
      <xdr:rowOff>60246</xdr:rowOff>
    </xdr:from>
    <xdr:to>
      <xdr:col>0</xdr:col>
      <xdr:colOff>2468404</xdr:colOff>
      <xdr:row>453</xdr:row>
      <xdr:rowOff>838915</xdr:rowOff>
    </xdr:to>
    <xdr:pic>
      <xdr:nvPicPr>
        <xdr:cNvPr id="907" name="Picture 906" descr="Insight Picture 906">
          <a:extLst>
            <a:ext uri="{FF2B5EF4-FFF2-40B4-BE49-F238E27FC236}">
              <a16:creationId xmlns:a16="http://schemas.microsoft.com/office/drawing/2014/main" id="{C537B933-8D2B-BD42-AD06-2BECBBAA4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168116" y="380763066"/>
          <a:ext cx="2300288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478869</xdr:colOff>
      <xdr:row>454</xdr:row>
      <xdr:rowOff>63331</xdr:rowOff>
    </xdr:from>
    <xdr:to>
      <xdr:col>0</xdr:col>
      <xdr:colOff>2157650</xdr:colOff>
      <xdr:row>454</xdr:row>
      <xdr:rowOff>820569</xdr:rowOff>
    </xdr:to>
    <xdr:pic>
      <xdr:nvPicPr>
        <xdr:cNvPr id="909" name="Picture 908" descr="Insight Picture 908">
          <a:extLst>
            <a:ext uri="{FF2B5EF4-FFF2-40B4-BE49-F238E27FC236}">
              <a16:creationId xmlns:a16="http://schemas.microsoft.com/office/drawing/2014/main" id="{1C4AA22F-970C-B037-DF4F-B25EE19D4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478869" y="381665311"/>
          <a:ext cx="1678781" cy="757238"/>
        </a:xfrm>
        <a:prstGeom prst="rect">
          <a:avLst/>
        </a:prstGeom>
      </xdr:spPr>
    </xdr:pic>
    <xdr:clientData/>
  </xdr:twoCellAnchor>
  <xdr:twoCellAnchor editAs="oneCell">
    <xdr:from>
      <xdr:col>0</xdr:col>
      <xdr:colOff>686038</xdr:colOff>
      <xdr:row>455</xdr:row>
      <xdr:rowOff>60251</xdr:rowOff>
    </xdr:from>
    <xdr:to>
      <xdr:col>0</xdr:col>
      <xdr:colOff>1950482</xdr:colOff>
      <xdr:row>455</xdr:row>
      <xdr:rowOff>496020</xdr:rowOff>
    </xdr:to>
    <xdr:pic>
      <xdr:nvPicPr>
        <xdr:cNvPr id="911" name="Picture 910" descr="Insight Picture 910">
          <a:extLst>
            <a:ext uri="{FF2B5EF4-FFF2-40B4-BE49-F238E27FC236}">
              <a16:creationId xmlns:a16="http://schemas.microsoft.com/office/drawing/2014/main" id="{4CD17752-FD51-9986-E81D-9B7C9BCA7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686038" y="382546151"/>
          <a:ext cx="1264444" cy="435769"/>
        </a:xfrm>
        <a:prstGeom prst="rect">
          <a:avLst/>
        </a:prstGeom>
      </xdr:spPr>
    </xdr:pic>
    <xdr:clientData/>
  </xdr:twoCellAnchor>
  <xdr:twoCellAnchor editAs="oneCell">
    <xdr:from>
      <xdr:col>0</xdr:col>
      <xdr:colOff>628888</xdr:colOff>
      <xdr:row>456</xdr:row>
      <xdr:rowOff>60236</xdr:rowOff>
    </xdr:from>
    <xdr:to>
      <xdr:col>0</xdr:col>
      <xdr:colOff>2007632</xdr:colOff>
      <xdr:row>456</xdr:row>
      <xdr:rowOff>838905</xdr:rowOff>
    </xdr:to>
    <xdr:pic>
      <xdr:nvPicPr>
        <xdr:cNvPr id="913" name="Picture 912" descr="Insight Picture 912">
          <a:extLst>
            <a:ext uri="{FF2B5EF4-FFF2-40B4-BE49-F238E27FC236}">
              <a16:creationId xmlns:a16="http://schemas.microsoft.com/office/drawing/2014/main" id="{40A8D291-9D36-75DF-1F63-4E888A647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628888" y="383102396"/>
          <a:ext cx="1378744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793195</xdr:colOff>
      <xdr:row>457</xdr:row>
      <xdr:rowOff>62627</xdr:rowOff>
    </xdr:from>
    <xdr:to>
      <xdr:col>0</xdr:col>
      <xdr:colOff>1843326</xdr:colOff>
      <xdr:row>457</xdr:row>
      <xdr:rowOff>798433</xdr:rowOff>
    </xdr:to>
    <xdr:pic>
      <xdr:nvPicPr>
        <xdr:cNvPr id="915" name="Picture 914" descr="Insight Picture 914">
          <a:extLst>
            <a:ext uri="{FF2B5EF4-FFF2-40B4-BE49-F238E27FC236}">
              <a16:creationId xmlns:a16="http://schemas.microsoft.com/office/drawing/2014/main" id="{E60406C4-8501-32B6-7453-5A2E0574B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793195" y="384003947"/>
          <a:ext cx="1050131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739616</xdr:colOff>
      <xdr:row>458</xdr:row>
      <xdr:rowOff>61198</xdr:rowOff>
    </xdr:from>
    <xdr:to>
      <xdr:col>0</xdr:col>
      <xdr:colOff>1896904</xdr:colOff>
      <xdr:row>458</xdr:row>
      <xdr:rowOff>754142</xdr:rowOff>
    </xdr:to>
    <xdr:pic>
      <xdr:nvPicPr>
        <xdr:cNvPr id="917" name="Picture 916" descr="Insight Picture 916">
          <a:extLst>
            <a:ext uri="{FF2B5EF4-FFF2-40B4-BE49-F238E27FC236}">
              <a16:creationId xmlns:a16="http://schemas.microsoft.com/office/drawing/2014/main" id="{C7CB8EEC-D696-C37E-288E-0D9ECA346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739616" y="384863578"/>
          <a:ext cx="1157288" cy="692944"/>
        </a:xfrm>
        <a:prstGeom prst="rect">
          <a:avLst/>
        </a:prstGeom>
      </xdr:spPr>
    </xdr:pic>
    <xdr:clientData/>
  </xdr:twoCellAnchor>
  <xdr:twoCellAnchor editAs="oneCell">
    <xdr:from>
      <xdr:col>0</xdr:col>
      <xdr:colOff>782478</xdr:colOff>
      <xdr:row>459</xdr:row>
      <xdr:rowOff>63569</xdr:rowOff>
    </xdr:from>
    <xdr:to>
      <xdr:col>0</xdr:col>
      <xdr:colOff>1854041</xdr:colOff>
      <xdr:row>459</xdr:row>
      <xdr:rowOff>942250</xdr:rowOff>
    </xdr:to>
    <xdr:pic>
      <xdr:nvPicPr>
        <xdr:cNvPr id="919" name="Picture 918" descr="Insight Picture 918">
          <a:extLst>
            <a:ext uri="{FF2B5EF4-FFF2-40B4-BE49-F238E27FC236}">
              <a16:creationId xmlns:a16="http://schemas.microsoft.com/office/drawing/2014/main" id="{AF205C2A-4006-21D8-0DD8-83E819287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782478" y="385681289"/>
          <a:ext cx="1071563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668178</xdr:colOff>
      <xdr:row>460</xdr:row>
      <xdr:rowOff>63336</xdr:rowOff>
    </xdr:from>
    <xdr:to>
      <xdr:col>0</xdr:col>
      <xdr:colOff>1968341</xdr:colOff>
      <xdr:row>460</xdr:row>
      <xdr:rowOff>934874</xdr:rowOff>
    </xdr:to>
    <xdr:pic>
      <xdr:nvPicPr>
        <xdr:cNvPr id="921" name="Picture 920" descr="Insight Picture 920">
          <a:extLst>
            <a:ext uri="{FF2B5EF4-FFF2-40B4-BE49-F238E27FC236}">
              <a16:creationId xmlns:a16="http://schemas.microsoft.com/office/drawing/2014/main" id="{DD076C80-D1CE-99D0-09BA-0201D7C15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668178" y="386686896"/>
          <a:ext cx="1300163" cy="871538"/>
        </a:xfrm>
        <a:prstGeom prst="rect">
          <a:avLst/>
        </a:prstGeom>
      </xdr:spPr>
    </xdr:pic>
    <xdr:clientData/>
  </xdr:twoCellAnchor>
  <xdr:twoCellAnchor editAs="oneCell">
    <xdr:from>
      <xdr:col>0</xdr:col>
      <xdr:colOff>714613</xdr:colOff>
      <xdr:row>461</xdr:row>
      <xdr:rowOff>62860</xdr:rowOff>
    </xdr:from>
    <xdr:to>
      <xdr:col>0</xdr:col>
      <xdr:colOff>1921907</xdr:colOff>
      <xdr:row>461</xdr:row>
      <xdr:rowOff>805810</xdr:rowOff>
    </xdr:to>
    <xdr:pic>
      <xdr:nvPicPr>
        <xdr:cNvPr id="923" name="Picture 922" descr="Insight Picture 922">
          <a:extLst>
            <a:ext uri="{FF2B5EF4-FFF2-40B4-BE49-F238E27FC236}">
              <a16:creationId xmlns:a16="http://schemas.microsoft.com/office/drawing/2014/main" id="{58CCEF9B-F0D4-0669-754D-55A2BF99B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714613" y="387684640"/>
          <a:ext cx="1207294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603885</xdr:colOff>
      <xdr:row>462</xdr:row>
      <xdr:rowOff>60484</xdr:rowOff>
    </xdr:from>
    <xdr:to>
      <xdr:col>0</xdr:col>
      <xdr:colOff>2032635</xdr:colOff>
      <xdr:row>462</xdr:row>
      <xdr:rowOff>846297</xdr:rowOff>
    </xdr:to>
    <xdr:pic>
      <xdr:nvPicPr>
        <xdr:cNvPr id="925" name="Picture 924" descr="Insight Picture 924">
          <a:extLst>
            <a:ext uri="{FF2B5EF4-FFF2-40B4-BE49-F238E27FC236}">
              <a16:creationId xmlns:a16="http://schemas.microsoft.com/office/drawing/2014/main" id="{1C9655E1-A18B-AD5F-C1A3-4EB3B3736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603885" y="388550944"/>
          <a:ext cx="1428750" cy="785813"/>
        </a:xfrm>
        <a:prstGeom prst="rect">
          <a:avLst/>
        </a:prstGeom>
      </xdr:spPr>
    </xdr:pic>
    <xdr:clientData/>
  </xdr:twoCellAnchor>
  <xdr:twoCellAnchor editAs="oneCell">
    <xdr:from>
      <xdr:col>0</xdr:col>
      <xdr:colOff>678895</xdr:colOff>
      <xdr:row>463</xdr:row>
      <xdr:rowOff>60241</xdr:rowOff>
    </xdr:from>
    <xdr:to>
      <xdr:col>0</xdr:col>
      <xdr:colOff>1957626</xdr:colOff>
      <xdr:row>463</xdr:row>
      <xdr:rowOff>1181810</xdr:rowOff>
    </xdr:to>
    <xdr:pic>
      <xdr:nvPicPr>
        <xdr:cNvPr id="927" name="Picture 926" descr="Insight Picture 926">
          <a:extLst>
            <a:ext uri="{FF2B5EF4-FFF2-40B4-BE49-F238E27FC236}">
              <a16:creationId xmlns:a16="http://schemas.microsoft.com/office/drawing/2014/main" id="{2B6FDB3F-2794-3ABA-FF36-6F9917E8B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678895" y="389457481"/>
          <a:ext cx="1278731" cy="1121569"/>
        </a:xfrm>
        <a:prstGeom prst="rect">
          <a:avLst/>
        </a:prstGeom>
      </xdr:spPr>
    </xdr:pic>
    <xdr:clientData/>
  </xdr:twoCellAnchor>
  <xdr:twoCellAnchor editAs="oneCell">
    <xdr:from>
      <xdr:col>0</xdr:col>
      <xdr:colOff>628888</xdr:colOff>
      <xdr:row>464</xdr:row>
      <xdr:rowOff>62384</xdr:rowOff>
    </xdr:from>
    <xdr:to>
      <xdr:col>0</xdr:col>
      <xdr:colOff>2007632</xdr:colOff>
      <xdr:row>464</xdr:row>
      <xdr:rowOff>676747</xdr:rowOff>
    </xdr:to>
    <xdr:pic>
      <xdr:nvPicPr>
        <xdr:cNvPr id="929" name="Picture 928" descr="Insight Picture 928">
          <a:extLst>
            <a:ext uri="{FF2B5EF4-FFF2-40B4-BE49-F238E27FC236}">
              <a16:creationId xmlns:a16="http://schemas.microsoft.com/office/drawing/2014/main" id="{3A6C21B0-E56A-26FD-1018-DFAD339CE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628888" y="390701684"/>
          <a:ext cx="1378744" cy="614363"/>
        </a:xfrm>
        <a:prstGeom prst="rect">
          <a:avLst/>
        </a:prstGeom>
      </xdr:spPr>
    </xdr:pic>
    <xdr:clientData/>
  </xdr:twoCellAnchor>
  <xdr:twoCellAnchor editAs="oneCell">
    <xdr:from>
      <xdr:col>0</xdr:col>
      <xdr:colOff>518160</xdr:colOff>
      <xdr:row>465</xdr:row>
      <xdr:rowOff>60960</xdr:rowOff>
    </xdr:from>
    <xdr:to>
      <xdr:col>0</xdr:col>
      <xdr:colOff>2118360</xdr:colOff>
      <xdr:row>465</xdr:row>
      <xdr:rowOff>632460</xdr:rowOff>
    </xdr:to>
    <xdr:pic>
      <xdr:nvPicPr>
        <xdr:cNvPr id="931" name="Picture 930" descr="Insight Picture 930">
          <a:extLst>
            <a:ext uri="{FF2B5EF4-FFF2-40B4-BE49-F238E27FC236}">
              <a16:creationId xmlns:a16="http://schemas.microsoft.com/office/drawing/2014/main" id="{F5AB4CBA-DEFB-6EB2-4D23-A9884A25A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518160" y="391439400"/>
          <a:ext cx="160020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671750</xdr:colOff>
      <xdr:row>466</xdr:row>
      <xdr:rowOff>61203</xdr:rowOff>
    </xdr:from>
    <xdr:to>
      <xdr:col>0</xdr:col>
      <xdr:colOff>1964769</xdr:colOff>
      <xdr:row>466</xdr:row>
      <xdr:rowOff>639847</xdr:rowOff>
    </xdr:to>
    <xdr:pic>
      <xdr:nvPicPr>
        <xdr:cNvPr id="933" name="Picture 932" descr="Insight Picture 932">
          <a:extLst>
            <a:ext uri="{FF2B5EF4-FFF2-40B4-BE49-F238E27FC236}">
              <a16:creationId xmlns:a16="http://schemas.microsoft.com/office/drawing/2014/main" id="{F7CFF19A-823E-BD88-7AFA-C42B88564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671750" y="392133063"/>
          <a:ext cx="1293019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825341</xdr:colOff>
      <xdr:row>467</xdr:row>
      <xdr:rowOff>61193</xdr:rowOff>
    </xdr:from>
    <xdr:to>
      <xdr:col>0</xdr:col>
      <xdr:colOff>1811179</xdr:colOff>
      <xdr:row>467</xdr:row>
      <xdr:rowOff>639837</xdr:rowOff>
    </xdr:to>
    <xdr:pic>
      <xdr:nvPicPr>
        <xdr:cNvPr id="935" name="Picture 934" descr="Insight Picture 934">
          <a:extLst>
            <a:ext uri="{FF2B5EF4-FFF2-40B4-BE49-F238E27FC236}">
              <a16:creationId xmlns:a16="http://schemas.microsoft.com/office/drawing/2014/main" id="{B813CA54-620D-10E3-E2F1-4032C0EF6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825341" y="392834093"/>
          <a:ext cx="985838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503872</xdr:colOff>
      <xdr:row>468</xdr:row>
      <xdr:rowOff>62622</xdr:rowOff>
    </xdr:from>
    <xdr:to>
      <xdr:col>0</xdr:col>
      <xdr:colOff>2132647</xdr:colOff>
      <xdr:row>468</xdr:row>
      <xdr:rowOff>912728</xdr:rowOff>
    </xdr:to>
    <xdr:pic>
      <xdr:nvPicPr>
        <xdr:cNvPr id="937" name="Picture 936" descr="Insight Picture 936">
          <a:extLst>
            <a:ext uri="{FF2B5EF4-FFF2-40B4-BE49-F238E27FC236}">
              <a16:creationId xmlns:a16="http://schemas.microsoft.com/office/drawing/2014/main" id="{CF03D639-3075-9679-D849-4DAED26E9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503872" y="393536562"/>
          <a:ext cx="1628775" cy="850106"/>
        </a:xfrm>
        <a:prstGeom prst="rect">
          <a:avLst/>
        </a:prstGeom>
      </xdr:spPr>
    </xdr:pic>
    <xdr:clientData/>
  </xdr:twoCellAnchor>
  <xdr:twoCellAnchor editAs="oneCell">
    <xdr:from>
      <xdr:col>0</xdr:col>
      <xdr:colOff>489585</xdr:colOff>
      <xdr:row>469</xdr:row>
      <xdr:rowOff>63351</xdr:rowOff>
    </xdr:from>
    <xdr:to>
      <xdr:col>0</xdr:col>
      <xdr:colOff>2146935</xdr:colOff>
      <xdr:row>469</xdr:row>
      <xdr:rowOff>706289</xdr:rowOff>
    </xdr:to>
    <xdr:pic>
      <xdr:nvPicPr>
        <xdr:cNvPr id="939" name="Picture 938" descr="Insight Picture 938">
          <a:extLst>
            <a:ext uri="{FF2B5EF4-FFF2-40B4-BE49-F238E27FC236}">
              <a16:creationId xmlns:a16="http://schemas.microsoft.com/office/drawing/2014/main" id="{CC68694F-3ABD-6FD1-8F67-A5F55D237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489585" y="394512651"/>
          <a:ext cx="1657350" cy="642938"/>
        </a:xfrm>
        <a:prstGeom prst="rect">
          <a:avLst/>
        </a:prstGeom>
      </xdr:spPr>
    </xdr:pic>
    <xdr:clientData/>
  </xdr:twoCellAnchor>
  <xdr:twoCellAnchor editAs="oneCell">
    <xdr:from>
      <xdr:col>0</xdr:col>
      <xdr:colOff>628888</xdr:colOff>
      <xdr:row>470</xdr:row>
      <xdr:rowOff>60246</xdr:rowOff>
    </xdr:from>
    <xdr:to>
      <xdr:col>0</xdr:col>
      <xdr:colOff>2007632</xdr:colOff>
      <xdr:row>470</xdr:row>
      <xdr:rowOff>838915</xdr:rowOff>
    </xdr:to>
    <xdr:pic>
      <xdr:nvPicPr>
        <xdr:cNvPr id="941" name="Picture 940" descr="Insight Picture 940">
          <a:extLst>
            <a:ext uri="{FF2B5EF4-FFF2-40B4-BE49-F238E27FC236}">
              <a16:creationId xmlns:a16="http://schemas.microsoft.com/office/drawing/2014/main" id="{AE292D97-B7BA-AAFD-9A96-0A5489D49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628888" y="395279166"/>
          <a:ext cx="1378744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628888</xdr:colOff>
      <xdr:row>471</xdr:row>
      <xdr:rowOff>60256</xdr:rowOff>
    </xdr:from>
    <xdr:to>
      <xdr:col>0</xdr:col>
      <xdr:colOff>2007632</xdr:colOff>
      <xdr:row>471</xdr:row>
      <xdr:rowOff>838925</xdr:rowOff>
    </xdr:to>
    <xdr:pic>
      <xdr:nvPicPr>
        <xdr:cNvPr id="943" name="Picture 942" descr="Insight Picture 942">
          <a:extLst>
            <a:ext uri="{FF2B5EF4-FFF2-40B4-BE49-F238E27FC236}">
              <a16:creationId xmlns:a16="http://schemas.microsoft.com/office/drawing/2014/main" id="{4CEBDD90-2ECE-C04F-F7CA-833F558CC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628888" y="396178336"/>
          <a:ext cx="1378744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632460</xdr:colOff>
      <xdr:row>472</xdr:row>
      <xdr:rowOff>62399</xdr:rowOff>
    </xdr:from>
    <xdr:to>
      <xdr:col>0</xdr:col>
      <xdr:colOff>2004060</xdr:colOff>
      <xdr:row>472</xdr:row>
      <xdr:rowOff>1019662</xdr:rowOff>
    </xdr:to>
    <xdr:pic>
      <xdr:nvPicPr>
        <xdr:cNvPr id="945" name="Picture 944" descr="Insight Picture 944">
          <a:extLst>
            <a:ext uri="{FF2B5EF4-FFF2-40B4-BE49-F238E27FC236}">
              <a16:creationId xmlns:a16="http://schemas.microsoft.com/office/drawing/2014/main" id="{4F89E6CF-BA0E-5EC7-F119-3F544B8A3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632460" y="397079639"/>
          <a:ext cx="1371600" cy="957263"/>
        </a:xfrm>
        <a:prstGeom prst="rect">
          <a:avLst/>
        </a:prstGeom>
      </xdr:spPr>
    </xdr:pic>
    <xdr:clientData/>
  </xdr:twoCellAnchor>
  <xdr:twoCellAnchor editAs="oneCell">
    <xdr:from>
      <xdr:col>0</xdr:col>
      <xdr:colOff>393144</xdr:colOff>
      <xdr:row>473</xdr:row>
      <xdr:rowOff>62141</xdr:rowOff>
    </xdr:from>
    <xdr:to>
      <xdr:col>0</xdr:col>
      <xdr:colOff>2243375</xdr:colOff>
      <xdr:row>473</xdr:row>
      <xdr:rowOff>669360</xdr:rowOff>
    </xdr:to>
    <xdr:pic>
      <xdr:nvPicPr>
        <xdr:cNvPr id="947" name="Picture 946" descr="Insight Picture 946">
          <a:extLst>
            <a:ext uri="{FF2B5EF4-FFF2-40B4-BE49-F238E27FC236}">
              <a16:creationId xmlns:a16="http://schemas.microsoft.com/office/drawing/2014/main" id="{B6605337-3036-9B95-A408-571A27890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393144" y="398161421"/>
          <a:ext cx="1850231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793195</xdr:colOff>
      <xdr:row>474</xdr:row>
      <xdr:rowOff>62161</xdr:rowOff>
    </xdr:from>
    <xdr:to>
      <xdr:col>0</xdr:col>
      <xdr:colOff>1843326</xdr:colOff>
      <xdr:row>474</xdr:row>
      <xdr:rowOff>897980</xdr:rowOff>
    </xdr:to>
    <xdr:pic>
      <xdr:nvPicPr>
        <xdr:cNvPr id="949" name="Picture 948" descr="Insight Picture 948">
          <a:extLst>
            <a:ext uri="{FF2B5EF4-FFF2-40B4-BE49-F238E27FC236}">
              <a16:creationId xmlns:a16="http://schemas.microsoft.com/office/drawing/2014/main" id="{59397DDB-2898-6FA5-929E-DE808E0C7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793195" y="398892961"/>
          <a:ext cx="1050131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768191</xdr:colOff>
      <xdr:row>475</xdr:row>
      <xdr:rowOff>62156</xdr:rowOff>
    </xdr:from>
    <xdr:to>
      <xdr:col>0</xdr:col>
      <xdr:colOff>1868329</xdr:colOff>
      <xdr:row>475</xdr:row>
      <xdr:rowOff>897975</xdr:rowOff>
    </xdr:to>
    <xdr:pic>
      <xdr:nvPicPr>
        <xdr:cNvPr id="951" name="Picture 950" descr="Insight Picture 950">
          <a:extLst>
            <a:ext uri="{FF2B5EF4-FFF2-40B4-BE49-F238E27FC236}">
              <a16:creationId xmlns:a16="http://schemas.microsoft.com/office/drawing/2014/main" id="{33AFB35C-5626-4CBE-77C8-6A6759C6C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768191" y="399853076"/>
          <a:ext cx="1100138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661035</xdr:colOff>
      <xdr:row>476</xdr:row>
      <xdr:rowOff>61679</xdr:rowOff>
    </xdr:from>
    <xdr:to>
      <xdr:col>0</xdr:col>
      <xdr:colOff>1975485</xdr:colOff>
      <xdr:row>476</xdr:row>
      <xdr:rowOff>768910</xdr:rowOff>
    </xdr:to>
    <xdr:pic>
      <xdr:nvPicPr>
        <xdr:cNvPr id="953" name="Picture 952" descr="Insight Picture 952">
          <a:extLst>
            <a:ext uri="{FF2B5EF4-FFF2-40B4-BE49-F238E27FC236}">
              <a16:creationId xmlns:a16="http://schemas.microsoft.com/office/drawing/2014/main" id="{845A72C4-4D65-2E31-F695-03AF9FE2B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661035" y="400812719"/>
          <a:ext cx="1314450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668178</xdr:colOff>
      <xdr:row>477</xdr:row>
      <xdr:rowOff>61908</xdr:rowOff>
    </xdr:from>
    <xdr:to>
      <xdr:col>0</xdr:col>
      <xdr:colOff>1968341</xdr:colOff>
      <xdr:row>477</xdr:row>
      <xdr:rowOff>890583</xdr:rowOff>
    </xdr:to>
    <xdr:pic>
      <xdr:nvPicPr>
        <xdr:cNvPr id="955" name="Picture 954" descr="Insight Picture 954">
          <a:extLst>
            <a:ext uri="{FF2B5EF4-FFF2-40B4-BE49-F238E27FC236}">
              <a16:creationId xmlns:a16="http://schemas.microsoft.com/office/drawing/2014/main" id="{DF52B62E-7777-313C-078A-3D08BC75A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668178" y="401643528"/>
          <a:ext cx="1300163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696753</xdr:colOff>
      <xdr:row>478</xdr:row>
      <xdr:rowOff>61684</xdr:rowOff>
    </xdr:from>
    <xdr:to>
      <xdr:col>0</xdr:col>
      <xdr:colOff>1939766</xdr:colOff>
      <xdr:row>478</xdr:row>
      <xdr:rowOff>540315</xdr:rowOff>
    </xdr:to>
    <xdr:pic>
      <xdr:nvPicPr>
        <xdr:cNvPr id="957" name="Picture 956" descr="Insight Picture 956">
          <a:extLst>
            <a:ext uri="{FF2B5EF4-FFF2-40B4-BE49-F238E27FC236}">
              <a16:creationId xmlns:a16="http://schemas.microsoft.com/office/drawing/2014/main" id="{FBD721EA-756D-1103-DDEE-43BE37CD3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696753" y="402595804"/>
          <a:ext cx="1243013" cy="478631"/>
        </a:xfrm>
        <a:prstGeom prst="rect">
          <a:avLst/>
        </a:prstGeom>
      </xdr:spPr>
    </xdr:pic>
    <xdr:clientData/>
  </xdr:twoCellAnchor>
  <xdr:twoCellAnchor editAs="oneCell">
    <xdr:from>
      <xdr:col>0</xdr:col>
      <xdr:colOff>864632</xdr:colOff>
      <xdr:row>479</xdr:row>
      <xdr:rowOff>61664</xdr:rowOff>
    </xdr:from>
    <xdr:to>
      <xdr:col>0</xdr:col>
      <xdr:colOff>1771888</xdr:colOff>
      <xdr:row>479</xdr:row>
      <xdr:rowOff>768895</xdr:rowOff>
    </xdr:to>
    <xdr:pic>
      <xdr:nvPicPr>
        <xdr:cNvPr id="959" name="Picture 958" descr="Insight Picture 958">
          <a:extLst>
            <a:ext uri="{FF2B5EF4-FFF2-40B4-BE49-F238E27FC236}">
              <a16:creationId xmlns:a16="http://schemas.microsoft.com/office/drawing/2014/main" id="{4ECD5429-966A-CCB6-27EC-9FCA4F3F3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864632" y="403197764"/>
          <a:ext cx="907256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864632</xdr:colOff>
      <xdr:row>480</xdr:row>
      <xdr:rowOff>61669</xdr:rowOff>
    </xdr:from>
    <xdr:to>
      <xdr:col>0</xdr:col>
      <xdr:colOff>1771888</xdr:colOff>
      <xdr:row>480</xdr:row>
      <xdr:rowOff>768900</xdr:rowOff>
    </xdr:to>
    <xdr:pic>
      <xdr:nvPicPr>
        <xdr:cNvPr id="961" name="Picture 960" descr="Insight Picture 960">
          <a:extLst>
            <a:ext uri="{FF2B5EF4-FFF2-40B4-BE49-F238E27FC236}">
              <a16:creationId xmlns:a16="http://schemas.microsoft.com/office/drawing/2014/main" id="{D1C0495E-9ED1-9E95-DC42-D0769CC19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864632" y="404028349"/>
          <a:ext cx="907256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782478</xdr:colOff>
      <xdr:row>481</xdr:row>
      <xdr:rowOff>63584</xdr:rowOff>
    </xdr:from>
    <xdr:to>
      <xdr:col>0</xdr:col>
      <xdr:colOff>1854041</xdr:colOff>
      <xdr:row>481</xdr:row>
      <xdr:rowOff>599365</xdr:rowOff>
    </xdr:to>
    <xdr:pic>
      <xdr:nvPicPr>
        <xdr:cNvPr id="963" name="Picture 962" descr="Insight Picture 962">
          <a:extLst>
            <a:ext uri="{FF2B5EF4-FFF2-40B4-BE49-F238E27FC236}">
              <a16:creationId xmlns:a16="http://schemas.microsoft.com/office/drawing/2014/main" id="{ADDAA4C8-D728-13AA-757C-393495010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782478" y="404860844"/>
          <a:ext cx="1071563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786050</xdr:colOff>
      <xdr:row>482</xdr:row>
      <xdr:rowOff>63822</xdr:rowOff>
    </xdr:from>
    <xdr:to>
      <xdr:col>0</xdr:col>
      <xdr:colOff>1850469</xdr:colOff>
      <xdr:row>482</xdr:row>
      <xdr:rowOff>721047</xdr:rowOff>
    </xdr:to>
    <xdr:pic>
      <xdr:nvPicPr>
        <xdr:cNvPr id="965" name="Picture 964" descr="Insight Picture 964">
          <a:extLst>
            <a:ext uri="{FF2B5EF4-FFF2-40B4-BE49-F238E27FC236}">
              <a16:creationId xmlns:a16="http://schemas.microsoft.com/office/drawing/2014/main" id="{3B6B83A0-C1F0-4810-72B9-78E5929B9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786050" y="405524022"/>
          <a:ext cx="1064419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671750</xdr:colOff>
      <xdr:row>483</xdr:row>
      <xdr:rowOff>61203</xdr:rowOff>
    </xdr:from>
    <xdr:to>
      <xdr:col>0</xdr:col>
      <xdr:colOff>1964769</xdr:colOff>
      <xdr:row>483</xdr:row>
      <xdr:rowOff>639847</xdr:rowOff>
    </xdr:to>
    <xdr:pic>
      <xdr:nvPicPr>
        <xdr:cNvPr id="967" name="Picture 966" descr="Insight Picture 966">
          <a:extLst>
            <a:ext uri="{FF2B5EF4-FFF2-40B4-BE49-F238E27FC236}">
              <a16:creationId xmlns:a16="http://schemas.microsoft.com/office/drawing/2014/main" id="{F4302E61-D5E3-3D5F-C5F0-25DD1747C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671750" y="406306263"/>
          <a:ext cx="1293019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925353</xdr:colOff>
      <xdr:row>484</xdr:row>
      <xdr:rowOff>60970</xdr:rowOff>
    </xdr:from>
    <xdr:to>
      <xdr:col>0</xdr:col>
      <xdr:colOff>1711166</xdr:colOff>
      <xdr:row>484</xdr:row>
      <xdr:rowOff>746770</xdr:rowOff>
    </xdr:to>
    <xdr:pic>
      <xdr:nvPicPr>
        <xdr:cNvPr id="969" name="Picture 968" descr="Insight Picture 968">
          <a:extLst>
            <a:ext uri="{FF2B5EF4-FFF2-40B4-BE49-F238E27FC236}">
              <a16:creationId xmlns:a16="http://schemas.microsoft.com/office/drawing/2014/main" id="{7EB4EB02-C8D2-0AD6-7C53-15EE0D1E1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925353" y="407007070"/>
          <a:ext cx="785813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903923</xdr:colOff>
      <xdr:row>485</xdr:row>
      <xdr:rowOff>60965</xdr:rowOff>
    </xdr:from>
    <xdr:to>
      <xdr:col>0</xdr:col>
      <xdr:colOff>1732598</xdr:colOff>
      <xdr:row>485</xdr:row>
      <xdr:rowOff>746765</xdr:rowOff>
    </xdr:to>
    <xdr:pic>
      <xdr:nvPicPr>
        <xdr:cNvPr id="971" name="Picture 970" descr="Insight Picture 970">
          <a:extLst>
            <a:ext uri="{FF2B5EF4-FFF2-40B4-BE49-F238E27FC236}">
              <a16:creationId xmlns:a16="http://schemas.microsoft.com/office/drawing/2014/main" id="{2C95546D-C7C0-0161-BA0B-ED1AFC58E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903923" y="407814785"/>
          <a:ext cx="82867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811053</xdr:colOff>
      <xdr:row>486</xdr:row>
      <xdr:rowOff>61679</xdr:rowOff>
    </xdr:from>
    <xdr:to>
      <xdr:col>0</xdr:col>
      <xdr:colOff>1825466</xdr:colOff>
      <xdr:row>486</xdr:row>
      <xdr:rowOff>654610</xdr:rowOff>
    </xdr:to>
    <xdr:pic>
      <xdr:nvPicPr>
        <xdr:cNvPr id="973" name="Picture 972" descr="Insight Picture 972">
          <a:extLst>
            <a:ext uri="{FF2B5EF4-FFF2-40B4-BE49-F238E27FC236}">
              <a16:creationId xmlns:a16="http://schemas.microsoft.com/office/drawing/2014/main" id="{6457B6FA-2F7D-7E18-EFAD-574341055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811053" y="408623219"/>
          <a:ext cx="1014413" cy="592931"/>
        </a:xfrm>
        <a:prstGeom prst="rect">
          <a:avLst/>
        </a:prstGeom>
      </xdr:spPr>
    </xdr:pic>
    <xdr:clientData/>
  </xdr:twoCellAnchor>
  <xdr:twoCellAnchor editAs="oneCell">
    <xdr:from>
      <xdr:col>0</xdr:col>
      <xdr:colOff>743188</xdr:colOff>
      <xdr:row>487</xdr:row>
      <xdr:rowOff>63346</xdr:rowOff>
    </xdr:from>
    <xdr:to>
      <xdr:col>0</xdr:col>
      <xdr:colOff>1893332</xdr:colOff>
      <xdr:row>487</xdr:row>
      <xdr:rowOff>820584</xdr:rowOff>
    </xdr:to>
    <xdr:pic>
      <xdr:nvPicPr>
        <xdr:cNvPr id="975" name="Picture 974" descr="Insight Picture 974">
          <a:extLst>
            <a:ext uri="{FF2B5EF4-FFF2-40B4-BE49-F238E27FC236}">
              <a16:creationId xmlns:a16="http://schemas.microsoft.com/office/drawing/2014/main" id="{BC080A71-6AEB-B15F-D35C-039313334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743188" y="409341166"/>
          <a:ext cx="1150144" cy="757238"/>
        </a:xfrm>
        <a:prstGeom prst="rect">
          <a:avLst/>
        </a:prstGeom>
      </xdr:spPr>
    </xdr:pic>
    <xdr:clientData/>
  </xdr:twoCellAnchor>
  <xdr:twoCellAnchor editAs="oneCell">
    <xdr:from>
      <xdr:col>0</xdr:col>
      <xdr:colOff>861060</xdr:colOff>
      <xdr:row>488</xdr:row>
      <xdr:rowOff>61208</xdr:rowOff>
    </xdr:from>
    <xdr:to>
      <xdr:col>0</xdr:col>
      <xdr:colOff>1775460</xdr:colOff>
      <xdr:row>488</xdr:row>
      <xdr:rowOff>754152</xdr:rowOff>
    </xdr:to>
    <xdr:pic>
      <xdr:nvPicPr>
        <xdr:cNvPr id="977" name="Picture 976" descr="Insight Picture 976">
          <a:extLst>
            <a:ext uri="{FF2B5EF4-FFF2-40B4-BE49-F238E27FC236}">
              <a16:creationId xmlns:a16="http://schemas.microsoft.com/office/drawing/2014/main" id="{75C7038C-0F2E-3EC9-6444-E35D46615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861060" y="410222948"/>
          <a:ext cx="914400" cy="692944"/>
        </a:xfrm>
        <a:prstGeom prst="rect">
          <a:avLst/>
        </a:prstGeom>
      </xdr:spPr>
    </xdr:pic>
    <xdr:clientData/>
  </xdr:twoCellAnchor>
  <xdr:twoCellAnchor editAs="oneCell">
    <xdr:from>
      <xdr:col>0</xdr:col>
      <xdr:colOff>768191</xdr:colOff>
      <xdr:row>489</xdr:row>
      <xdr:rowOff>62637</xdr:rowOff>
    </xdr:from>
    <xdr:to>
      <xdr:col>0</xdr:col>
      <xdr:colOff>1868329</xdr:colOff>
      <xdr:row>489</xdr:row>
      <xdr:rowOff>798443</xdr:rowOff>
    </xdr:to>
    <xdr:pic>
      <xdr:nvPicPr>
        <xdr:cNvPr id="979" name="Picture 978" descr="Insight Picture 978">
          <a:extLst>
            <a:ext uri="{FF2B5EF4-FFF2-40B4-BE49-F238E27FC236}">
              <a16:creationId xmlns:a16="http://schemas.microsoft.com/office/drawing/2014/main" id="{26D6026D-4178-1E3C-3296-6B13F2196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768191" y="411039717"/>
          <a:ext cx="1100138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861060</xdr:colOff>
      <xdr:row>490</xdr:row>
      <xdr:rowOff>61208</xdr:rowOff>
    </xdr:from>
    <xdr:to>
      <xdr:col>0</xdr:col>
      <xdr:colOff>1775460</xdr:colOff>
      <xdr:row>490</xdr:row>
      <xdr:rowOff>754152</xdr:rowOff>
    </xdr:to>
    <xdr:pic>
      <xdr:nvPicPr>
        <xdr:cNvPr id="981" name="Picture 980" descr="Insight Picture 980">
          <a:extLst>
            <a:ext uri="{FF2B5EF4-FFF2-40B4-BE49-F238E27FC236}">
              <a16:creationId xmlns:a16="http://schemas.microsoft.com/office/drawing/2014/main" id="{4EF38466-0931-F113-2E86-671103596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861060" y="411899348"/>
          <a:ext cx="914400" cy="692944"/>
        </a:xfrm>
        <a:prstGeom prst="rect">
          <a:avLst/>
        </a:prstGeom>
      </xdr:spPr>
    </xdr:pic>
    <xdr:clientData/>
  </xdr:twoCellAnchor>
  <xdr:twoCellAnchor editAs="oneCell">
    <xdr:from>
      <xdr:col>0</xdr:col>
      <xdr:colOff>746760</xdr:colOff>
      <xdr:row>491</xdr:row>
      <xdr:rowOff>62637</xdr:rowOff>
    </xdr:from>
    <xdr:to>
      <xdr:col>0</xdr:col>
      <xdr:colOff>1889760</xdr:colOff>
      <xdr:row>491</xdr:row>
      <xdr:rowOff>798443</xdr:rowOff>
    </xdr:to>
    <xdr:pic>
      <xdr:nvPicPr>
        <xdr:cNvPr id="983" name="Picture 982" descr="Insight Picture 982">
          <a:extLst>
            <a:ext uri="{FF2B5EF4-FFF2-40B4-BE49-F238E27FC236}">
              <a16:creationId xmlns:a16="http://schemas.microsoft.com/office/drawing/2014/main" id="{C9BC6DE5-D85A-BC7D-A862-3D75AEB96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746760" y="412716117"/>
          <a:ext cx="1143000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746760</xdr:colOff>
      <xdr:row>492</xdr:row>
      <xdr:rowOff>62622</xdr:rowOff>
    </xdr:from>
    <xdr:to>
      <xdr:col>0</xdr:col>
      <xdr:colOff>1889760</xdr:colOff>
      <xdr:row>492</xdr:row>
      <xdr:rowOff>798428</xdr:rowOff>
    </xdr:to>
    <xdr:pic>
      <xdr:nvPicPr>
        <xdr:cNvPr id="985" name="Picture 984" descr="Insight Picture 984">
          <a:extLst>
            <a:ext uri="{FF2B5EF4-FFF2-40B4-BE49-F238E27FC236}">
              <a16:creationId xmlns:a16="http://schemas.microsoft.com/office/drawing/2014/main" id="{3C398A0C-49C2-EEBB-D997-44B7955D2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746760" y="413577162"/>
          <a:ext cx="1143000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861060</xdr:colOff>
      <xdr:row>493</xdr:row>
      <xdr:rowOff>61441</xdr:rowOff>
    </xdr:from>
    <xdr:to>
      <xdr:col>0</xdr:col>
      <xdr:colOff>1775460</xdr:colOff>
      <xdr:row>493</xdr:row>
      <xdr:rowOff>875829</xdr:rowOff>
    </xdr:to>
    <xdr:pic>
      <xdr:nvPicPr>
        <xdr:cNvPr id="987" name="Picture 986" descr="Insight Picture 986">
          <a:extLst>
            <a:ext uri="{FF2B5EF4-FFF2-40B4-BE49-F238E27FC236}">
              <a16:creationId xmlns:a16="http://schemas.microsoft.com/office/drawing/2014/main" id="{9A009154-D5F0-238B-8B89-0A9EC5179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861060" y="414437041"/>
          <a:ext cx="914400" cy="814388"/>
        </a:xfrm>
        <a:prstGeom prst="rect">
          <a:avLst/>
        </a:prstGeom>
      </xdr:spPr>
    </xdr:pic>
    <xdr:clientData/>
  </xdr:twoCellAnchor>
  <xdr:twoCellAnchor editAs="oneCell">
    <xdr:from>
      <xdr:col>0</xdr:col>
      <xdr:colOff>843200</xdr:colOff>
      <xdr:row>494</xdr:row>
      <xdr:rowOff>61674</xdr:rowOff>
    </xdr:from>
    <xdr:to>
      <xdr:col>0</xdr:col>
      <xdr:colOff>1793319</xdr:colOff>
      <xdr:row>494</xdr:row>
      <xdr:rowOff>997505</xdr:rowOff>
    </xdr:to>
    <xdr:pic>
      <xdr:nvPicPr>
        <xdr:cNvPr id="989" name="Picture 988" descr="Insight Picture 988">
          <a:extLst>
            <a:ext uri="{FF2B5EF4-FFF2-40B4-BE49-F238E27FC236}">
              <a16:creationId xmlns:a16="http://schemas.microsoft.com/office/drawing/2014/main" id="{A302F4F2-21D3-B896-CFC5-25DC3465D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843200" y="415374534"/>
          <a:ext cx="950119" cy="935831"/>
        </a:xfrm>
        <a:prstGeom prst="rect">
          <a:avLst/>
        </a:prstGeom>
      </xdr:spPr>
    </xdr:pic>
    <xdr:clientData/>
  </xdr:twoCellAnchor>
  <xdr:twoCellAnchor editAs="oneCell">
    <xdr:from>
      <xdr:col>0</xdr:col>
      <xdr:colOff>703897</xdr:colOff>
      <xdr:row>495</xdr:row>
      <xdr:rowOff>63341</xdr:rowOff>
    </xdr:from>
    <xdr:to>
      <xdr:col>0</xdr:col>
      <xdr:colOff>1932622</xdr:colOff>
      <xdr:row>495</xdr:row>
      <xdr:rowOff>934879</xdr:rowOff>
    </xdr:to>
    <xdr:pic>
      <xdr:nvPicPr>
        <xdr:cNvPr id="991" name="Picture 990" descr="Insight Picture 990">
          <a:extLst>
            <a:ext uri="{FF2B5EF4-FFF2-40B4-BE49-F238E27FC236}">
              <a16:creationId xmlns:a16="http://schemas.microsoft.com/office/drawing/2014/main" id="{2093324E-5666-4B32-4C97-E09655260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703897" y="416435381"/>
          <a:ext cx="1228725" cy="871538"/>
        </a:xfrm>
        <a:prstGeom prst="rect">
          <a:avLst/>
        </a:prstGeom>
      </xdr:spPr>
    </xdr:pic>
    <xdr:clientData/>
  </xdr:twoCellAnchor>
  <xdr:twoCellAnchor editAs="oneCell">
    <xdr:from>
      <xdr:col>0</xdr:col>
      <xdr:colOff>639603</xdr:colOff>
      <xdr:row>496</xdr:row>
      <xdr:rowOff>62369</xdr:rowOff>
    </xdr:from>
    <xdr:to>
      <xdr:col>0</xdr:col>
      <xdr:colOff>1996916</xdr:colOff>
      <xdr:row>496</xdr:row>
      <xdr:rowOff>791032</xdr:rowOff>
    </xdr:to>
    <xdr:pic>
      <xdr:nvPicPr>
        <xdr:cNvPr id="993" name="Picture 992" descr="Insight Picture 992">
          <a:extLst>
            <a:ext uri="{FF2B5EF4-FFF2-40B4-BE49-F238E27FC236}">
              <a16:creationId xmlns:a16="http://schemas.microsoft.com/office/drawing/2014/main" id="{1B5A8F26-757A-BE9C-AAA9-DD895228C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639603" y="417432629"/>
          <a:ext cx="1357313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828913</xdr:colOff>
      <xdr:row>497</xdr:row>
      <xdr:rowOff>62409</xdr:rowOff>
    </xdr:from>
    <xdr:to>
      <xdr:col>0</xdr:col>
      <xdr:colOff>1807607</xdr:colOff>
      <xdr:row>497</xdr:row>
      <xdr:rowOff>791072</xdr:rowOff>
    </xdr:to>
    <xdr:pic>
      <xdr:nvPicPr>
        <xdr:cNvPr id="995" name="Picture 994" descr="Insight Picture 994">
          <a:extLst>
            <a:ext uri="{FF2B5EF4-FFF2-40B4-BE49-F238E27FC236}">
              <a16:creationId xmlns:a16="http://schemas.microsoft.com/office/drawing/2014/main" id="{F9E6B14F-D0FB-6D79-D6B1-962862C43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828913" y="418286109"/>
          <a:ext cx="978694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750332</xdr:colOff>
      <xdr:row>498</xdr:row>
      <xdr:rowOff>63589</xdr:rowOff>
    </xdr:from>
    <xdr:to>
      <xdr:col>0</xdr:col>
      <xdr:colOff>1886188</xdr:colOff>
      <xdr:row>498</xdr:row>
      <xdr:rowOff>713670</xdr:rowOff>
    </xdr:to>
    <xdr:pic>
      <xdr:nvPicPr>
        <xdr:cNvPr id="997" name="Picture 996" descr="Insight Picture 996">
          <a:extLst>
            <a:ext uri="{FF2B5EF4-FFF2-40B4-BE49-F238E27FC236}">
              <a16:creationId xmlns:a16="http://schemas.microsoft.com/office/drawing/2014/main" id="{48230043-AC4B-0036-3BED-34C549DDB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750332" y="419140729"/>
          <a:ext cx="1135856" cy="650081"/>
        </a:xfrm>
        <a:prstGeom prst="rect">
          <a:avLst/>
        </a:prstGeom>
      </xdr:spPr>
    </xdr:pic>
    <xdr:clientData/>
  </xdr:twoCellAnchor>
  <xdr:twoCellAnchor editAs="oneCell">
    <xdr:from>
      <xdr:col>0</xdr:col>
      <xdr:colOff>721757</xdr:colOff>
      <xdr:row>499</xdr:row>
      <xdr:rowOff>63579</xdr:rowOff>
    </xdr:from>
    <xdr:to>
      <xdr:col>0</xdr:col>
      <xdr:colOff>1914763</xdr:colOff>
      <xdr:row>499</xdr:row>
      <xdr:rowOff>713660</xdr:rowOff>
    </xdr:to>
    <xdr:pic>
      <xdr:nvPicPr>
        <xdr:cNvPr id="999" name="Picture 998" descr="Insight Picture 998">
          <a:extLst>
            <a:ext uri="{FF2B5EF4-FFF2-40B4-BE49-F238E27FC236}">
              <a16:creationId xmlns:a16="http://schemas.microsoft.com/office/drawing/2014/main" id="{254AECAE-C06E-E502-A341-620E19C1B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721757" y="419917959"/>
          <a:ext cx="1193006" cy="650081"/>
        </a:xfrm>
        <a:prstGeom prst="rect">
          <a:avLst/>
        </a:prstGeom>
      </xdr:spPr>
    </xdr:pic>
    <xdr:clientData/>
  </xdr:twoCellAnchor>
  <xdr:twoCellAnchor editAs="oneCell">
    <xdr:from>
      <xdr:col>0</xdr:col>
      <xdr:colOff>793195</xdr:colOff>
      <xdr:row>500</xdr:row>
      <xdr:rowOff>63569</xdr:rowOff>
    </xdr:from>
    <xdr:to>
      <xdr:col>0</xdr:col>
      <xdr:colOff>1843326</xdr:colOff>
      <xdr:row>500</xdr:row>
      <xdr:rowOff>713650</xdr:rowOff>
    </xdr:to>
    <xdr:pic>
      <xdr:nvPicPr>
        <xdr:cNvPr id="1001" name="Picture 1000" descr="Insight Picture 1000">
          <a:extLst>
            <a:ext uri="{FF2B5EF4-FFF2-40B4-BE49-F238E27FC236}">
              <a16:creationId xmlns:a16="http://schemas.microsoft.com/office/drawing/2014/main" id="{E4D47A1A-2A35-E29D-D437-30CAFF578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793195" y="420695189"/>
          <a:ext cx="1050131" cy="650081"/>
        </a:xfrm>
        <a:prstGeom prst="rect">
          <a:avLst/>
        </a:prstGeom>
      </xdr:spPr>
    </xdr:pic>
    <xdr:clientData/>
  </xdr:twoCellAnchor>
  <xdr:twoCellAnchor editAs="oneCell">
    <xdr:from>
      <xdr:col>0</xdr:col>
      <xdr:colOff>768191</xdr:colOff>
      <xdr:row>501</xdr:row>
      <xdr:rowOff>62170</xdr:rowOff>
    </xdr:from>
    <xdr:to>
      <xdr:col>0</xdr:col>
      <xdr:colOff>1868329</xdr:colOff>
      <xdr:row>501</xdr:row>
      <xdr:rowOff>897989</xdr:rowOff>
    </xdr:to>
    <xdr:pic>
      <xdr:nvPicPr>
        <xdr:cNvPr id="1003" name="Picture 1002" descr="Insight Picture 1002">
          <a:extLst>
            <a:ext uri="{FF2B5EF4-FFF2-40B4-BE49-F238E27FC236}">
              <a16:creationId xmlns:a16="http://schemas.microsoft.com/office/drawing/2014/main" id="{64DB7587-E0AB-A015-D188-CF1CAF655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768191" y="421471030"/>
          <a:ext cx="1100138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682466</xdr:colOff>
      <xdr:row>502</xdr:row>
      <xdr:rowOff>62141</xdr:rowOff>
    </xdr:from>
    <xdr:to>
      <xdr:col>0</xdr:col>
      <xdr:colOff>1954054</xdr:colOff>
      <xdr:row>502</xdr:row>
      <xdr:rowOff>897960</xdr:rowOff>
    </xdr:to>
    <xdr:pic>
      <xdr:nvPicPr>
        <xdr:cNvPr id="1005" name="Picture 1004" descr="Insight Picture 1004">
          <a:extLst>
            <a:ext uri="{FF2B5EF4-FFF2-40B4-BE49-F238E27FC236}">
              <a16:creationId xmlns:a16="http://schemas.microsoft.com/office/drawing/2014/main" id="{76BB8AA9-47F9-CF18-39DF-51F91EBC2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682466" y="422431121"/>
          <a:ext cx="1271588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618172</xdr:colOff>
      <xdr:row>503</xdr:row>
      <xdr:rowOff>61664</xdr:rowOff>
    </xdr:from>
    <xdr:to>
      <xdr:col>0</xdr:col>
      <xdr:colOff>2018347</xdr:colOff>
      <xdr:row>503</xdr:row>
      <xdr:rowOff>1226095</xdr:rowOff>
    </xdr:to>
    <xdr:pic>
      <xdr:nvPicPr>
        <xdr:cNvPr id="1007" name="Picture 1006" descr="Insight Picture 1006">
          <a:extLst>
            <a:ext uri="{FF2B5EF4-FFF2-40B4-BE49-F238E27FC236}">
              <a16:creationId xmlns:a16="http://schemas.microsoft.com/office/drawing/2014/main" id="{0CD2DA0D-1DFE-405E-0F36-E34F9C017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618172" y="423390764"/>
          <a:ext cx="1400175" cy="1164431"/>
        </a:xfrm>
        <a:prstGeom prst="rect">
          <a:avLst/>
        </a:prstGeom>
      </xdr:spPr>
    </xdr:pic>
    <xdr:clientData/>
  </xdr:twoCellAnchor>
  <xdr:twoCellAnchor editAs="oneCell">
    <xdr:from>
      <xdr:col>0</xdr:col>
      <xdr:colOff>596741</xdr:colOff>
      <xdr:row>504</xdr:row>
      <xdr:rowOff>61446</xdr:rowOff>
    </xdr:from>
    <xdr:to>
      <xdr:col>0</xdr:col>
      <xdr:colOff>2039779</xdr:colOff>
      <xdr:row>504</xdr:row>
      <xdr:rowOff>990134</xdr:rowOff>
    </xdr:to>
    <xdr:pic>
      <xdr:nvPicPr>
        <xdr:cNvPr id="1009" name="Picture 1008" descr="Insight Picture 1008">
          <a:extLst>
            <a:ext uri="{FF2B5EF4-FFF2-40B4-BE49-F238E27FC236}">
              <a16:creationId xmlns:a16="http://schemas.microsoft.com/office/drawing/2014/main" id="{4C3A4659-E96A-4B85-AA7F-54BEE21AB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596741" y="424678326"/>
          <a:ext cx="1443038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518160</xdr:colOff>
      <xdr:row>505</xdr:row>
      <xdr:rowOff>63589</xdr:rowOff>
    </xdr:from>
    <xdr:to>
      <xdr:col>0</xdr:col>
      <xdr:colOff>2118360</xdr:colOff>
      <xdr:row>505</xdr:row>
      <xdr:rowOff>713670</xdr:rowOff>
    </xdr:to>
    <xdr:pic>
      <xdr:nvPicPr>
        <xdr:cNvPr id="1011" name="Picture 1010" descr="Insight Picture 1010">
          <a:extLst>
            <a:ext uri="{FF2B5EF4-FFF2-40B4-BE49-F238E27FC236}">
              <a16:creationId xmlns:a16="http://schemas.microsoft.com/office/drawing/2014/main" id="{B06070F5-D095-8C0A-F368-9A7730FCE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518160" y="425732029"/>
          <a:ext cx="1600200" cy="650081"/>
        </a:xfrm>
        <a:prstGeom prst="rect">
          <a:avLst/>
        </a:prstGeom>
      </xdr:spPr>
    </xdr:pic>
    <xdr:clientData/>
  </xdr:twoCellAnchor>
  <xdr:twoCellAnchor editAs="oneCell">
    <xdr:from>
      <xdr:col>0</xdr:col>
      <xdr:colOff>711041</xdr:colOff>
      <xdr:row>506</xdr:row>
      <xdr:rowOff>63331</xdr:rowOff>
    </xdr:from>
    <xdr:to>
      <xdr:col>0</xdr:col>
      <xdr:colOff>1925479</xdr:colOff>
      <xdr:row>506</xdr:row>
      <xdr:rowOff>820569</xdr:rowOff>
    </xdr:to>
    <xdr:pic>
      <xdr:nvPicPr>
        <xdr:cNvPr id="1013" name="Picture 1012" descr="Insight Picture 1012">
          <a:extLst>
            <a:ext uri="{FF2B5EF4-FFF2-40B4-BE49-F238E27FC236}">
              <a16:creationId xmlns:a16="http://schemas.microsoft.com/office/drawing/2014/main" id="{E09C367D-98EF-A9A2-D776-B7E5C2CAD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711041" y="426509011"/>
          <a:ext cx="1214438" cy="757238"/>
        </a:xfrm>
        <a:prstGeom prst="rect">
          <a:avLst/>
        </a:prstGeom>
      </xdr:spPr>
    </xdr:pic>
    <xdr:clientData/>
  </xdr:twoCellAnchor>
  <xdr:twoCellAnchor editAs="oneCell">
    <xdr:from>
      <xdr:col>0</xdr:col>
      <xdr:colOff>582453</xdr:colOff>
      <xdr:row>507</xdr:row>
      <xdr:rowOff>61913</xdr:rowOff>
    </xdr:from>
    <xdr:to>
      <xdr:col>0</xdr:col>
      <xdr:colOff>2054066</xdr:colOff>
      <xdr:row>507</xdr:row>
      <xdr:rowOff>776288</xdr:rowOff>
    </xdr:to>
    <xdr:pic>
      <xdr:nvPicPr>
        <xdr:cNvPr id="1015" name="Picture 1014" descr="Insight Picture 1014">
          <a:extLst>
            <a:ext uri="{FF2B5EF4-FFF2-40B4-BE49-F238E27FC236}">
              <a16:creationId xmlns:a16="http://schemas.microsoft.com/office/drawing/2014/main" id="{602E7555-CFA1-D265-99F1-0A5280230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582453" y="427391513"/>
          <a:ext cx="1471613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582453</xdr:colOff>
      <xdr:row>508</xdr:row>
      <xdr:rowOff>63351</xdr:rowOff>
    </xdr:from>
    <xdr:to>
      <xdr:col>0</xdr:col>
      <xdr:colOff>2054066</xdr:colOff>
      <xdr:row>508</xdr:row>
      <xdr:rowOff>820589</xdr:rowOff>
    </xdr:to>
    <xdr:pic>
      <xdr:nvPicPr>
        <xdr:cNvPr id="1017" name="Picture 1016" descr="Insight Picture 1016">
          <a:extLst>
            <a:ext uri="{FF2B5EF4-FFF2-40B4-BE49-F238E27FC236}">
              <a16:creationId xmlns:a16="http://schemas.microsoft.com/office/drawing/2014/main" id="{4E21405F-267B-ABE6-A8A1-242FF4FB0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582453" y="428231151"/>
          <a:ext cx="1471613" cy="757238"/>
        </a:xfrm>
        <a:prstGeom prst="rect">
          <a:avLst/>
        </a:prstGeom>
      </xdr:spPr>
    </xdr:pic>
    <xdr:clientData/>
  </xdr:twoCellAnchor>
  <xdr:twoCellAnchor editAs="oneCell">
    <xdr:from>
      <xdr:col>0</xdr:col>
      <xdr:colOff>711041</xdr:colOff>
      <xdr:row>509</xdr:row>
      <xdr:rowOff>60742</xdr:rowOff>
    </xdr:from>
    <xdr:to>
      <xdr:col>0</xdr:col>
      <xdr:colOff>1925479</xdr:colOff>
      <xdr:row>509</xdr:row>
      <xdr:rowOff>853698</xdr:rowOff>
    </xdr:to>
    <xdr:pic>
      <xdr:nvPicPr>
        <xdr:cNvPr id="1019" name="Picture 1018" descr="Insight Picture 1018">
          <a:extLst>
            <a:ext uri="{FF2B5EF4-FFF2-40B4-BE49-F238E27FC236}">
              <a16:creationId xmlns:a16="http://schemas.microsoft.com/office/drawing/2014/main" id="{0D4E74EE-C73C-F314-CDCB-4B7740F23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711041" y="429112462"/>
          <a:ext cx="1214438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675322</xdr:colOff>
      <xdr:row>510</xdr:row>
      <xdr:rowOff>61684</xdr:rowOff>
    </xdr:from>
    <xdr:to>
      <xdr:col>0</xdr:col>
      <xdr:colOff>1961197</xdr:colOff>
      <xdr:row>510</xdr:row>
      <xdr:rowOff>997515</xdr:rowOff>
    </xdr:to>
    <xdr:pic>
      <xdr:nvPicPr>
        <xdr:cNvPr id="1021" name="Picture 1020" descr="Insight Picture 1020">
          <a:extLst>
            <a:ext uri="{FF2B5EF4-FFF2-40B4-BE49-F238E27FC236}">
              <a16:creationId xmlns:a16="http://schemas.microsoft.com/office/drawing/2014/main" id="{72270544-6C29-C744-4E0D-98CC7489D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675322" y="430027804"/>
          <a:ext cx="1285875" cy="935831"/>
        </a:xfrm>
        <a:prstGeom prst="rect">
          <a:avLst/>
        </a:prstGeom>
      </xdr:spPr>
    </xdr:pic>
    <xdr:clientData/>
  </xdr:twoCellAnchor>
  <xdr:twoCellAnchor editAs="oneCell">
    <xdr:from>
      <xdr:col>0</xdr:col>
      <xdr:colOff>625316</xdr:colOff>
      <xdr:row>511</xdr:row>
      <xdr:rowOff>61913</xdr:rowOff>
    </xdr:from>
    <xdr:to>
      <xdr:col>0</xdr:col>
      <xdr:colOff>2011204</xdr:colOff>
      <xdr:row>511</xdr:row>
      <xdr:rowOff>890588</xdr:rowOff>
    </xdr:to>
    <xdr:pic>
      <xdr:nvPicPr>
        <xdr:cNvPr id="1023" name="Picture 1022" descr="Insight Picture 1022">
          <a:extLst>
            <a:ext uri="{FF2B5EF4-FFF2-40B4-BE49-F238E27FC236}">
              <a16:creationId xmlns:a16="http://schemas.microsoft.com/office/drawing/2014/main" id="{E78F5FF6-B0B0-BB68-55A5-AF8A47645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625316" y="431087213"/>
          <a:ext cx="1385888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511016</xdr:colOff>
      <xdr:row>512</xdr:row>
      <xdr:rowOff>61913</xdr:rowOff>
    </xdr:from>
    <xdr:to>
      <xdr:col>0</xdr:col>
      <xdr:colOff>2125504</xdr:colOff>
      <xdr:row>512</xdr:row>
      <xdr:rowOff>890588</xdr:rowOff>
    </xdr:to>
    <xdr:pic>
      <xdr:nvPicPr>
        <xdr:cNvPr id="1025" name="Picture 1024" descr="Insight Picture 1024">
          <a:extLst>
            <a:ext uri="{FF2B5EF4-FFF2-40B4-BE49-F238E27FC236}">
              <a16:creationId xmlns:a16="http://schemas.microsoft.com/office/drawing/2014/main" id="{CB2B0CE7-E360-7570-E532-0A9F16177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511016" y="432039713"/>
          <a:ext cx="1614488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707470</xdr:colOff>
      <xdr:row>513</xdr:row>
      <xdr:rowOff>60970</xdr:rowOff>
    </xdr:from>
    <xdr:to>
      <xdr:col>0</xdr:col>
      <xdr:colOff>1929051</xdr:colOff>
      <xdr:row>513</xdr:row>
      <xdr:rowOff>746770</xdr:rowOff>
    </xdr:to>
    <xdr:pic>
      <xdr:nvPicPr>
        <xdr:cNvPr id="1027" name="Picture 1026" descr="Insight Picture 1026">
          <a:extLst>
            <a:ext uri="{FF2B5EF4-FFF2-40B4-BE49-F238E27FC236}">
              <a16:creationId xmlns:a16="http://schemas.microsoft.com/office/drawing/2014/main" id="{7575844B-1B34-A93F-D3C2-698A53D12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707470" y="432991270"/>
          <a:ext cx="1221581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739616</xdr:colOff>
      <xdr:row>514</xdr:row>
      <xdr:rowOff>61932</xdr:rowOff>
    </xdr:from>
    <xdr:to>
      <xdr:col>0</xdr:col>
      <xdr:colOff>1896904</xdr:colOff>
      <xdr:row>514</xdr:row>
      <xdr:rowOff>890607</xdr:rowOff>
    </xdr:to>
    <xdr:pic>
      <xdr:nvPicPr>
        <xdr:cNvPr id="1029" name="Picture 1028" descr="Insight Picture 1028">
          <a:extLst>
            <a:ext uri="{FF2B5EF4-FFF2-40B4-BE49-F238E27FC236}">
              <a16:creationId xmlns:a16="http://schemas.microsoft.com/office/drawing/2014/main" id="{89CB11AD-6A14-5D72-70D7-9031EEBE8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739616" y="433799952"/>
          <a:ext cx="1157288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732472</xdr:colOff>
      <xdr:row>515</xdr:row>
      <xdr:rowOff>61932</xdr:rowOff>
    </xdr:from>
    <xdr:to>
      <xdr:col>0</xdr:col>
      <xdr:colOff>1904047</xdr:colOff>
      <xdr:row>515</xdr:row>
      <xdr:rowOff>890607</xdr:rowOff>
    </xdr:to>
    <xdr:pic>
      <xdr:nvPicPr>
        <xdr:cNvPr id="1031" name="Picture 1030" descr="Insight Picture 1030">
          <a:extLst>
            <a:ext uri="{FF2B5EF4-FFF2-40B4-BE49-F238E27FC236}">
              <a16:creationId xmlns:a16="http://schemas.microsoft.com/office/drawing/2014/main" id="{2C71027A-2E9E-4E2A-59A4-CE81B3759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732472" y="434752452"/>
          <a:ext cx="1171575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714613</xdr:colOff>
      <xdr:row>516</xdr:row>
      <xdr:rowOff>62875</xdr:rowOff>
    </xdr:from>
    <xdr:to>
      <xdr:col>0</xdr:col>
      <xdr:colOff>1921907</xdr:colOff>
      <xdr:row>516</xdr:row>
      <xdr:rowOff>805825</xdr:rowOff>
    </xdr:to>
    <xdr:pic>
      <xdr:nvPicPr>
        <xdr:cNvPr id="1033" name="Picture 1032" descr="Insight Picture 1032">
          <a:extLst>
            <a:ext uri="{FF2B5EF4-FFF2-40B4-BE49-F238E27FC236}">
              <a16:creationId xmlns:a16="http://schemas.microsoft.com/office/drawing/2014/main" id="{D5EE9FC0-60D1-A45C-6078-41D13A157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714613" y="435705895"/>
          <a:ext cx="1207294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628888</xdr:colOff>
      <xdr:row>517</xdr:row>
      <xdr:rowOff>60970</xdr:rowOff>
    </xdr:from>
    <xdr:to>
      <xdr:col>0</xdr:col>
      <xdr:colOff>2007632</xdr:colOff>
      <xdr:row>517</xdr:row>
      <xdr:rowOff>632470</xdr:rowOff>
    </xdr:to>
    <xdr:pic>
      <xdr:nvPicPr>
        <xdr:cNvPr id="1035" name="Picture 1034" descr="Insight Picture 1034">
          <a:extLst>
            <a:ext uri="{FF2B5EF4-FFF2-40B4-BE49-F238E27FC236}">
              <a16:creationId xmlns:a16="http://schemas.microsoft.com/office/drawing/2014/main" id="{3B0F2E34-E1CE-77FA-FF75-A399D3B6B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628888" y="436572670"/>
          <a:ext cx="1378744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603885</xdr:colOff>
      <xdr:row>518</xdr:row>
      <xdr:rowOff>60940</xdr:rowOff>
    </xdr:from>
    <xdr:to>
      <xdr:col>0</xdr:col>
      <xdr:colOff>2032635</xdr:colOff>
      <xdr:row>518</xdr:row>
      <xdr:rowOff>632440</xdr:rowOff>
    </xdr:to>
    <xdr:pic>
      <xdr:nvPicPr>
        <xdr:cNvPr id="1037" name="Picture 1036" descr="Insight Picture 1036">
          <a:extLst>
            <a:ext uri="{FF2B5EF4-FFF2-40B4-BE49-F238E27FC236}">
              <a16:creationId xmlns:a16="http://schemas.microsoft.com/office/drawing/2014/main" id="{97725549-9AA1-83CC-E907-3AEE72D6F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603885" y="437266060"/>
          <a:ext cx="14287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628888</xdr:colOff>
      <xdr:row>519</xdr:row>
      <xdr:rowOff>63341</xdr:rowOff>
    </xdr:from>
    <xdr:to>
      <xdr:col>0</xdr:col>
      <xdr:colOff>2007632</xdr:colOff>
      <xdr:row>519</xdr:row>
      <xdr:rowOff>934879</xdr:rowOff>
    </xdr:to>
    <xdr:pic>
      <xdr:nvPicPr>
        <xdr:cNvPr id="1039" name="Picture 1038" descr="Insight Picture 1038">
          <a:extLst>
            <a:ext uri="{FF2B5EF4-FFF2-40B4-BE49-F238E27FC236}">
              <a16:creationId xmlns:a16="http://schemas.microsoft.com/office/drawing/2014/main" id="{104C3DAF-FBA3-6455-A61A-52676C873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628888" y="437961881"/>
          <a:ext cx="1378744" cy="871538"/>
        </a:xfrm>
        <a:prstGeom prst="rect">
          <a:avLst/>
        </a:prstGeom>
      </xdr:spPr>
    </xdr:pic>
    <xdr:clientData/>
  </xdr:twoCellAnchor>
  <xdr:twoCellAnchor editAs="oneCell">
    <xdr:from>
      <xdr:col>0</xdr:col>
      <xdr:colOff>453866</xdr:colOff>
      <xdr:row>520</xdr:row>
      <xdr:rowOff>62369</xdr:rowOff>
    </xdr:from>
    <xdr:to>
      <xdr:col>0</xdr:col>
      <xdr:colOff>2182654</xdr:colOff>
      <xdr:row>520</xdr:row>
      <xdr:rowOff>676732</xdr:rowOff>
    </xdr:to>
    <xdr:pic>
      <xdr:nvPicPr>
        <xdr:cNvPr id="1041" name="Picture 1040" descr="Insight Picture 1040">
          <a:extLst>
            <a:ext uri="{FF2B5EF4-FFF2-40B4-BE49-F238E27FC236}">
              <a16:creationId xmlns:a16="http://schemas.microsoft.com/office/drawing/2014/main" id="{073448C9-9279-391E-58F1-F82B8914E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453866" y="438959129"/>
          <a:ext cx="1728788" cy="614363"/>
        </a:xfrm>
        <a:prstGeom prst="rect">
          <a:avLst/>
        </a:prstGeom>
      </xdr:spPr>
    </xdr:pic>
    <xdr:clientData/>
  </xdr:twoCellAnchor>
  <xdr:twoCellAnchor editAs="oneCell">
    <xdr:from>
      <xdr:col>0</xdr:col>
      <xdr:colOff>432435</xdr:colOff>
      <xdr:row>521</xdr:row>
      <xdr:rowOff>60474</xdr:rowOff>
    </xdr:from>
    <xdr:to>
      <xdr:col>0</xdr:col>
      <xdr:colOff>2204085</xdr:colOff>
      <xdr:row>521</xdr:row>
      <xdr:rowOff>846287</xdr:rowOff>
    </xdr:to>
    <xdr:pic>
      <xdr:nvPicPr>
        <xdr:cNvPr id="1043" name="Picture 1042" descr="Insight Picture 1042">
          <a:extLst>
            <a:ext uri="{FF2B5EF4-FFF2-40B4-BE49-F238E27FC236}">
              <a16:creationId xmlns:a16="http://schemas.microsoft.com/office/drawing/2014/main" id="{DA03754F-7BA8-E872-6B67-7D60A14CB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432435" y="439696374"/>
          <a:ext cx="1771650" cy="785813"/>
        </a:xfrm>
        <a:prstGeom prst="rect">
          <a:avLst/>
        </a:prstGeom>
      </xdr:spPr>
    </xdr:pic>
    <xdr:clientData/>
  </xdr:twoCellAnchor>
  <xdr:twoCellAnchor editAs="oneCell">
    <xdr:from>
      <xdr:col>0</xdr:col>
      <xdr:colOff>764620</xdr:colOff>
      <xdr:row>522</xdr:row>
      <xdr:rowOff>61694</xdr:rowOff>
    </xdr:from>
    <xdr:to>
      <xdr:col>0</xdr:col>
      <xdr:colOff>1871901</xdr:colOff>
      <xdr:row>522</xdr:row>
      <xdr:rowOff>426025</xdr:rowOff>
    </xdr:to>
    <xdr:pic>
      <xdr:nvPicPr>
        <xdr:cNvPr id="1045" name="Picture 1044" descr="Insight Picture 1044">
          <a:extLst>
            <a:ext uri="{FF2B5EF4-FFF2-40B4-BE49-F238E27FC236}">
              <a16:creationId xmlns:a16="http://schemas.microsoft.com/office/drawing/2014/main" id="{D53C67BD-DA77-6D3C-1668-E6F58214D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764620" y="440604374"/>
          <a:ext cx="1107281" cy="364331"/>
        </a:xfrm>
        <a:prstGeom prst="rect">
          <a:avLst/>
        </a:prstGeom>
      </xdr:spPr>
    </xdr:pic>
    <xdr:clientData/>
  </xdr:twoCellAnchor>
  <xdr:twoCellAnchor editAs="oneCell">
    <xdr:from>
      <xdr:col>0</xdr:col>
      <xdr:colOff>707470</xdr:colOff>
      <xdr:row>523</xdr:row>
      <xdr:rowOff>63113</xdr:rowOff>
    </xdr:from>
    <xdr:to>
      <xdr:col>0</xdr:col>
      <xdr:colOff>1929051</xdr:colOff>
      <xdr:row>523</xdr:row>
      <xdr:rowOff>470307</xdr:rowOff>
    </xdr:to>
    <xdr:pic>
      <xdr:nvPicPr>
        <xdr:cNvPr id="1047" name="Picture 1046" descr="Insight Picture 1046">
          <a:extLst>
            <a:ext uri="{FF2B5EF4-FFF2-40B4-BE49-F238E27FC236}">
              <a16:creationId xmlns:a16="http://schemas.microsoft.com/office/drawing/2014/main" id="{A143245C-D8E0-8471-952F-18E679C80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707470" y="441093473"/>
          <a:ext cx="1221581" cy="407194"/>
        </a:xfrm>
        <a:prstGeom prst="rect">
          <a:avLst/>
        </a:prstGeom>
      </xdr:spPr>
    </xdr:pic>
    <xdr:clientData/>
  </xdr:twoCellAnchor>
  <xdr:twoCellAnchor editAs="oneCell">
    <xdr:from>
      <xdr:col>0</xdr:col>
      <xdr:colOff>489585</xdr:colOff>
      <xdr:row>524</xdr:row>
      <xdr:rowOff>61674</xdr:rowOff>
    </xdr:from>
    <xdr:to>
      <xdr:col>0</xdr:col>
      <xdr:colOff>2146935</xdr:colOff>
      <xdr:row>524</xdr:row>
      <xdr:rowOff>540305</xdr:rowOff>
    </xdr:to>
    <xdr:pic>
      <xdr:nvPicPr>
        <xdr:cNvPr id="1049" name="Picture 1048" descr="Insight Picture 1048">
          <a:extLst>
            <a:ext uri="{FF2B5EF4-FFF2-40B4-BE49-F238E27FC236}">
              <a16:creationId xmlns:a16="http://schemas.microsoft.com/office/drawing/2014/main" id="{DD6FA388-B99F-3A5D-53A6-B854A3C40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489585" y="441625434"/>
          <a:ext cx="1657350" cy="478631"/>
        </a:xfrm>
        <a:prstGeom prst="rect">
          <a:avLst/>
        </a:prstGeom>
      </xdr:spPr>
    </xdr:pic>
    <xdr:clientData/>
  </xdr:twoCellAnchor>
  <xdr:twoCellAnchor editAs="oneCell">
    <xdr:from>
      <xdr:col>0</xdr:col>
      <xdr:colOff>793195</xdr:colOff>
      <xdr:row>525</xdr:row>
      <xdr:rowOff>60960</xdr:rowOff>
    </xdr:from>
    <xdr:to>
      <xdr:col>0</xdr:col>
      <xdr:colOff>1843326</xdr:colOff>
      <xdr:row>525</xdr:row>
      <xdr:rowOff>975360</xdr:rowOff>
    </xdr:to>
    <xdr:pic>
      <xdr:nvPicPr>
        <xdr:cNvPr id="1051" name="Picture 1050" descr="Insight Picture 1050">
          <a:extLst>
            <a:ext uri="{FF2B5EF4-FFF2-40B4-BE49-F238E27FC236}">
              <a16:creationId xmlns:a16="http://schemas.microsoft.com/office/drawing/2014/main" id="{E09D3FB8-9448-7847-4CF6-676878BD7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793195" y="442226700"/>
          <a:ext cx="1050131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714613</xdr:colOff>
      <xdr:row>526</xdr:row>
      <xdr:rowOff>61674</xdr:rowOff>
    </xdr:from>
    <xdr:to>
      <xdr:col>0</xdr:col>
      <xdr:colOff>1921907</xdr:colOff>
      <xdr:row>526</xdr:row>
      <xdr:rowOff>883205</xdr:rowOff>
    </xdr:to>
    <xdr:pic>
      <xdr:nvPicPr>
        <xdr:cNvPr id="1053" name="Picture 1052" descr="Insight Picture 1052">
          <a:extLst>
            <a:ext uri="{FF2B5EF4-FFF2-40B4-BE49-F238E27FC236}">
              <a16:creationId xmlns:a16="http://schemas.microsoft.com/office/drawing/2014/main" id="{AEAFE152-5150-B86E-E9C4-DE6D354AC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714613" y="443263734"/>
          <a:ext cx="1207294" cy="821531"/>
        </a:xfrm>
        <a:prstGeom prst="rect">
          <a:avLst/>
        </a:prstGeom>
      </xdr:spPr>
    </xdr:pic>
    <xdr:clientData/>
  </xdr:twoCellAnchor>
  <xdr:twoCellAnchor editAs="oneCell">
    <xdr:from>
      <xdr:col>0</xdr:col>
      <xdr:colOff>714613</xdr:colOff>
      <xdr:row>527</xdr:row>
      <xdr:rowOff>63341</xdr:rowOff>
    </xdr:from>
    <xdr:to>
      <xdr:col>0</xdr:col>
      <xdr:colOff>1921907</xdr:colOff>
      <xdr:row>527</xdr:row>
      <xdr:rowOff>934879</xdr:rowOff>
    </xdr:to>
    <xdr:pic>
      <xdr:nvPicPr>
        <xdr:cNvPr id="1055" name="Picture 1054" descr="Insight Picture 1054">
          <a:extLst>
            <a:ext uri="{FF2B5EF4-FFF2-40B4-BE49-F238E27FC236}">
              <a16:creationId xmlns:a16="http://schemas.microsoft.com/office/drawing/2014/main" id="{4FA01958-395F-A0B5-AEF0-34324FBAB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714613" y="444210281"/>
          <a:ext cx="1207294" cy="871538"/>
        </a:xfrm>
        <a:prstGeom prst="rect">
          <a:avLst/>
        </a:prstGeom>
      </xdr:spPr>
    </xdr:pic>
    <xdr:clientData/>
  </xdr:twoCellAnchor>
  <xdr:twoCellAnchor editAs="oneCell">
    <xdr:from>
      <xdr:col>0</xdr:col>
      <xdr:colOff>503872</xdr:colOff>
      <xdr:row>528</xdr:row>
      <xdr:rowOff>63560</xdr:rowOff>
    </xdr:from>
    <xdr:to>
      <xdr:col>0</xdr:col>
      <xdr:colOff>2132647</xdr:colOff>
      <xdr:row>528</xdr:row>
      <xdr:rowOff>599341</xdr:rowOff>
    </xdr:to>
    <xdr:pic>
      <xdr:nvPicPr>
        <xdr:cNvPr id="1057" name="Picture 1056" descr="Insight Picture 1056">
          <a:extLst>
            <a:ext uri="{FF2B5EF4-FFF2-40B4-BE49-F238E27FC236}">
              <a16:creationId xmlns:a16="http://schemas.microsoft.com/office/drawing/2014/main" id="{A137CE4D-FBC7-7396-2E6D-81D4FB27E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503872" y="445208720"/>
          <a:ext cx="1628775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625316</xdr:colOff>
      <xdr:row>529</xdr:row>
      <xdr:rowOff>61218</xdr:rowOff>
    </xdr:from>
    <xdr:to>
      <xdr:col>0</xdr:col>
      <xdr:colOff>2011204</xdr:colOff>
      <xdr:row>529</xdr:row>
      <xdr:rowOff>868462</xdr:rowOff>
    </xdr:to>
    <xdr:pic>
      <xdr:nvPicPr>
        <xdr:cNvPr id="1059" name="Picture 1058" descr="Insight Picture 1058">
          <a:extLst>
            <a:ext uri="{FF2B5EF4-FFF2-40B4-BE49-F238E27FC236}">
              <a16:creationId xmlns:a16="http://schemas.microsoft.com/office/drawing/2014/main" id="{28FE1A38-A53C-C133-04ED-B75B3CC3B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625316" y="445869318"/>
          <a:ext cx="1385888" cy="807244"/>
        </a:xfrm>
        <a:prstGeom prst="rect">
          <a:avLst/>
        </a:prstGeom>
      </xdr:spPr>
    </xdr:pic>
    <xdr:clientData/>
  </xdr:twoCellAnchor>
  <xdr:twoCellAnchor editAs="oneCell">
    <xdr:from>
      <xdr:col>0</xdr:col>
      <xdr:colOff>782478</xdr:colOff>
      <xdr:row>530</xdr:row>
      <xdr:rowOff>61655</xdr:rowOff>
    </xdr:from>
    <xdr:to>
      <xdr:col>0</xdr:col>
      <xdr:colOff>1854041</xdr:colOff>
      <xdr:row>530</xdr:row>
      <xdr:rowOff>768886</xdr:rowOff>
    </xdr:to>
    <xdr:pic>
      <xdr:nvPicPr>
        <xdr:cNvPr id="1061" name="Picture 1060" descr="Insight Picture 1060">
          <a:extLst>
            <a:ext uri="{FF2B5EF4-FFF2-40B4-BE49-F238E27FC236}">
              <a16:creationId xmlns:a16="http://schemas.microsoft.com/office/drawing/2014/main" id="{ABA79393-3623-1167-9DB7-188FA52E5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782478" y="446799395"/>
          <a:ext cx="1071563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603885</xdr:colOff>
      <xdr:row>531</xdr:row>
      <xdr:rowOff>62627</xdr:rowOff>
    </xdr:from>
    <xdr:to>
      <xdr:col>0</xdr:col>
      <xdr:colOff>2032635</xdr:colOff>
      <xdr:row>531</xdr:row>
      <xdr:rowOff>798433</xdr:rowOff>
    </xdr:to>
    <xdr:pic>
      <xdr:nvPicPr>
        <xdr:cNvPr id="1063" name="Picture 1062" descr="Insight Picture 1062">
          <a:extLst>
            <a:ext uri="{FF2B5EF4-FFF2-40B4-BE49-F238E27FC236}">
              <a16:creationId xmlns:a16="http://schemas.microsoft.com/office/drawing/2014/main" id="{3DB7C99D-377E-C343-D2D6-E95FB5CFE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603885" y="447630947"/>
          <a:ext cx="1428750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728900</xdr:colOff>
      <xdr:row>532</xdr:row>
      <xdr:rowOff>61694</xdr:rowOff>
    </xdr:from>
    <xdr:to>
      <xdr:col>0</xdr:col>
      <xdr:colOff>1907619</xdr:colOff>
      <xdr:row>532</xdr:row>
      <xdr:rowOff>883225</xdr:rowOff>
    </xdr:to>
    <xdr:pic>
      <xdr:nvPicPr>
        <xdr:cNvPr id="1065" name="Picture 1064" descr="Insight Picture 1064">
          <a:extLst>
            <a:ext uri="{FF2B5EF4-FFF2-40B4-BE49-F238E27FC236}">
              <a16:creationId xmlns:a16="http://schemas.microsoft.com/office/drawing/2014/main" id="{FFD95336-056B-DA2F-C0C2-DE4096ABD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728900" y="448491074"/>
          <a:ext cx="1178719" cy="821531"/>
        </a:xfrm>
        <a:prstGeom prst="rect">
          <a:avLst/>
        </a:prstGeom>
      </xdr:spPr>
    </xdr:pic>
    <xdr:clientData/>
  </xdr:twoCellAnchor>
  <xdr:twoCellAnchor editAs="oneCell">
    <xdr:from>
      <xdr:col>0</xdr:col>
      <xdr:colOff>596741</xdr:colOff>
      <xdr:row>533</xdr:row>
      <xdr:rowOff>61674</xdr:rowOff>
    </xdr:from>
    <xdr:to>
      <xdr:col>0</xdr:col>
      <xdr:colOff>2039779</xdr:colOff>
      <xdr:row>533</xdr:row>
      <xdr:rowOff>540305</xdr:rowOff>
    </xdr:to>
    <xdr:pic>
      <xdr:nvPicPr>
        <xdr:cNvPr id="1067" name="Picture 1066" descr="Insight Picture 1066">
          <a:extLst>
            <a:ext uri="{FF2B5EF4-FFF2-40B4-BE49-F238E27FC236}">
              <a16:creationId xmlns:a16="http://schemas.microsoft.com/office/drawing/2014/main" id="{14A5D38E-6CE3-E598-BEC0-487513862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596741" y="449435934"/>
          <a:ext cx="1443038" cy="478631"/>
        </a:xfrm>
        <a:prstGeom prst="rect">
          <a:avLst/>
        </a:prstGeom>
      </xdr:spPr>
    </xdr:pic>
    <xdr:clientData/>
  </xdr:twoCellAnchor>
  <xdr:twoCellAnchor editAs="oneCell">
    <xdr:from>
      <xdr:col>0</xdr:col>
      <xdr:colOff>468153</xdr:colOff>
      <xdr:row>534</xdr:row>
      <xdr:rowOff>61655</xdr:rowOff>
    </xdr:from>
    <xdr:to>
      <xdr:col>0</xdr:col>
      <xdr:colOff>2168366</xdr:colOff>
      <xdr:row>534</xdr:row>
      <xdr:rowOff>540286</xdr:rowOff>
    </xdr:to>
    <xdr:pic>
      <xdr:nvPicPr>
        <xdr:cNvPr id="1069" name="Picture 1068" descr="Insight Picture 1068">
          <a:extLst>
            <a:ext uri="{FF2B5EF4-FFF2-40B4-BE49-F238E27FC236}">
              <a16:creationId xmlns:a16="http://schemas.microsoft.com/office/drawing/2014/main" id="{4F59DCEE-59C8-6D60-5AB7-396DDF1E3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468153" y="450037895"/>
          <a:ext cx="1700213" cy="478631"/>
        </a:xfrm>
        <a:prstGeom prst="rect">
          <a:avLst/>
        </a:prstGeom>
      </xdr:spPr>
    </xdr:pic>
    <xdr:clientData/>
  </xdr:twoCellAnchor>
  <xdr:twoCellAnchor editAs="oneCell">
    <xdr:from>
      <xdr:col>0</xdr:col>
      <xdr:colOff>446722</xdr:colOff>
      <xdr:row>535</xdr:row>
      <xdr:rowOff>61684</xdr:rowOff>
    </xdr:from>
    <xdr:to>
      <xdr:col>0</xdr:col>
      <xdr:colOff>2189797</xdr:colOff>
      <xdr:row>535</xdr:row>
      <xdr:rowOff>540315</xdr:rowOff>
    </xdr:to>
    <xdr:pic>
      <xdr:nvPicPr>
        <xdr:cNvPr id="1071" name="Picture 1070" descr="Insight Picture 1070">
          <a:extLst>
            <a:ext uri="{FF2B5EF4-FFF2-40B4-BE49-F238E27FC236}">
              <a16:creationId xmlns:a16="http://schemas.microsoft.com/office/drawing/2014/main" id="{8776F628-EED8-740B-07A5-8596BA9F4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446722" y="450639904"/>
          <a:ext cx="1743075" cy="478631"/>
        </a:xfrm>
        <a:prstGeom prst="rect">
          <a:avLst/>
        </a:prstGeom>
      </xdr:spPr>
    </xdr:pic>
    <xdr:clientData/>
  </xdr:twoCellAnchor>
  <xdr:twoCellAnchor editAs="oneCell">
    <xdr:from>
      <xdr:col>0</xdr:col>
      <xdr:colOff>446722</xdr:colOff>
      <xdr:row>536</xdr:row>
      <xdr:rowOff>63798</xdr:rowOff>
    </xdr:from>
    <xdr:to>
      <xdr:col>0</xdr:col>
      <xdr:colOff>2189797</xdr:colOff>
      <xdr:row>536</xdr:row>
      <xdr:rowOff>721023</xdr:rowOff>
    </xdr:to>
    <xdr:pic>
      <xdr:nvPicPr>
        <xdr:cNvPr id="1073" name="Picture 1072" descr="Insight Picture 1072">
          <a:extLst>
            <a:ext uri="{FF2B5EF4-FFF2-40B4-BE49-F238E27FC236}">
              <a16:creationId xmlns:a16="http://schemas.microsoft.com/office/drawing/2014/main" id="{58B07388-E9BD-CAED-A950-1EE772D6C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446722" y="451243998"/>
          <a:ext cx="1743075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357426</xdr:colOff>
      <xdr:row>537</xdr:row>
      <xdr:rowOff>63361</xdr:rowOff>
    </xdr:from>
    <xdr:to>
      <xdr:col>0</xdr:col>
      <xdr:colOff>2279095</xdr:colOff>
      <xdr:row>537</xdr:row>
      <xdr:rowOff>934899</xdr:rowOff>
    </xdr:to>
    <xdr:pic>
      <xdr:nvPicPr>
        <xdr:cNvPr id="1075" name="Picture 1074" descr="Insight Picture 1074">
          <a:extLst>
            <a:ext uri="{FF2B5EF4-FFF2-40B4-BE49-F238E27FC236}">
              <a16:creationId xmlns:a16="http://schemas.microsoft.com/office/drawing/2014/main" id="{D05AD7E9-D043-496C-71AC-90ED6DD08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357426" y="452028421"/>
          <a:ext cx="1921669" cy="871538"/>
        </a:xfrm>
        <a:prstGeom prst="rect">
          <a:avLst/>
        </a:prstGeom>
      </xdr:spPr>
    </xdr:pic>
    <xdr:clientData/>
  </xdr:twoCellAnchor>
  <xdr:twoCellAnchor editAs="oneCell">
    <xdr:from>
      <xdr:col>0</xdr:col>
      <xdr:colOff>503872</xdr:colOff>
      <xdr:row>538</xdr:row>
      <xdr:rowOff>63579</xdr:rowOff>
    </xdr:from>
    <xdr:to>
      <xdr:col>0</xdr:col>
      <xdr:colOff>2132647</xdr:colOff>
      <xdr:row>538</xdr:row>
      <xdr:rowOff>599360</xdr:rowOff>
    </xdr:to>
    <xdr:pic>
      <xdr:nvPicPr>
        <xdr:cNvPr id="1077" name="Picture 1076" descr="Insight Picture 1076">
          <a:extLst>
            <a:ext uri="{FF2B5EF4-FFF2-40B4-BE49-F238E27FC236}">
              <a16:creationId xmlns:a16="http://schemas.microsoft.com/office/drawing/2014/main" id="{DDF8A19E-B31F-1FFD-0EE5-0017C2D04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503872" y="453026859"/>
          <a:ext cx="1628775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503872</xdr:colOff>
      <xdr:row>539</xdr:row>
      <xdr:rowOff>62627</xdr:rowOff>
    </xdr:from>
    <xdr:to>
      <xdr:col>0</xdr:col>
      <xdr:colOff>2132647</xdr:colOff>
      <xdr:row>539</xdr:row>
      <xdr:rowOff>798433</xdr:rowOff>
    </xdr:to>
    <xdr:pic>
      <xdr:nvPicPr>
        <xdr:cNvPr id="1079" name="Picture 1078" descr="Insight Picture 1078">
          <a:extLst>
            <a:ext uri="{FF2B5EF4-FFF2-40B4-BE49-F238E27FC236}">
              <a16:creationId xmlns:a16="http://schemas.microsoft.com/office/drawing/2014/main" id="{1A528375-F397-8A85-31FE-03459ADA0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503872" y="453688847"/>
          <a:ext cx="1628775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328851</xdr:colOff>
      <xdr:row>540</xdr:row>
      <xdr:rowOff>61694</xdr:rowOff>
    </xdr:from>
    <xdr:to>
      <xdr:col>0</xdr:col>
      <xdr:colOff>2307670</xdr:colOff>
      <xdr:row>540</xdr:row>
      <xdr:rowOff>768925</xdr:rowOff>
    </xdr:to>
    <xdr:pic>
      <xdr:nvPicPr>
        <xdr:cNvPr id="1081" name="Picture 1080" descr="Insight Picture 1080">
          <a:extLst>
            <a:ext uri="{FF2B5EF4-FFF2-40B4-BE49-F238E27FC236}">
              <a16:creationId xmlns:a16="http://schemas.microsoft.com/office/drawing/2014/main" id="{563B8A6D-5E99-057C-9E17-4D5B3BF03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328851" y="454548974"/>
          <a:ext cx="1978819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503872</xdr:colOff>
      <xdr:row>541</xdr:row>
      <xdr:rowOff>63560</xdr:rowOff>
    </xdr:from>
    <xdr:to>
      <xdr:col>0</xdr:col>
      <xdr:colOff>2132647</xdr:colOff>
      <xdr:row>541</xdr:row>
      <xdr:rowOff>599341</xdr:rowOff>
    </xdr:to>
    <xdr:pic>
      <xdr:nvPicPr>
        <xdr:cNvPr id="1083" name="Picture 1082" descr="Insight Picture 1082">
          <a:extLst>
            <a:ext uri="{FF2B5EF4-FFF2-40B4-BE49-F238E27FC236}">
              <a16:creationId xmlns:a16="http://schemas.microsoft.com/office/drawing/2014/main" id="{E92B1011-B2BB-E997-79FB-3CAA1C123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503872" y="455381420"/>
          <a:ext cx="1628775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553878</xdr:colOff>
      <xdr:row>542</xdr:row>
      <xdr:rowOff>61416</xdr:rowOff>
    </xdr:from>
    <xdr:to>
      <xdr:col>0</xdr:col>
      <xdr:colOff>2082641</xdr:colOff>
      <xdr:row>542</xdr:row>
      <xdr:rowOff>1104404</xdr:rowOff>
    </xdr:to>
    <xdr:pic>
      <xdr:nvPicPr>
        <xdr:cNvPr id="1085" name="Picture 1084" descr="Insight Picture 1084">
          <a:extLst>
            <a:ext uri="{FF2B5EF4-FFF2-40B4-BE49-F238E27FC236}">
              <a16:creationId xmlns:a16="http://schemas.microsoft.com/office/drawing/2014/main" id="{E31EB71D-B683-565D-8DE0-A4C7C2F74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553878" y="456042216"/>
          <a:ext cx="1528763" cy="1042988"/>
        </a:xfrm>
        <a:prstGeom prst="rect">
          <a:avLst/>
        </a:prstGeom>
      </xdr:spPr>
    </xdr:pic>
    <xdr:clientData/>
  </xdr:twoCellAnchor>
  <xdr:twoCellAnchor editAs="oneCell">
    <xdr:from>
      <xdr:col>0</xdr:col>
      <xdr:colOff>518160</xdr:colOff>
      <xdr:row>543</xdr:row>
      <xdr:rowOff>63560</xdr:rowOff>
    </xdr:from>
    <xdr:to>
      <xdr:col>0</xdr:col>
      <xdr:colOff>2118360</xdr:colOff>
      <xdr:row>543</xdr:row>
      <xdr:rowOff>599341</xdr:rowOff>
    </xdr:to>
    <xdr:pic>
      <xdr:nvPicPr>
        <xdr:cNvPr id="1087" name="Picture 1086" descr="Insight Picture 1086">
          <a:extLst>
            <a:ext uri="{FF2B5EF4-FFF2-40B4-BE49-F238E27FC236}">
              <a16:creationId xmlns:a16="http://schemas.microsoft.com/office/drawing/2014/main" id="{F27AC90B-A53A-0B27-90DF-9189B81F1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518160" y="457210220"/>
          <a:ext cx="1600200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503872</xdr:colOff>
      <xdr:row>544</xdr:row>
      <xdr:rowOff>63103</xdr:rowOff>
    </xdr:from>
    <xdr:to>
      <xdr:col>0</xdr:col>
      <xdr:colOff>2132647</xdr:colOff>
      <xdr:row>544</xdr:row>
      <xdr:rowOff>1041797</xdr:rowOff>
    </xdr:to>
    <xdr:pic>
      <xdr:nvPicPr>
        <xdr:cNvPr id="1089" name="Picture 1088" descr="Insight Picture 1088">
          <a:extLst>
            <a:ext uri="{FF2B5EF4-FFF2-40B4-BE49-F238E27FC236}">
              <a16:creationId xmlns:a16="http://schemas.microsoft.com/office/drawing/2014/main" id="{1DB07194-592C-C024-D840-240052B65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503872" y="457872703"/>
          <a:ext cx="1628775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518160</xdr:colOff>
      <xdr:row>545</xdr:row>
      <xdr:rowOff>63599</xdr:rowOff>
    </xdr:from>
    <xdr:to>
      <xdr:col>0</xdr:col>
      <xdr:colOff>2118360</xdr:colOff>
      <xdr:row>545</xdr:row>
      <xdr:rowOff>599380</xdr:rowOff>
    </xdr:to>
    <xdr:pic>
      <xdr:nvPicPr>
        <xdr:cNvPr id="1091" name="Picture 1090" descr="Insight Picture 1090">
          <a:extLst>
            <a:ext uri="{FF2B5EF4-FFF2-40B4-BE49-F238E27FC236}">
              <a16:creationId xmlns:a16="http://schemas.microsoft.com/office/drawing/2014/main" id="{43610D65-3D44-3EC8-19D8-A0A72FCE1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518160" y="458978099"/>
          <a:ext cx="1600200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839628</xdr:colOff>
      <xdr:row>546</xdr:row>
      <xdr:rowOff>61208</xdr:rowOff>
    </xdr:from>
    <xdr:to>
      <xdr:col>0</xdr:col>
      <xdr:colOff>1796891</xdr:colOff>
      <xdr:row>546</xdr:row>
      <xdr:rowOff>754152</xdr:rowOff>
    </xdr:to>
    <xdr:pic>
      <xdr:nvPicPr>
        <xdr:cNvPr id="1093" name="Picture 1092" descr="Insight Picture 1092">
          <a:extLst>
            <a:ext uri="{FF2B5EF4-FFF2-40B4-BE49-F238E27FC236}">
              <a16:creationId xmlns:a16="http://schemas.microsoft.com/office/drawing/2014/main" id="{BFB2952F-C842-7C61-47A3-328EF2AF3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839628" y="459638648"/>
          <a:ext cx="957263" cy="692944"/>
        </a:xfrm>
        <a:prstGeom prst="rect">
          <a:avLst/>
        </a:prstGeom>
      </xdr:spPr>
    </xdr:pic>
    <xdr:clientData/>
  </xdr:twoCellAnchor>
  <xdr:twoCellAnchor editAs="oneCell">
    <xdr:from>
      <xdr:col>0</xdr:col>
      <xdr:colOff>489585</xdr:colOff>
      <xdr:row>547</xdr:row>
      <xdr:rowOff>62885</xdr:rowOff>
    </xdr:from>
    <xdr:to>
      <xdr:col>0</xdr:col>
      <xdr:colOff>2146935</xdr:colOff>
      <xdr:row>547</xdr:row>
      <xdr:rowOff>691535</xdr:rowOff>
    </xdr:to>
    <xdr:pic>
      <xdr:nvPicPr>
        <xdr:cNvPr id="1095" name="Picture 1094" descr="Insight Picture 1094">
          <a:extLst>
            <a:ext uri="{FF2B5EF4-FFF2-40B4-BE49-F238E27FC236}">
              <a16:creationId xmlns:a16="http://schemas.microsoft.com/office/drawing/2014/main" id="{7B353A3D-13F6-2A6A-3A10-BA8FACBA0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489585" y="460455665"/>
          <a:ext cx="1657350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807482</xdr:colOff>
      <xdr:row>548</xdr:row>
      <xdr:rowOff>60980</xdr:rowOff>
    </xdr:from>
    <xdr:to>
      <xdr:col>0</xdr:col>
      <xdr:colOff>1829038</xdr:colOff>
      <xdr:row>548</xdr:row>
      <xdr:rowOff>746780</xdr:rowOff>
    </xdr:to>
    <xdr:pic>
      <xdr:nvPicPr>
        <xdr:cNvPr id="1097" name="Picture 1096" descr="Insight Picture 1096">
          <a:extLst>
            <a:ext uri="{FF2B5EF4-FFF2-40B4-BE49-F238E27FC236}">
              <a16:creationId xmlns:a16="http://schemas.microsoft.com/office/drawing/2014/main" id="{1C1BB6B5-1592-9CE0-C51A-4902AD4A0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807482" y="461208140"/>
          <a:ext cx="1021556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689610</xdr:colOff>
      <xdr:row>549</xdr:row>
      <xdr:rowOff>61893</xdr:rowOff>
    </xdr:from>
    <xdr:to>
      <xdr:col>0</xdr:col>
      <xdr:colOff>1946910</xdr:colOff>
      <xdr:row>549</xdr:row>
      <xdr:rowOff>776268</xdr:rowOff>
    </xdr:to>
    <xdr:pic>
      <xdr:nvPicPr>
        <xdr:cNvPr id="1099" name="Picture 1098" descr="Insight Picture 1098">
          <a:extLst>
            <a:ext uri="{FF2B5EF4-FFF2-40B4-BE49-F238E27FC236}">
              <a16:creationId xmlns:a16="http://schemas.microsoft.com/office/drawing/2014/main" id="{530E5A69-EB08-E65A-B653-44B1D5A2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689610" y="462016773"/>
          <a:ext cx="12573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711041</xdr:colOff>
      <xdr:row>550</xdr:row>
      <xdr:rowOff>62637</xdr:rowOff>
    </xdr:from>
    <xdr:to>
      <xdr:col>0</xdr:col>
      <xdr:colOff>1925479</xdr:colOff>
      <xdr:row>550</xdr:row>
      <xdr:rowOff>798443</xdr:rowOff>
    </xdr:to>
    <xdr:pic>
      <xdr:nvPicPr>
        <xdr:cNvPr id="1101" name="Picture 1100" descr="Insight Picture 1100">
          <a:extLst>
            <a:ext uri="{FF2B5EF4-FFF2-40B4-BE49-F238E27FC236}">
              <a16:creationId xmlns:a16="http://schemas.microsoft.com/office/drawing/2014/main" id="{F4E6195C-8790-DB0B-6120-6F95A359C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711041" y="462855717"/>
          <a:ext cx="1214438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603885</xdr:colOff>
      <xdr:row>551</xdr:row>
      <xdr:rowOff>60960</xdr:rowOff>
    </xdr:from>
    <xdr:to>
      <xdr:col>0</xdr:col>
      <xdr:colOff>2032635</xdr:colOff>
      <xdr:row>551</xdr:row>
      <xdr:rowOff>632460</xdr:rowOff>
    </xdr:to>
    <xdr:pic>
      <xdr:nvPicPr>
        <xdr:cNvPr id="1103" name="Picture 1102" descr="Insight Picture 1102">
          <a:extLst>
            <a:ext uri="{FF2B5EF4-FFF2-40B4-BE49-F238E27FC236}">
              <a16:creationId xmlns:a16="http://schemas.microsoft.com/office/drawing/2014/main" id="{0D309DCA-3939-3203-4C25-59506B93E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603885" y="463715100"/>
          <a:ext cx="14287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628888</xdr:colOff>
      <xdr:row>552</xdr:row>
      <xdr:rowOff>60732</xdr:rowOff>
    </xdr:from>
    <xdr:to>
      <xdr:col>0</xdr:col>
      <xdr:colOff>2007632</xdr:colOff>
      <xdr:row>552</xdr:row>
      <xdr:rowOff>853688</xdr:rowOff>
    </xdr:to>
    <xdr:pic>
      <xdr:nvPicPr>
        <xdr:cNvPr id="1105" name="Picture 1104" descr="Insight Picture 1104">
          <a:extLst>
            <a:ext uri="{FF2B5EF4-FFF2-40B4-BE49-F238E27FC236}">
              <a16:creationId xmlns:a16="http://schemas.microsoft.com/office/drawing/2014/main" id="{386500A6-B765-A774-AE64-068642665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628888" y="464408292"/>
          <a:ext cx="1378744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903923</xdr:colOff>
      <xdr:row>553</xdr:row>
      <xdr:rowOff>63560</xdr:rowOff>
    </xdr:from>
    <xdr:to>
      <xdr:col>0</xdr:col>
      <xdr:colOff>1732598</xdr:colOff>
      <xdr:row>553</xdr:row>
      <xdr:rowOff>599341</xdr:rowOff>
    </xdr:to>
    <xdr:pic>
      <xdr:nvPicPr>
        <xdr:cNvPr id="1107" name="Picture 1106" descr="Insight Picture 1106">
          <a:extLst>
            <a:ext uri="{FF2B5EF4-FFF2-40B4-BE49-F238E27FC236}">
              <a16:creationId xmlns:a16="http://schemas.microsoft.com/office/drawing/2014/main" id="{C0108CB5-AB79-E0B7-73D6-BC2CF02AB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903923" y="465325520"/>
          <a:ext cx="828675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611028</xdr:colOff>
      <xdr:row>554</xdr:row>
      <xdr:rowOff>63103</xdr:rowOff>
    </xdr:from>
    <xdr:to>
      <xdr:col>0</xdr:col>
      <xdr:colOff>2025491</xdr:colOff>
      <xdr:row>554</xdr:row>
      <xdr:rowOff>813197</xdr:rowOff>
    </xdr:to>
    <xdr:pic>
      <xdr:nvPicPr>
        <xdr:cNvPr id="1109" name="Picture 1108" descr="Insight Picture 1108">
          <a:extLst>
            <a:ext uri="{FF2B5EF4-FFF2-40B4-BE49-F238E27FC236}">
              <a16:creationId xmlns:a16="http://schemas.microsoft.com/office/drawing/2014/main" id="{ACF687D8-64A1-CD2F-EAB3-9DC08218D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611028" y="465988003"/>
          <a:ext cx="1414463" cy="750094"/>
        </a:xfrm>
        <a:prstGeom prst="rect">
          <a:avLst/>
        </a:prstGeom>
      </xdr:spPr>
    </xdr:pic>
    <xdr:clientData/>
  </xdr:twoCellAnchor>
  <xdr:twoCellAnchor editAs="oneCell">
    <xdr:from>
      <xdr:col>0</xdr:col>
      <xdr:colOff>921782</xdr:colOff>
      <xdr:row>555</xdr:row>
      <xdr:rowOff>63103</xdr:rowOff>
    </xdr:from>
    <xdr:to>
      <xdr:col>0</xdr:col>
      <xdr:colOff>1714738</xdr:colOff>
      <xdr:row>555</xdr:row>
      <xdr:rowOff>698897</xdr:rowOff>
    </xdr:to>
    <xdr:pic>
      <xdr:nvPicPr>
        <xdr:cNvPr id="1111" name="Picture 1110" descr="Insight Picture 1110">
          <a:extLst>
            <a:ext uri="{FF2B5EF4-FFF2-40B4-BE49-F238E27FC236}">
              <a16:creationId xmlns:a16="http://schemas.microsoft.com/office/drawing/2014/main" id="{97D03B5C-FF2D-4D43-B8D5-9ED82CBE6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921782" y="466864303"/>
          <a:ext cx="792956" cy="635794"/>
        </a:xfrm>
        <a:prstGeom prst="rect">
          <a:avLst/>
        </a:prstGeom>
      </xdr:spPr>
    </xdr:pic>
    <xdr:clientData/>
  </xdr:twoCellAnchor>
  <xdr:twoCellAnchor editAs="oneCell">
    <xdr:from>
      <xdr:col>0</xdr:col>
      <xdr:colOff>475297</xdr:colOff>
      <xdr:row>556</xdr:row>
      <xdr:rowOff>63599</xdr:rowOff>
    </xdr:from>
    <xdr:to>
      <xdr:col>0</xdr:col>
      <xdr:colOff>2161222</xdr:colOff>
      <xdr:row>556</xdr:row>
      <xdr:rowOff>599380</xdr:rowOff>
    </xdr:to>
    <xdr:pic>
      <xdr:nvPicPr>
        <xdr:cNvPr id="1113" name="Picture 1112" descr="Insight Picture 1112">
          <a:extLst>
            <a:ext uri="{FF2B5EF4-FFF2-40B4-BE49-F238E27FC236}">
              <a16:creationId xmlns:a16="http://schemas.microsoft.com/office/drawing/2014/main" id="{976F3F38-187F-1A75-35B5-2DA72183C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475297" y="467626799"/>
          <a:ext cx="1685925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568166</xdr:colOff>
      <xdr:row>557</xdr:row>
      <xdr:rowOff>60960</xdr:rowOff>
    </xdr:from>
    <xdr:to>
      <xdr:col>0</xdr:col>
      <xdr:colOff>2068354</xdr:colOff>
      <xdr:row>557</xdr:row>
      <xdr:rowOff>632460</xdr:rowOff>
    </xdr:to>
    <xdr:pic>
      <xdr:nvPicPr>
        <xdr:cNvPr id="1115" name="Picture 1114" descr="Insight Picture 1114">
          <a:extLst>
            <a:ext uri="{FF2B5EF4-FFF2-40B4-BE49-F238E27FC236}">
              <a16:creationId xmlns:a16="http://schemas.microsoft.com/office/drawing/2014/main" id="{02A5B988-81AE-C5A8-F173-84EB8D9D4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568166" y="468287100"/>
          <a:ext cx="1500188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568166</xdr:colOff>
      <xdr:row>558</xdr:row>
      <xdr:rowOff>60980</xdr:rowOff>
    </xdr:from>
    <xdr:to>
      <xdr:col>0</xdr:col>
      <xdr:colOff>2068354</xdr:colOff>
      <xdr:row>558</xdr:row>
      <xdr:rowOff>632480</xdr:rowOff>
    </xdr:to>
    <xdr:pic>
      <xdr:nvPicPr>
        <xdr:cNvPr id="1117" name="Picture 1116" descr="Insight Picture 1116">
          <a:extLst>
            <a:ext uri="{FF2B5EF4-FFF2-40B4-BE49-F238E27FC236}">
              <a16:creationId xmlns:a16="http://schemas.microsoft.com/office/drawing/2014/main" id="{1DBA84F9-9C50-C2DE-61B8-115C0710C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568166" y="468980540"/>
          <a:ext cx="1500188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828913</xdr:colOff>
      <xdr:row>559</xdr:row>
      <xdr:rowOff>60950</xdr:rowOff>
    </xdr:from>
    <xdr:to>
      <xdr:col>0</xdr:col>
      <xdr:colOff>1807607</xdr:colOff>
      <xdr:row>559</xdr:row>
      <xdr:rowOff>746750</xdr:rowOff>
    </xdr:to>
    <xdr:pic>
      <xdr:nvPicPr>
        <xdr:cNvPr id="1119" name="Picture 1118" descr="Insight Picture 1118">
          <a:extLst>
            <a:ext uri="{FF2B5EF4-FFF2-40B4-BE49-F238E27FC236}">
              <a16:creationId xmlns:a16="http://schemas.microsoft.com/office/drawing/2014/main" id="{AFCC0349-A7A0-5F57-20F7-A293EAFA5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828913" y="469673930"/>
          <a:ext cx="978694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818198</xdr:colOff>
      <xdr:row>560</xdr:row>
      <xdr:rowOff>63599</xdr:rowOff>
    </xdr:from>
    <xdr:to>
      <xdr:col>0</xdr:col>
      <xdr:colOff>1818323</xdr:colOff>
      <xdr:row>560</xdr:row>
      <xdr:rowOff>713680</xdr:rowOff>
    </xdr:to>
    <xdr:pic>
      <xdr:nvPicPr>
        <xdr:cNvPr id="1121" name="Picture 1120" descr="Insight Picture 1120">
          <a:extLst>
            <a:ext uri="{FF2B5EF4-FFF2-40B4-BE49-F238E27FC236}">
              <a16:creationId xmlns:a16="http://schemas.microsoft.com/office/drawing/2014/main" id="{63822FFC-BA73-8547-962A-8AD2AFD56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818198" y="470484299"/>
          <a:ext cx="1000125" cy="650081"/>
        </a:xfrm>
        <a:prstGeom prst="rect">
          <a:avLst/>
        </a:prstGeom>
      </xdr:spPr>
    </xdr:pic>
    <xdr:clientData/>
  </xdr:twoCellAnchor>
  <xdr:twoCellAnchor editAs="oneCell">
    <xdr:from>
      <xdr:col>0</xdr:col>
      <xdr:colOff>728900</xdr:colOff>
      <xdr:row>561</xdr:row>
      <xdr:rowOff>61903</xdr:rowOff>
    </xdr:from>
    <xdr:to>
      <xdr:col>0</xdr:col>
      <xdr:colOff>1907619</xdr:colOff>
      <xdr:row>561</xdr:row>
      <xdr:rowOff>1004878</xdr:rowOff>
    </xdr:to>
    <xdr:pic>
      <xdr:nvPicPr>
        <xdr:cNvPr id="1123" name="Picture 1122" descr="Insight Picture 1122">
          <a:extLst>
            <a:ext uri="{FF2B5EF4-FFF2-40B4-BE49-F238E27FC236}">
              <a16:creationId xmlns:a16="http://schemas.microsoft.com/office/drawing/2014/main" id="{35F423D2-FAE8-62B0-413C-754F71B39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728900" y="471259843"/>
          <a:ext cx="1178719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696753</xdr:colOff>
      <xdr:row>562</xdr:row>
      <xdr:rowOff>61655</xdr:rowOff>
    </xdr:from>
    <xdr:to>
      <xdr:col>0</xdr:col>
      <xdr:colOff>1939766</xdr:colOff>
      <xdr:row>562</xdr:row>
      <xdr:rowOff>883186</xdr:rowOff>
    </xdr:to>
    <xdr:pic>
      <xdr:nvPicPr>
        <xdr:cNvPr id="1125" name="Picture 1124" descr="Insight Picture 1124">
          <a:extLst>
            <a:ext uri="{FF2B5EF4-FFF2-40B4-BE49-F238E27FC236}">
              <a16:creationId xmlns:a16="http://schemas.microsoft.com/office/drawing/2014/main" id="{802DC2FD-F0AD-AF4B-2447-B20C43329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696753" y="472326395"/>
          <a:ext cx="1243013" cy="821531"/>
        </a:xfrm>
        <a:prstGeom prst="rect">
          <a:avLst/>
        </a:prstGeom>
      </xdr:spPr>
    </xdr:pic>
    <xdr:clientData/>
  </xdr:twoCellAnchor>
  <xdr:twoCellAnchor editAs="oneCell">
    <xdr:from>
      <xdr:col>0</xdr:col>
      <xdr:colOff>968216</xdr:colOff>
      <xdr:row>563</xdr:row>
      <xdr:rowOff>60940</xdr:rowOff>
    </xdr:from>
    <xdr:to>
      <xdr:col>0</xdr:col>
      <xdr:colOff>1668304</xdr:colOff>
      <xdr:row>563</xdr:row>
      <xdr:rowOff>746740</xdr:rowOff>
    </xdr:to>
    <xdr:pic>
      <xdr:nvPicPr>
        <xdr:cNvPr id="1127" name="Picture 1126" descr="Insight Picture 1126">
          <a:extLst>
            <a:ext uri="{FF2B5EF4-FFF2-40B4-BE49-F238E27FC236}">
              <a16:creationId xmlns:a16="http://schemas.microsoft.com/office/drawing/2014/main" id="{B44B7F75-E07A-147C-8A9E-E8A7E3653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968216" y="473270560"/>
          <a:ext cx="700088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332422</xdr:colOff>
      <xdr:row>564</xdr:row>
      <xdr:rowOff>62845</xdr:rowOff>
    </xdr:from>
    <xdr:to>
      <xdr:col>0</xdr:col>
      <xdr:colOff>2304097</xdr:colOff>
      <xdr:row>564</xdr:row>
      <xdr:rowOff>920095</xdr:rowOff>
    </xdr:to>
    <xdr:pic>
      <xdr:nvPicPr>
        <xdr:cNvPr id="1129" name="Picture 1128" descr="Insight Picture 1128">
          <a:extLst>
            <a:ext uri="{FF2B5EF4-FFF2-40B4-BE49-F238E27FC236}">
              <a16:creationId xmlns:a16="http://schemas.microsoft.com/office/drawing/2014/main" id="{1E11753F-57BC-F320-49CB-67E9F0213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332422" y="474080185"/>
          <a:ext cx="1971675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468153</xdr:colOff>
      <xdr:row>565</xdr:row>
      <xdr:rowOff>60940</xdr:rowOff>
    </xdr:from>
    <xdr:to>
      <xdr:col>0</xdr:col>
      <xdr:colOff>2168366</xdr:colOff>
      <xdr:row>565</xdr:row>
      <xdr:rowOff>632440</xdr:rowOff>
    </xdr:to>
    <xdr:pic>
      <xdr:nvPicPr>
        <xdr:cNvPr id="1131" name="Picture 1130" descr="Insight Picture 1130">
          <a:extLst>
            <a:ext uri="{FF2B5EF4-FFF2-40B4-BE49-F238E27FC236}">
              <a16:creationId xmlns:a16="http://schemas.microsoft.com/office/drawing/2014/main" id="{467DC1AE-03FA-7F66-E9CE-21DB6D194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468153" y="475061260"/>
          <a:ext cx="1700213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511016</xdr:colOff>
      <xdr:row>566</xdr:row>
      <xdr:rowOff>63837</xdr:rowOff>
    </xdr:from>
    <xdr:to>
      <xdr:col>0</xdr:col>
      <xdr:colOff>2125504</xdr:colOff>
      <xdr:row>566</xdr:row>
      <xdr:rowOff>721062</xdr:rowOff>
    </xdr:to>
    <xdr:pic>
      <xdr:nvPicPr>
        <xdr:cNvPr id="1133" name="Picture 1132" descr="Insight Picture 1132">
          <a:extLst>
            <a:ext uri="{FF2B5EF4-FFF2-40B4-BE49-F238E27FC236}">
              <a16:creationId xmlns:a16="http://schemas.microsoft.com/office/drawing/2014/main" id="{33B80DCB-1104-42AA-CADD-52203A857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511016" y="475757577"/>
          <a:ext cx="1614488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310991</xdr:colOff>
      <xdr:row>567</xdr:row>
      <xdr:rowOff>62409</xdr:rowOff>
    </xdr:from>
    <xdr:to>
      <xdr:col>0</xdr:col>
      <xdr:colOff>2325529</xdr:colOff>
      <xdr:row>567</xdr:row>
      <xdr:rowOff>791072</xdr:rowOff>
    </xdr:to>
    <xdr:pic>
      <xdr:nvPicPr>
        <xdr:cNvPr id="1135" name="Picture 1134" descr="Insight Picture 1134">
          <a:extLst>
            <a:ext uri="{FF2B5EF4-FFF2-40B4-BE49-F238E27FC236}">
              <a16:creationId xmlns:a16="http://schemas.microsoft.com/office/drawing/2014/main" id="{8E84F4E0-2AFE-3256-5F42-4AC4C3B93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310991" y="476541009"/>
          <a:ext cx="2014538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332422</xdr:colOff>
      <xdr:row>568</xdr:row>
      <xdr:rowOff>62845</xdr:rowOff>
    </xdr:from>
    <xdr:to>
      <xdr:col>0</xdr:col>
      <xdr:colOff>2304097</xdr:colOff>
      <xdr:row>568</xdr:row>
      <xdr:rowOff>920095</xdr:rowOff>
    </xdr:to>
    <xdr:pic>
      <xdr:nvPicPr>
        <xdr:cNvPr id="1137" name="Picture 1136" descr="Insight Picture 1136">
          <a:extLst>
            <a:ext uri="{FF2B5EF4-FFF2-40B4-BE49-F238E27FC236}">
              <a16:creationId xmlns:a16="http://schemas.microsoft.com/office/drawing/2014/main" id="{9E85789D-8E0F-B841-0E36-7EF05A601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332422" y="477394885"/>
          <a:ext cx="1971675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310991</xdr:colOff>
      <xdr:row>569</xdr:row>
      <xdr:rowOff>62379</xdr:rowOff>
    </xdr:from>
    <xdr:to>
      <xdr:col>0</xdr:col>
      <xdr:colOff>2325529</xdr:colOff>
      <xdr:row>569</xdr:row>
      <xdr:rowOff>791042</xdr:rowOff>
    </xdr:to>
    <xdr:pic>
      <xdr:nvPicPr>
        <xdr:cNvPr id="1139" name="Picture 1138" descr="Insight Picture 1138">
          <a:extLst>
            <a:ext uri="{FF2B5EF4-FFF2-40B4-BE49-F238E27FC236}">
              <a16:creationId xmlns:a16="http://schemas.microsoft.com/office/drawing/2014/main" id="{8B106510-B732-9FE5-BBB4-429B8D3DD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310991" y="478377399"/>
          <a:ext cx="2014538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418147</xdr:colOff>
      <xdr:row>570</xdr:row>
      <xdr:rowOff>63361</xdr:rowOff>
    </xdr:from>
    <xdr:to>
      <xdr:col>0</xdr:col>
      <xdr:colOff>2218372</xdr:colOff>
      <xdr:row>570</xdr:row>
      <xdr:rowOff>591999</xdr:rowOff>
    </xdr:to>
    <xdr:pic>
      <xdr:nvPicPr>
        <xdr:cNvPr id="1141" name="Picture 1140" descr="Insight Picture 1140">
          <a:extLst>
            <a:ext uri="{FF2B5EF4-FFF2-40B4-BE49-F238E27FC236}">
              <a16:creationId xmlns:a16="http://schemas.microsoft.com/office/drawing/2014/main" id="{C7B7C14D-9005-AD38-08BE-6A497A87C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418147" y="479231821"/>
          <a:ext cx="1800225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893207</xdr:colOff>
      <xdr:row>571</xdr:row>
      <xdr:rowOff>61893</xdr:rowOff>
    </xdr:from>
    <xdr:to>
      <xdr:col>0</xdr:col>
      <xdr:colOff>1743313</xdr:colOff>
      <xdr:row>571</xdr:row>
      <xdr:rowOff>776268</xdr:rowOff>
    </xdr:to>
    <xdr:pic>
      <xdr:nvPicPr>
        <xdr:cNvPr id="1143" name="Picture 1142" descr="Insight Picture 1142">
          <a:extLst>
            <a:ext uri="{FF2B5EF4-FFF2-40B4-BE49-F238E27FC236}">
              <a16:creationId xmlns:a16="http://schemas.microsoft.com/office/drawing/2014/main" id="{D1286450-C965-211C-1553-0E8408B3B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893207" y="479885673"/>
          <a:ext cx="850106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793195</xdr:colOff>
      <xdr:row>572</xdr:row>
      <xdr:rowOff>63579</xdr:rowOff>
    </xdr:from>
    <xdr:to>
      <xdr:col>0</xdr:col>
      <xdr:colOff>1843326</xdr:colOff>
      <xdr:row>572</xdr:row>
      <xdr:rowOff>713660</xdr:rowOff>
    </xdr:to>
    <xdr:pic>
      <xdr:nvPicPr>
        <xdr:cNvPr id="1145" name="Picture 1144" descr="Insight Picture 1144">
          <a:extLst>
            <a:ext uri="{FF2B5EF4-FFF2-40B4-BE49-F238E27FC236}">
              <a16:creationId xmlns:a16="http://schemas.microsoft.com/office/drawing/2014/main" id="{E19C9DF7-2F2B-DFF9-0CD5-B921E00A0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793195" y="480725559"/>
          <a:ext cx="1050131" cy="650081"/>
        </a:xfrm>
        <a:prstGeom prst="rect">
          <a:avLst/>
        </a:prstGeom>
      </xdr:spPr>
    </xdr:pic>
    <xdr:clientData/>
  </xdr:twoCellAnchor>
  <xdr:twoCellAnchor editAs="oneCell">
    <xdr:from>
      <xdr:col>0</xdr:col>
      <xdr:colOff>850345</xdr:colOff>
      <xdr:row>573</xdr:row>
      <xdr:rowOff>62627</xdr:rowOff>
    </xdr:from>
    <xdr:to>
      <xdr:col>0</xdr:col>
      <xdr:colOff>1786176</xdr:colOff>
      <xdr:row>573</xdr:row>
      <xdr:rowOff>1141333</xdr:rowOff>
    </xdr:to>
    <xdr:pic>
      <xdr:nvPicPr>
        <xdr:cNvPr id="1147" name="Picture 1146" descr="Insight Picture 1146">
          <a:extLst>
            <a:ext uri="{FF2B5EF4-FFF2-40B4-BE49-F238E27FC236}">
              <a16:creationId xmlns:a16="http://schemas.microsoft.com/office/drawing/2014/main" id="{CBB166EE-B4D4-BDB5-C906-541499705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850345" y="481501847"/>
          <a:ext cx="935831" cy="1078706"/>
        </a:xfrm>
        <a:prstGeom prst="rect">
          <a:avLst/>
        </a:prstGeom>
      </xdr:spPr>
    </xdr:pic>
    <xdr:clientData/>
  </xdr:twoCellAnchor>
  <xdr:twoCellAnchor editAs="oneCell">
    <xdr:from>
      <xdr:col>0</xdr:col>
      <xdr:colOff>575310</xdr:colOff>
      <xdr:row>574</xdr:row>
      <xdr:rowOff>61893</xdr:rowOff>
    </xdr:from>
    <xdr:to>
      <xdr:col>0</xdr:col>
      <xdr:colOff>2061210</xdr:colOff>
      <xdr:row>574</xdr:row>
      <xdr:rowOff>776268</xdr:rowOff>
    </xdr:to>
    <xdr:pic>
      <xdr:nvPicPr>
        <xdr:cNvPr id="1149" name="Picture 1148" descr="Insight Picture 1148">
          <a:extLst>
            <a:ext uri="{FF2B5EF4-FFF2-40B4-BE49-F238E27FC236}">
              <a16:creationId xmlns:a16="http://schemas.microsoft.com/office/drawing/2014/main" id="{9BB9590F-A809-DE22-240D-C3490C6B3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575310" y="482705073"/>
          <a:ext cx="1485900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496728</xdr:colOff>
      <xdr:row>575</xdr:row>
      <xdr:rowOff>63827</xdr:rowOff>
    </xdr:from>
    <xdr:to>
      <xdr:col>0</xdr:col>
      <xdr:colOff>2139791</xdr:colOff>
      <xdr:row>575</xdr:row>
      <xdr:rowOff>835352</xdr:rowOff>
    </xdr:to>
    <xdr:pic>
      <xdr:nvPicPr>
        <xdr:cNvPr id="1151" name="Picture 1150" descr="Insight Picture 1150">
          <a:extLst>
            <a:ext uri="{FF2B5EF4-FFF2-40B4-BE49-F238E27FC236}">
              <a16:creationId xmlns:a16="http://schemas.microsoft.com/office/drawing/2014/main" id="{261D06F4-2744-984D-4DA1-CD8A2829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496728" y="483545207"/>
          <a:ext cx="1643063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657463</xdr:colOff>
      <xdr:row>576</xdr:row>
      <xdr:rowOff>63341</xdr:rowOff>
    </xdr:from>
    <xdr:to>
      <xdr:col>0</xdr:col>
      <xdr:colOff>1979057</xdr:colOff>
      <xdr:row>576</xdr:row>
      <xdr:rowOff>591979</xdr:rowOff>
    </xdr:to>
    <xdr:pic>
      <xdr:nvPicPr>
        <xdr:cNvPr id="1153" name="Picture 1152" descr="Insight Picture 1152">
          <a:extLst>
            <a:ext uri="{FF2B5EF4-FFF2-40B4-BE49-F238E27FC236}">
              <a16:creationId xmlns:a16="http://schemas.microsoft.com/office/drawing/2014/main" id="{9CDE8EBD-D009-3E0A-2BA3-56CB8387C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657463" y="484443881"/>
          <a:ext cx="1321594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775335</xdr:colOff>
      <xdr:row>577</xdr:row>
      <xdr:rowOff>60236</xdr:rowOff>
    </xdr:from>
    <xdr:to>
      <xdr:col>0</xdr:col>
      <xdr:colOff>1861185</xdr:colOff>
      <xdr:row>577</xdr:row>
      <xdr:rowOff>610305</xdr:rowOff>
    </xdr:to>
    <xdr:pic>
      <xdr:nvPicPr>
        <xdr:cNvPr id="1155" name="Picture 1154" descr="Insight Picture 1154">
          <a:extLst>
            <a:ext uri="{FF2B5EF4-FFF2-40B4-BE49-F238E27FC236}">
              <a16:creationId xmlns:a16="http://schemas.microsoft.com/office/drawing/2014/main" id="{92EC6796-A723-2DE8-D46D-04E593E39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775335" y="485096096"/>
          <a:ext cx="1085850" cy="550069"/>
        </a:xfrm>
        <a:prstGeom prst="rect">
          <a:avLst/>
        </a:prstGeom>
      </xdr:spPr>
    </xdr:pic>
    <xdr:clientData/>
  </xdr:twoCellAnchor>
  <xdr:twoCellAnchor editAs="oneCell">
    <xdr:from>
      <xdr:col>0</xdr:col>
      <xdr:colOff>818198</xdr:colOff>
      <xdr:row>578</xdr:row>
      <xdr:rowOff>61188</xdr:rowOff>
    </xdr:from>
    <xdr:to>
      <xdr:col>0</xdr:col>
      <xdr:colOff>1818323</xdr:colOff>
      <xdr:row>578</xdr:row>
      <xdr:rowOff>754132</xdr:rowOff>
    </xdr:to>
    <xdr:pic>
      <xdr:nvPicPr>
        <xdr:cNvPr id="1157" name="Picture 1156" descr="Insight Picture 1156">
          <a:extLst>
            <a:ext uri="{FF2B5EF4-FFF2-40B4-BE49-F238E27FC236}">
              <a16:creationId xmlns:a16="http://schemas.microsoft.com/office/drawing/2014/main" id="{34E26087-A893-12F0-9F57-DB6E4BFD5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818198" y="485767608"/>
          <a:ext cx="1000125" cy="692944"/>
        </a:xfrm>
        <a:prstGeom prst="rect">
          <a:avLst/>
        </a:prstGeom>
      </xdr:spPr>
    </xdr:pic>
    <xdr:clientData/>
  </xdr:twoCellAnchor>
  <xdr:twoCellAnchor editAs="oneCell">
    <xdr:from>
      <xdr:col>0</xdr:col>
      <xdr:colOff>825341</xdr:colOff>
      <xdr:row>579</xdr:row>
      <xdr:rowOff>62865</xdr:rowOff>
    </xdr:from>
    <xdr:to>
      <xdr:col>0</xdr:col>
      <xdr:colOff>1811179</xdr:colOff>
      <xdr:row>579</xdr:row>
      <xdr:rowOff>805815</xdr:rowOff>
    </xdr:to>
    <xdr:pic>
      <xdr:nvPicPr>
        <xdr:cNvPr id="1159" name="Picture 1158" descr="Insight Picture 1158">
          <a:extLst>
            <a:ext uri="{FF2B5EF4-FFF2-40B4-BE49-F238E27FC236}">
              <a16:creationId xmlns:a16="http://schemas.microsoft.com/office/drawing/2014/main" id="{769AD3F5-4987-34BE-F57C-A15C49C61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825341" y="486584625"/>
          <a:ext cx="985838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703897</xdr:colOff>
      <xdr:row>580</xdr:row>
      <xdr:rowOff>61456</xdr:rowOff>
    </xdr:from>
    <xdr:to>
      <xdr:col>0</xdr:col>
      <xdr:colOff>1932622</xdr:colOff>
      <xdr:row>580</xdr:row>
      <xdr:rowOff>875844</xdr:rowOff>
    </xdr:to>
    <xdr:pic>
      <xdr:nvPicPr>
        <xdr:cNvPr id="1161" name="Picture 1160" descr="Insight Picture 1160">
          <a:extLst>
            <a:ext uri="{FF2B5EF4-FFF2-40B4-BE49-F238E27FC236}">
              <a16:creationId xmlns:a16="http://schemas.microsoft.com/office/drawing/2014/main" id="{7039F24C-EEFF-1CCC-59A5-2F6C4869F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703897" y="487451896"/>
          <a:ext cx="1228725" cy="814388"/>
        </a:xfrm>
        <a:prstGeom prst="rect">
          <a:avLst/>
        </a:prstGeom>
      </xdr:spPr>
    </xdr:pic>
    <xdr:clientData/>
  </xdr:twoCellAnchor>
  <xdr:twoCellAnchor editAs="oneCell">
    <xdr:from>
      <xdr:col>0</xdr:col>
      <xdr:colOff>414576</xdr:colOff>
      <xdr:row>581</xdr:row>
      <xdr:rowOff>62855</xdr:rowOff>
    </xdr:from>
    <xdr:to>
      <xdr:col>0</xdr:col>
      <xdr:colOff>2221945</xdr:colOff>
      <xdr:row>581</xdr:row>
      <xdr:rowOff>920105</xdr:rowOff>
    </xdr:to>
    <xdr:pic>
      <xdr:nvPicPr>
        <xdr:cNvPr id="1163" name="Picture 1162" descr="Insight Picture 1162">
          <a:extLst>
            <a:ext uri="{FF2B5EF4-FFF2-40B4-BE49-F238E27FC236}">
              <a16:creationId xmlns:a16="http://schemas.microsoft.com/office/drawing/2014/main" id="{62CFF37D-558C-B28D-3C99-C0D6E110E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414576" y="488390555"/>
          <a:ext cx="1807369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607457</xdr:colOff>
      <xdr:row>582</xdr:row>
      <xdr:rowOff>62637</xdr:rowOff>
    </xdr:from>
    <xdr:to>
      <xdr:col>0</xdr:col>
      <xdr:colOff>2029063</xdr:colOff>
      <xdr:row>582</xdr:row>
      <xdr:rowOff>798443</xdr:rowOff>
    </xdr:to>
    <xdr:pic>
      <xdr:nvPicPr>
        <xdr:cNvPr id="1165" name="Picture 1164" descr="Insight Picture 1164">
          <a:extLst>
            <a:ext uri="{FF2B5EF4-FFF2-40B4-BE49-F238E27FC236}">
              <a16:creationId xmlns:a16="http://schemas.microsoft.com/office/drawing/2014/main" id="{438D4FE2-982F-EA61-1892-A20579253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607457" y="489373317"/>
          <a:ext cx="1421606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414576</xdr:colOff>
      <xdr:row>583</xdr:row>
      <xdr:rowOff>60712</xdr:rowOff>
    </xdr:from>
    <xdr:to>
      <xdr:col>0</xdr:col>
      <xdr:colOff>2221945</xdr:colOff>
      <xdr:row>583</xdr:row>
      <xdr:rowOff>739368</xdr:rowOff>
    </xdr:to>
    <xdr:pic>
      <xdr:nvPicPr>
        <xdr:cNvPr id="1167" name="Picture 1166" descr="Insight Picture 1166">
          <a:extLst>
            <a:ext uri="{FF2B5EF4-FFF2-40B4-BE49-F238E27FC236}">
              <a16:creationId xmlns:a16="http://schemas.microsoft.com/office/drawing/2014/main" id="{F938576F-7DB0-44F1-FBDE-B0E0E2509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414576" y="490232452"/>
          <a:ext cx="1807369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918210</xdr:colOff>
      <xdr:row>584</xdr:row>
      <xdr:rowOff>62151</xdr:rowOff>
    </xdr:from>
    <xdr:to>
      <xdr:col>0</xdr:col>
      <xdr:colOff>1718310</xdr:colOff>
      <xdr:row>584</xdr:row>
      <xdr:rowOff>897970</xdr:rowOff>
    </xdr:to>
    <xdr:pic>
      <xdr:nvPicPr>
        <xdr:cNvPr id="1169" name="Picture 1168" descr="Insight Picture 1168">
          <a:extLst>
            <a:ext uri="{FF2B5EF4-FFF2-40B4-BE49-F238E27FC236}">
              <a16:creationId xmlns:a16="http://schemas.microsoft.com/office/drawing/2014/main" id="{9E7666C8-6E12-27D2-BA19-27581336C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918210" y="491033991"/>
          <a:ext cx="800100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753903</xdr:colOff>
      <xdr:row>585</xdr:row>
      <xdr:rowOff>63560</xdr:rowOff>
    </xdr:from>
    <xdr:to>
      <xdr:col>0</xdr:col>
      <xdr:colOff>1882616</xdr:colOff>
      <xdr:row>585</xdr:row>
      <xdr:rowOff>599341</xdr:rowOff>
    </xdr:to>
    <xdr:pic>
      <xdr:nvPicPr>
        <xdr:cNvPr id="1171" name="Picture 1170" descr="Insight Picture 1170">
          <a:extLst>
            <a:ext uri="{FF2B5EF4-FFF2-40B4-BE49-F238E27FC236}">
              <a16:creationId xmlns:a16="http://schemas.microsoft.com/office/drawing/2014/main" id="{926D3A27-8410-3DBD-385C-DAAC6DD2B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753903" y="491995520"/>
          <a:ext cx="1128713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518160</xdr:colOff>
      <xdr:row>586</xdr:row>
      <xdr:rowOff>63599</xdr:rowOff>
    </xdr:from>
    <xdr:to>
      <xdr:col>0</xdr:col>
      <xdr:colOff>2118360</xdr:colOff>
      <xdr:row>586</xdr:row>
      <xdr:rowOff>599380</xdr:rowOff>
    </xdr:to>
    <xdr:pic>
      <xdr:nvPicPr>
        <xdr:cNvPr id="1173" name="Picture 1172" descr="Insight Picture 1172">
          <a:extLst>
            <a:ext uri="{FF2B5EF4-FFF2-40B4-BE49-F238E27FC236}">
              <a16:creationId xmlns:a16="http://schemas.microsoft.com/office/drawing/2014/main" id="{4FD0640F-19E3-4844-EE47-A2BEAD06C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518160" y="492658499"/>
          <a:ext cx="1600200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668178</xdr:colOff>
      <xdr:row>587</xdr:row>
      <xdr:rowOff>61456</xdr:rowOff>
    </xdr:from>
    <xdr:to>
      <xdr:col>0</xdr:col>
      <xdr:colOff>1968341</xdr:colOff>
      <xdr:row>587</xdr:row>
      <xdr:rowOff>875844</xdr:rowOff>
    </xdr:to>
    <xdr:pic>
      <xdr:nvPicPr>
        <xdr:cNvPr id="1175" name="Picture 1174" descr="Insight Picture 1174">
          <a:extLst>
            <a:ext uri="{FF2B5EF4-FFF2-40B4-BE49-F238E27FC236}">
              <a16:creationId xmlns:a16="http://schemas.microsoft.com/office/drawing/2014/main" id="{ABFAB2AF-8EC5-6833-E0C5-0ECA3C6C2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668178" y="493319296"/>
          <a:ext cx="1300163" cy="814388"/>
        </a:xfrm>
        <a:prstGeom prst="rect">
          <a:avLst/>
        </a:prstGeom>
      </xdr:spPr>
    </xdr:pic>
    <xdr:clientData/>
  </xdr:twoCellAnchor>
  <xdr:twoCellAnchor editAs="oneCell">
    <xdr:from>
      <xdr:col>0</xdr:col>
      <xdr:colOff>693182</xdr:colOff>
      <xdr:row>588</xdr:row>
      <xdr:rowOff>61913</xdr:rowOff>
    </xdr:from>
    <xdr:to>
      <xdr:col>0</xdr:col>
      <xdr:colOff>1943338</xdr:colOff>
      <xdr:row>588</xdr:row>
      <xdr:rowOff>890588</xdr:rowOff>
    </xdr:to>
    <xdr:pic>
      <xdr:nvPicPr>
        <xdr:cNvPr id="1177" name="Picture 1176" descr="Insight Picture 1176">
          <a:extLst>
            <a:ext uri="{FF2B5EF4-FFF2-40B4-BE49-F238E27FC236}">
              <a16:creationId xmlns:a16="http://schemas.microsoft.com/office/drawing/2014/main" id="{FE3D815D-3AF7-9575-7C38-345C2E3E6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693182" y="494257013"/>
          <a:ext cx="1250156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600313</xdr:colOff>
      <xdr:row>589</xdr:row>
      <xdr:rowOff>61664</xdr:rowOff>
    </xdr:from>
    <xdr:to>
      <xdr:col>0</xdr:col>
      <xdr:colOff>2036207</xdr:colOff>
      <xdr:row>589</xdr:row>
      <xdr:rowOff>540295</xdr:rowOff>
    </xdr:to>
    <xdr:pic>
      <xdr:nvPicPr>
        <xdr:cNvPr id="1179" name="Picture 1178" descr="Insight Picture 1178">
          <a:extLst>
            <a:ext uri="{FF2B5EF4-FFF2-40B4-BE49-F238E27FC236}">
              <a16:creationId xmlns:a16="http://schemas.microsoft.com/office/drawing/2014/main" id="{6AE4D7C5-B63A-EE44-1279-F64AD165B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600313" y="495209264"/>
          <a:ext cx="1435894" cy="478631"/>
        </a:xfrm>
        <a:prstGeom prst="rect">
          <a:avLst/>
        </a:prstGeom>
      </xdr:spPr>
    </xdr:pic>
    <xdr:clientData/>
  </xdr:twoCellAnchor>
  <xdr:twoCellAnchor editAs="oneCell">
    <xdr:from>
      <xdr:col>0</xdr:col>
      <xdr:colOff>578882</xdr:colOff>
      <xdr:row>590</xdr:row>
      <xdr:rowOff>61694</xdr:rowOff>
    </xdr:from>
    <xdr:to>
      <xdr:col>0</xdr:col>
      <xdr:colOff>2057638</xdr:colOff>
      <xdr:row>590</xdr:row>
      <xdr:rowOff>540325</xdr:rowOff>
    </xdr:to>
    <xdr:pic>
      <xdr:nvPicPr>
        <xdr:cNvPr id="1181" name="Picture 1180" descr="Insight Picture 1180">
          <a:extLst>
            <a:ext uri="{FF2B5EF4-FFF2-40B4-BE49-F238E27FC236}">
              <a16:creationId xmlns:a16="http://schemas.microsoft.com/office/drawing/2014/main" id="{8983043A-D769-C0BC-8624-CE52E869F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578882" y="495811274"/>
          <a:ext cx="1478756" cy="478631"/>
        </a:xfrm>
        <a:prstGeom prst="rect">
          <a:avLst/>
        </a:prstGeom>
      </xdr:spPr>
    </xdr:pic>
    <xdr:clientData/>
  </xdr:twoCellAnchor>
  <xdr:twoCellAnchor editAs="oneCell">
    <xdr:from>
      <xdr:col>0</xdr:col>
      <xdr:colOff>518160</xdr:colOff>
      <xdr:row>591</xdr:row>
      <xdr:rowOff>63560</xdr:rowOff>
    </xdr:from>
    <xdr:to>
      <xdr:col>0</xdr:col>
      <xdr:colOff>2118360</xdr:colOff>
      <xdr:row>591</xdr:row>
      <xdr:rowOff>599341</xdr:rowOff>
    </xdr:to>
    <xdr:pic>
      <xdr:nvPicPr>
        <xdr:cNvPr id="1183" name="Picture 1182" descr="Insight Picture 1182">
          <a:extLst>
            <a:ext uri="{FF2B5EF4-FFF2-40B4-BE49-F238E27FC236}">
              <a16:creationId xmlns:a16="http://schemas.microsoft.com/office/drawing/2014/main" id="{32189522-D429-15A7-C586-8D1CA7A64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518160" y="496415120"/>
          <a:ext cx="1600200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668178</xdr:colOff>
      <xdr:row>592</xdr:row>
      <xdr:rowOff>61416</xdr:rowOff>
    </xdr:from>
    <xdr:to>
      <xdr:col>0</xdr:col>
      <xdr:colOff>1968341</xdr:colOff>
      <xdr:row>592</xdr:row>
      <xdr:rowOff>875804</xdr:rowOff>
    </xdr:to>
    <xdr:pic>
      <xdr:nvPicPr>
        <xdr:cNvPr id="1185" name="Picture 1184" descr="Insight Picture 1184">
          <a:extLst>
            <a:ext uri="{FF2B5EF4-FFF2-40B4-BE49-F238E27FC236}">
              <a16:creationId xmlns:a16="http://schemas.microsoft.com/office/drawing/2014/main" id="{17102646-05AF-B3E6-4B80-CCB5D7F52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668178" y="497075916"/>
          <a:ext cx="1300163" cy="814388"/>
        </a:xfrm>
        <a:prstGeom prst="rect">
          <a:avLst/>
        </a:prstGeom>
      </xdr:spPr>
    </xdr:pic>
    <xdr:clientData/>
  </xdr:twoCellAnchor>
  <xdr:twoCellAnchor editAs="oneCell">
    <xdr:from>
      <xdr:col>0</xdr:col>
      <xdr:colOff>671750</xdr:colOff>
      <xdr:row>593</xdr:row>
      <xdr:rowOff>63361</xdr:rowOff>
    </xdr:from>
    <xdr:to>
      <xdr:col>0</xdr:col>
      <xdr:colOff>1964769</xdr:colOff>
      <xdr:row>593</xdr:row>
      <xdr:rowOff>934899</xdr:rowOff>
    </xdr:to>
    <xdr:pic>
      <xdr:nvPicPr>
        <xdr:cNvPr id="1187" name="Picture 1186" descr="Insight Picture 1186">
          <a:extLst>
            <a:ext uri="{FF2B5EF4-FFF2-40B4-BE49-F238E27FC236}">
              <a16:creationId xmlns:a16="http://schemas.microsoft.com/office/drawing/2014/main" id="{517DD230-2D62-BA20-49D2-E40CC282B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671750" y="498015121"/>
          <a:ext cx="1293019" cy="871538"/>
        </a:xfrm>
        <a:prstGeom prst="rect">
          <a:avLst/>
        </a:prstGeom>
      </xdr:spPr>
    </xdr:pic>
    <xdr:clientData/>
  </xdr:twoCellAnchor>
  <xdr:twoCellAnchor editAs="oneCell">
    <xdr:from>
      <xdr:col>0</xdr:col>
      <xdr:colOff>318135</xdr:colOff>
      <xdr:row>594</xdr:row>
      <xdr:rowOff>61893</xdr:rowOff>
    </xdr:from>
    <xdr:to>
      <xdr:col>0</xdr:col>
      <xdr:colOff>2318385</xdr:colOff>
      <xdr:row>594</xdr:row>
      <xdr:rowOff>890568</xdr:rowOff>
    </xdr:to>
    <xdr:pic>
      <xdr:nvPicPr>
        <xdr:cNvPr id="1189" name="Picture 1188" descr="Insight Picture 1188">
          <a:extLst>
            <a:ext uri="{FF2B5EF4-FFF2-40B4-BE49-F238E27FC236}">
              <a16:creationId xmlns:a16="http://schemas.microsoft.com/office/drawing/2014/main" id="{D1FA69D1-7755-29A2-E5D5-AA886B042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318135" y="499011873"/>
          <a:ext cx="200025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936070</xdr:colOff>
      <xdr:row>595</xdr:row>
      <xdr:rowOff>63083</xdr:rowOff>
    </xdr:from>
    <xdr:to>
      <xdr:col>0</xdr:col>
      <xdr:colOff>1700451</xdr:colOff>
      <xdr:row>595</xdr:row>
      <xdr:rowOff>927477</xdr:rowOff>
    </xdr:to>
    <xdr:pic>
      <xdr:nvPicPr>
        <xdr:cNvPr id="1191" name="Picture 1190" descr="Insight Picture 1190">
          <a:extLst>
            <a:ext uri="{FF2B5EF4-FFF2-40B4-BE49-F238E27FC236}">
              <a16:creationId xmlns:a16="http://schemas.microsoft.com/office/drawing/2014/main" id="{5DAE1A24-4E25-CE1D-F1F3-6B4B616AB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936070" y="499965563"/>
          <a:ext cx="764381" cy="864394"/>
        </a:xfrm>
        <a:prstGeom prst="rect">
          <a:avLst/>
        </a:prstGeom>
      </xdr:spPr>
    </xdr:pic>
    <xdr:clientData/>
  </xdr:twoCellAnchor>
  <xdr:twoCellAnchor editAs="oneCell">
    <xdr:from>
      <xdr:col>0</xdr:col>
      <xdr:colOff>650320</xdr:colOff>
      <xdr:row>596</xdr:row>
      <xdr:rowOff>60256</xdr:rowOff>
    </xdr:from>
    <xdr:to>
      <xdr:col>0</xdr:col>
      <xdr:colOff>1986201</xdr:colOff>
      <xdr:row>596</xdr:row>
      <xdr:rowOff>838925</xdr:rowOff>
    </xdr:to>
    <xdr:pic>
      <xdr:nvPicPr>
        <xdr:cNvPr id="1193" name="Picture 1192" descr="Insight Picture 1192">
          <a:extLst>
            <a:ext uri="{FF2B5EF4-FFF2-40B4-BE49-F238E27FC236}">
              <a16:creationId xmlns:a16="http://schemas.microsoft.com/office/drawing/2014/main" id="{0C1A062D-3880-5F0E-6F2F-34ABAA38B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650320" y="500953336"/>
          <a:ext cx="1335881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682466</xdr:colOff>
      <xdr:row>597</xdr:row>
      <xdr:rowOff>60265</xdr:rowOff>
    </xdr:from>
    <xdr:to>
      <xdr:col>0</xdr:col>
      <xdr:colOff>1954054</xdr:colOff>
      <xdr:row>597</xdr:row>
      <xdr:rowOff>838934</xdr:rowOff>
    </xdr:to>
    <xdr:pic>
      <xdr:nvPicPr>
        <xdr:cNvPr id="1195" name="Picture 1194" descr="Insight Picture 1194">
          <a:extLst>
            <a:ext uri="{FF2B5EF4-FFF2-40B4-BE49-F238E27FC236}">
              <a16:creationId xmlns:a16="http://schemas.microsoft.com/office/drawing/2014/main" id="{BDDFE46A-9D07-4E90-75D0-6E5EF5BF5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682466" y="501852505"/>
          <a:ext cx="1271588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696753</xdr:colOff>
      <xdr:row>598</xdr:row>
      <xdr:rowOff>61913</xdr:rowOff>
    </xdr:from>
    <xdr:to>
      <xdr:col>0</xdr:col>
      <xdr:colOff>1939766</xdr:colOff>
      <xdr:row>598</xdr:row>
      <xdr:rowOff>890588</xdr:rowOff>
    </xdr:to>
    <xdr:pic>
      <xdr:nvPicPr>
        <xdr:cNvPr id="1197" name="Picture 1196" descr="Insight Picture 1196">
          <a:extLst>
            <a:ext uri="{FF2B5EF4-FFF2-40B4-BE49-F238E27FC236}">
              <a16:creationId xmlns:a16="http://schemas.microsoft.com/office/drawing/2014/main" id="{1E090D6E-D287-EE58-54F4-6F6BB0454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696753" y="502753313"/>
          <a:ext cx="1243013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696753</xdr:colOff>
      <xdr:row>599</xdr:row>
      <xdr:rowOff>62855</xdr:rowOff>
    </xdr:from>
    <xdr:to>
      <xdr:col>0</xdr:col>
      <xdr:colOff>1939766</xdr:colOff>
      <xdr:row>599</xdr:row>
      <xdr:rowOff>691505</xdr:rowOff>
    </xdr:to>
    <xdr:pic>
      <xdr:nvPicPr>
        <xdr:cNvPr id="1199" name="Picture 1198" descr="Insight Picture 1198">
          <a:extLst>
            <a:ext uri="{FF2B5EF4-FFF2-40B4-BE49-F238E27FC236}">
              <a16:creationId xmlns:a16="http://schemas.microsoft.com/office/drawing/2014/main" id="{023EB094-200B-D44D-B4BE-6EF0213F7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696753" y="503706755"/>
          <a:ext cx="1243013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578882</xdr:colOff>
      <xdr:row>600</xdr:row>
      <xdr:rowOff>60256</xdr:rowOff>
    </xdr:from>
    <xdr:to>
      <xdr:col>0</xdr:col>
      <xdr:colOff>2057638</xdr:colOff>
      <xdr:row>600</xdr:row>
      <xdr:rowOff>838925</xdr:rowOff>
    </xdr:to>
    <xdr:pic>
      <xdr:nvPicPr>
        <xdr:cNvPr id="1201" name="Picture 1200" descr="Insight Picture 1200">
          <a:extLst>
            <a:ext uri="{FF2B5EF4-FFF2-40B4-BE49-F238E27FC236}">
              <a16:creationId xmlns:a16="http://schemas.microsoft.com/office/drawing/2014/main" id="{3A532BA9-36DE-F72D-736E-8DCC0ACF3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578882" y="504458536"/>
          <a:ext cx="1478756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564595</xdr:colOff>
      <xdr:row>601</xdr:row>
      <xdr:rowOff>62647</xdr:rowOff>
    </xdr:from>
    <xdr:to>
      <xdr:col>0</xdr:col>
      <xdr:colOff>2071926</xdr:colOff>
      <xdr:row>601</xdr:row>
      <xdr:rowOff>1027053</xdr:rowOff>
    </xdr:to>
    <xdr:pic>
      <xdr:nvPicPr>
        <xdr:cNvPr id="1203" name="Picture 1202" descr="Insight Picture 1202">
          <a:extLst>
            <a:ext uri="{FF2B5EF4-FFF2-40B4-BE49-F238E27FC236}">
              <a16:creationId xmlns:a16="http://schemas.microsoft.com/office/drawing/2014/main" id="{B37A41EE-1DF2-8C75-ADDE-A89EA57C3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564595" y="505360087"/>
          <a:ext cx="1507331" cy="964406"/>
        </a:xfrm>
        <a:prstGeom prst="rect">
          <a:avLst/>
        </a:prstGeom>
      </xdr:spPr>
    </xdr:pic>
    <xdr:clientData/>
  </xdr:twoCellAnchor>
  <xdr:twoCellAnchor editAs="oneCell">
    <xdr:from>
      <xdr:col>0</xdr:col>
      <xdr:colOff>564595</xdr:colOff>
      <xdr:row>602</xdr:row>
      <xdr:rowOff>62607</xdr:rowOff>
    </xdr:from>
    <xdr:to>
      <xdr:col>0</xdr:col>
      <xdr:colOff>2071926</xdr:colOff>
      <xdr:row>602</xdr:row>
      <xdr:rowOff>1027013</xdr:rowOff>
    </xdr:to>
    <xdr:pic>
      <xdr:nvPicPr>
        <xdr:cNvPr id="1205" name="Picture 1204" descr="Insight Picture 1204">
          <a:extLst>
            <a:ext uri="{FF2B5EF4-FFF2-40B4-BE49-F238E27FC236}">
              <a16:creationId xmlns:a16="http://schemas.microsoft.com/office/drawing/2014/main" id="{284B7C6C-9FC9-81C3-94C4-02CFA25E7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564595" y="506449707"/>
          <a:ext cx="1507331" cy="964406"/>
        </a:xfrm>
        <a:prstGeom prst="rect">
          <a:avLst/>
        </a:prstGeom>
      </xdr:spPr>
    </xdr:pic>
    <xdr:clientData/>
  </xdr:twoCellAnchor>
  <xdr:twoCellAnchor editAs="oneCell">
    <xdr:from>
      <xdr:col>0</xdr:col>
      <xdr:colOff>578882</xdr:colOff>
      <xdr:row>603</xdr:row>
      <xdr:rowOff>63113</xdr:rowOff>
    </xdr:from>
    <xdr:to>
      <xdr:col>0</xdr:col>
      <xdr:colOff>2057638</xdr:colOff>
      <xdr:row>603</xdr:row>
      <xdr:rowOff>927507</xdr:rowOff>
    </xdr:to>
    <xdr:pic>
      <xdr:nvPicPr>
        <xdr:cNvPr id="1207" name="Picture 1206" descr="Insight Picture 1206">
          <a:extLst>
            <a:ext uri="{FF2B5EF4-FFF2-40B4-BE49-F238E27FC236}">
              <a16:creationId xmlns:a16="http://schemas.microsoft.com/office/drawing/2014/main" id="{8A930FB8-34A7-9B22-5BC9-4B1C3F55E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578882" y="507539873"/>
          <a:ext cx="1478756" cy="864394"/>
        </a:xfrm>
        <a:prstGeom prst="rect">
          <a:avLst/>
        </a:prstGeom>
      </xdr:spPr>
    </xdr:pic>
    <xdr:clientData/>
  </xdr:twoCellAnchor>
  <xdr:twoCellAnchor editAs="oneCell">
    <xdr:from>
      <xdr:col>0</xdr:col>
      <xdr:colOff>578882</xdr:colOff>
      <xdr:row>604</xdr:row>
      <xdr:rowOff>63113</xdr:rowOff>
    </xdr:from>
    <xdr:to>
      <xdr:col>0</xdr:col>
      <xdr:colOff>2057638</xdr:colOff>
      <xdr:row>604</xdr:row>
      <xdr:rowOff>927507</xdr:rowOff>
    </xdr:to>
    <xdr:pic>
      <xdr:nvPicPr>
        <xdr:cNvPr id="1209" name="Picture 1208" descr="Insight Picture 1208">
          <a:extLst>
            <a:ext uri="{FF2B5EF4-FFF2-40B4-BE49-F238E27FC236}">
              <a16:creationId xmlns:a16="http://schemas.microsoft.com/office/drawing/2014/main" id="{294F8952-C0A4-D693-2731-AB81EF2C8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578882" y="508530473"/>
          <a:ext cx="1478756" cy="864394"/>
        </a:xfrm>
        <a:prstGeom prst="rect">
          <a:avLst/>
        </a:prstGeom>
      </xdr:spPr>
    </xdr:pic>
    <xdr:clientData/>
  </xdr:twoCellAnchor>
  <xdr:twoCellAnchor editAs="oneCell">
    <xdr:from>
      <xdr:col>0</xdr:col>
      <xdr:colOff>839628</xdr:colOff>
      <xdr:row>605</xdr:row>
      <xdr:rowOff>63113</xdr:rowOff>
    </xdr:from>
    <xdr:to>
      <xdr:col>0</xdr:col>
      <xdr:colOff>1796891</xdr:colOff>
      <xdr:row>605</xdr:row>
      <xdr:rowOff>927507</xdr:rowOff>
    </xdr:to>
    <xdr:pic>
      <xdr:nvPicPr>
        <xdr:cNvPr id="1211" name="Picture 1210" descr="Insight Picture 1210">
          <a:extLst>
            <a:ext uri="{FF2B5EF4-FFF2-40B4-BE49-F238E27FC236}">
              <a16:creationId xmlns:a16="http://schemas.microsoft.com/office/drawing/2014/main" id="{7CEBF17C-FBBB-FB5C-9135-DDE9FC6AD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839628" y="509521073"/>
          <a:ext cx="957263" cy="864394"/>
        </a:xfrm>
        <a:prstGeom prst="rect">
          <a:avLst/>
        </a:prstGeom>
      </xdr:spPr>
    </xdr:pic>
    <xdr:clientData/>
  </xdr:twoCellAnchor>
  <xdr:twoCellAnchor editAs="oneCell">
    <xdr:from>
      <xdr:col>0</xdr:col>
      <xdr:colOff>761047</xdr:colOff>
      <xdr:row>606</xdr:row>
      <xdr:rowOff>61674</xdr:rowOff>
    </xdr:from>
    <xdr:to>
      <xdr:col>0</xdr:col>
      <xdr:colOff>1875472</xdr:colOff>
      <xdr:row>606</xdr:row>
      <xdr:rowOff>1111805</xdr:rowOff>
    </xdr:to>
    <xdr:pic>
      <xdr:nvPicPr>
        <xdr:cNvPr id="1213" name="Picture 1212" descr="Insight Picture 1212">
          <a:extLst>
            <a:ext uri="{FF2B5EF4-FFF2-40B4-BE49-F238E27FC236}">
              <a16:creationId xmlns:a16="http://schemas.microsoft.com/office/drawing/2014/main" id="{58297AA9-3728-D4AB-06BD-EC3B1B1C9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761047" y="510510234"/>
          <a:ext cx="1114425" cy="1050131"/>
        </a:xfrm>
        <a:prstGeom prst="rect">
          <a:avLst/>
        </a:prstGeom>
      </xdr:spPr>
    </xdr:pic>
    <xdr:clientData/>
  </xdr:twoCellAnchor>
  <xdr:twoCellAnchor editAs="oneCell">
    <xdr:from>
      <xdr:col>0</xdr:col>
      <xdr:colOff>818198</xdr:colOff>
      <xdr:row>607</xdr:row>
      <xdr:rowOff>63093</xdr:rowOff>
    </xdr:from>
    <xdr:to>
      <xdr:col>0</xdr:col>
      <xdr:colOff>1818323</xdr:colOff>
      <xdr:row>607</xdr:row>
      <xdr:rowOff>1270387</xdr:rowOff>
    </xdr:to>
    <xdr:pic>
      <xdr:nvPicPr>
        <xdr:cNvPr id="1215" name="Picture 1214" descr="Insight Picture 1214">
          <a:extLst>
            <a:ext uri="{FF2B5EF4-FFF2-40B4-BE49-F238E27FC236}">
              <a16:creationId xmlns:a16="http://schemas.microsoft.com/office/drawing/2014/main" id="{3C61A90D-0D9E-6C12-DFB6-0235CF732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818198" y="511685133"/>
          <a:ext cx="1000125" cy="1207294"/>
        </a:xfrm>
        <a:prstGeom prst="rect">
          <a:avLst/>
        </a:prstGeom>
      </xdr:spPr>
    </xdr:pic>
    <xdr:clientData/>
  </xdr:twoCellAnchor>
  <xdr:twoCellAnchor editAs="oneCell">
    <xdr:from>
      <xdr:col>0</xdr:col>
      <xdr:colOff>536020</xdr:colOff>
      <xdr:row>608</xdr:row>
      <xdr:rowOff>61903</xdr:rowOff>
    </xdr:from>
    <xdr:to>
      <xdr:col>0</xdr:col>
      <xdr:colOff>2100501</xdr:colOff>
      <xdr:row>608</xdr:row>
      <xdr:rowOff>547678</xdr:rowOff>
    </xdr:to>
    <xdr:pic>
      <xdr:nvPicPr>
        <xdr:cNvPr id="1217" name="Picture 1216" descr="Insight Picture 1216">
          <a:extLst>
            <a:ext uri="{FF2B5EF4-FFF2-40B4-BE49-F238E27FC236}">
              <a16:creationId xmlns:a16="http://schemas.microsoft.com/office/drawing/2014/main" id="{C0137B73-6018-D11C-6AA9-104E28B2C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536020" y="513017443"/>
          <a:ext cx="1564481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536020</xdr:colOff>
      <xdr:row>609</xdr:row>
      <xdr:rowOff>62399</xdr:rowOff>
    </xdr:from>
    <xdr:to>
      <xdr:col>0</xdr:col>
      <xdr:colOff>2100501</xdr:colOff>
      <xdr:row>609</xdr:row>
      <xdr:rowOff>791062</xdr:rowOff>
    </xdr:to>
    <xdr:pic>
      <xdr:nvPicPr>
        <xdr:cNvPr id="1219" name="Picture 1218" descr="Insight Picture 1218">
          <a:extLst>
            <a:ext uri="{FF2B5EF4-FFF2-40B4-BE49-F238E27FC236}">
              <a16:creationId xmlns:a16="http://schemas.microsoft.com/office/drawing/2014/main" id="{05455A7F-5ADB-F9D4-CE9D-00CF37D37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536020" y="513627539"/>
          <a:ext cx="1564481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761047</xdr:colOff>
      <xdr:row>610</xdr:row>
      <xdr:rowOff>63827</xdr:rowOff>
    </xdr:from>
    <xdr:to>
      <xdr:col>0</xdr:col>
      <xdr:colOff>1875472</xdr:colOff>
      <xdr:row>610</xdr:row>
      <xdr:rowOff>721052</xdr:rowOff>
    </xdr:to>
    <xdr:pic>
      <xdr:nvPicPr>
        <xdr:cNvPr id="1221" name="Picture 1220" descr="Insight Picture 1220">
          <a:extLst>
            <a:ext uri="{FF2B5EF4-FFF2-40B4-BE49-F238E27FC236}">
              <a16:creationId xmlns:a16="http://schemas.microsoft.com/office/drawing/2014/main" id="{EC35C4E3-5CA2-300D-C4AF-4DA23EF1F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761047" y="514482407"/>
          <a:ext cx="1114425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775335</xdr:colOff>
      <xdr:row>611</xdr:row>
      <xdr:rowOff>60712</xdr:rowOff>
    </xdr:from>
    <xdr:to>
      <xdr:col>0</xdr:col>
      <xdr:colOff>1861185</xdr:colOff>
      <xdr:row>611</xdr:row>
      <xdr:rowOff>853668</xdr:rowOff>
    </xdr:to>
    <xdr:pic>
      <xdr:nvPicPr>
        <xdr:cNvPr id="1223" name="Picture 1222" descr="Insight Picture 1222">
          <a:extLst>
            <a:ext uri="{FF2B5EF4-FFF2-40B4-BE49-F238E27FC236}">
              <a16:creationId xmlns:a16="http://schemas.microsoft.com/office/drawing/2014/main" id="{AB84F1A7-F0CF-10BD-47DF-465157703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775335" y="515264152"/>
          <a:ext cx="1085850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578882</xdr:colOff>
      <xdr:row>612</xdr:row>
      <xdr:rowOff>62647</xdr:rowOff>
    </xdr:from>
    <xdr:to>
      <xdr:col>0</xdr:col>
      <xdr:colOff>2057638</xdr:colOff>
      <xdr:row>612</xdr:row>
      <xdr:rowOff>798453</xdr:rowOff>
    </xdr:to>
    <xdr:pic>
      <xdr:nvPicPr>
        <xdr:cNvPr id="1225" name="Picture 1224" descr="Insight Picture 1224">
          <a:extLst>
            <a:ext uri="{FF2B5EF4-FFF2-40B4-BE49-F238E27FC236}">
              <a16:creationId xmlns:a16="http://schemas.microsoft.com/office/drawing/2014/main" id="{D34B087B-D0F0-3DAD-2D97-8824A9BCE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578882" y="516180487"/>
          <a:ext cx="1478756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603885</xdr:colOff>
      <xdr:row>613</xdr:row>
      <xdr:rowOff>61913</xdr:rowOff>
    </xdr:from>
    <xdr:to>
      <xdr:col>0</xdr:col>
      <xdr:colOff>2032635</xdr:colOff>
      <xdr:row>613</xdr:row>
      <xdr:rowOff>890588</xdr:rowOff>
    </xdr:to>
    <xdr:pic>
      <xdr:nvPicPr>
        <xdr:cNvPr id="1227" name="Picture 1226" descr="Insight Picture 1226">
          <a:extLst>
            <a:ext uri="{FF2B5EF4-FFF2-40B4-BE49-F238E27FC236}">
              <a16:creationId xmlns:a16="http://schemas.microsoft.com/office/drawing/2014/main" id="{43961B08-184A-AA6F-F6AD-203FABFB7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603885" y="517040813"/>
          <a:ext cx="142875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439578</xdr:colOff>
      <xdr:row>614</xdr:row>
      <xdr:rowOff>60722</xdr:rowOff>
    </xdr:from>
    <xdr:to>
      <xdr:col>0</xdr:col>
      <xdr:colOff>2196941</xdr:colOff>
      <xdr:row>614</xdr:row>
      <xdr:rowOff>853678</xdr:rowOff>
    </xdr:to>
    <xdr:pic>
      <xdr:nvPicPr>
        <xdr:cNvPr id="1229" name="Picture 1228" descr="Insight Picture 1228">
          <a:extLst>
            <a:ext uri="{FF2B5EF4-FFF2-40B4-BE49-F238E27FC236}">
              <a16:creationId xmlns:a16="http://schemas.microsoft.com/office/drawing/2014/main" id="{53FC2440-0ECF-5B14-BD66-073092DC3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439578" y="517992122"/>
          <a:ext cx="1757363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768191</xdr:colOff>
      <xdr:row>615</xdr:row>
      <xdr:rowOff>60970</xdr:rowOff>
    </xdr:from>
    <xdr:to>
      <xdr:col>0</xdr:col>
      <xdr:colOff>1868329</xdr:colOff>
      <xdr:row>615</xdr:row>
      <xdr:rowOff>1089670</xdr:rowOff>
    </xdr:to>
    <xdr:pic>
      <xdr:nvPicPr>
        <xdr:cNvPr id="1231" name="Picture 1230" descr="Insight Picture 1230">
          <a:extLst>
            <a:ext uri="{FF2B5EF4-FFF2-40B4-BE49-F238E27FC236}">
              <a16:creationId xmlns:a16="http://schemas.microsoft.com/office/drawing/2014/main" id="{475771B4-CACB-E23A-C84F-599090CBB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768191" y="518906770"/>
          <a:ext cx="1100138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682466</xdr:colOff>
      <xdr:row>616</xdr:row>
      <xdr:rowOff>60246</xdr:rowOff>
    </xdr:from>
    <xdr:to>
      <xdr:col>0</xdr:col>
      <xdr:colOff>1954054</xdr:colOff>
      <xdr:row>616</xdr:row>
      <xdr:rowOff>838915</xdr:rowOff>
    </xdr:to>
    <xdr:pic>
      <xdr:nvPicPr>
        <xdr:cNvPr id="1233" name="Picture 1232" descr="Insight Picture 1232">
          <a:extLst>
            <a:ext uri="{FF2B5EF4-FFF2-40B4-BE49-F238E27FC236}">
              <a16:creationId xmlns:a16="http://schemas.microsoft.com/office/drawing/2014/main" id="{CCD2E951-6D23-2AD6-4C50-CAEFED212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682466" y="520056666"/>
          <a:ext cx="1271588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693182</xdr:colOff>
      <xdr:row>617</xdr:row>
      <xdr:rowOff>61198</xdr:rowOff>
    </xdr:from>
    <xdr:to>
      <xdr:col>0</xdr:col>
      <xdr:colOff>1943338</xdr:colOff>
      <xdr:row>617</xdr:row>
      <xdr:rowOff>1097042</xdr:rowOff>
    </xdr:to>
    <xdr:pic>
      <xdr:nvPicPr>
        <xdr:cNvPr id="1235" name="Picture 1234" descr="Insight Picture 1234">
          <a:extLst>
            <a:ext uri="{FF2B5EF4-FFF2-40B4-BE49-F238E27FC236}">
              <a16:creationId xmlns:a16="http://schemas.microsoft.com/office/drawing/2014/main" id="{2427AE96-8EEE-030C-36C1-0671DE556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693182" y="520956778"/>
          <a:ext cx="1250156" cy="1035844"/>
        </a:xfrm>
        <a:prstGeom prst="rect">
          <a:avLst/>
        </a:prstGeom>
      </xdr:spPr>
    </xdr:pic>
    <xdr:clientData/>
  </xdr:twoCellAnchor>
  <xdr:twoCellAnchor editAs="oneCell">
    <xdr:from>
      <xdr:col>0</xdr:col>
      <xdr:colOff>650320</xdr:colOff>
      <xdr:row>618</xdr:row>
      <xdr:rowOff>60494</xdr:rowOff>
    </xdr:from>
    <xdr:to>
      <xdr:col>0</xdr:col>
      <xdr:colOff>1986201</xdr:colOff>
      <xdr:row>618</xdr:row>
      <xdr:rowOff>732007</xdr:rowOff>
    </xdr:to>
    <xdr:pic>
      <xdr:nvPicPr>
        <xdr:cNvPr id="1237" name="Picture 1236" descr="Insight Picture 1236">
          <a:extLst>
            <a:ext uri="{FF2B5EF4-FFF2-40B4-BE49-F238E27FC236}">
              <a16:creationId xmlns:a16="http://schemas.microsoft.com/office/drawing/2014/main" id="{DEFFC2AE-D252-BAA2-B5D3-D0C06D0FD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650320" y="522114314"/>
          <a:ext cx="1335881" cy="671513"/>
        </a:xfrm>
        <a:prstGeom prst="rect">
          <a:avLst/>
        </a:prstGeom>
      </xdr:spPr>
    </xdr:pic>
    <xdr:clientData/>
  </xdr:twoCellAnchor>
  <xdr:twoCellAnchor editAs="oneCell">
    <xdr:from>
      <xdr:col>0</xdr:col>
      <xdr:colOff>582453</xdr:colOff>
      <xdr:row>619</xdr:row>
      <xdr:rowOff>62607</xdr:rowOff>
    </xdr:from>
    <xdr:to>
      <xdr:col>0</xdr:col>
      <xdr:colOff>2054066</xdr:colOff>
      <xdr:row>619</xdr:row>
      <xdr:rowOff>684113</xdr:rowOff>
    </xdr:to>
    <xdr:pic>
      <xdr:nvPicPr>
        <xdr:cNvPr id="1239" name="Picture 1238" descr="Insight Picture 1238">
          <a:extLst>
            <a:ext uri="{FF2B5EF4-FFF2-40B4-BE49-F238E27FC236}">
              <a16:creationId xmlns:a16="http://schemas.microsoft.com/office/drawing/2014/main" id="{F950AFA5-E854-F75F-89E0-DFAC6E014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>
          <a:off x="582453" y="522908907"/>
          <a:ext cx="1471613" cy="621506"/>
        </a:xfrm>
        <a:prstGeom prst="rect">
          <a:avLst/>
        </a:prstGeom>
      </xdr:spPr>
    </xdr:pic>
    <xdr:clientData/>
  </xdr:twoCellAnchor>
  <xdr:twoCellAnchor editAs="oneCell">
    <xdr:from>
      <xdr:col>0</xdr:col>
      <xdr:colOff>546735</xdr:colOff>
      <xdr:row>620</xdr:row>
      <xdr:rowOff>63560</xdr:rowOff>
    </xdr:from>
    <xdr:to>
      <xdr:col>0</xdr:col>
      <xdr:colOff>2089785</xdr:colOff>
      <xdr:row>620</xdr:row>
      <xdr:rowOff>713641</xdr:rowOff>
    </xdr:to>
    <xdr:pic>
      <xdr:nvPicPr>
        <xdr:cNvPr id="1241" name="Picture 1240" descr="Insight Picture 1240">
          <a:extLst>
            <a:ext uri="{FF2B5EF4-FFF2-40B4-BE49-F238E27FC236}">
              <a16:creationId xmlns:a16="http://schemas.microsoft.com/office/drawing/2014/main" id="{93C0AB9A-6794-B72B-9A80-7F03A27B4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546735" y="523656620"/>
          <a:ext cx="1543050" cy="650081"/>
        </a:xfrm>
        <a:prstGeom prst="rect">
          <a:avLst/>
        </a:prstGeom>
      </xdr:spPr>
    </xdr:pic>
    <xdr:clientData/>
  </xdr:twoCellAnchor>
  <xdr:twoCellAnchor editAs="oneCell">
    <xdr:from>
      <xdr:col>0</xdr:col>
      <xdr:colOff>775335</xdr:colOff>
      <xdr:row>621</xdr:row>
      <xdr:rowOff>60226</xdr:rowOff>
    </xdr:from>
    <xdr:to>
      <xdr:col>0</xdr:col>
      <xdr:colOff>1861185</xdr:colOff>
      <xdr:row>621</xdr:row>
      <xdr:rowOff>838895</xdr:rowOff>
    </xdr:to>
    <xdr:pic>
      <xdr:nvPicPr>
        <xdr:cNvPr id="1243" name="Picture 1242" descr="Insight Picture 1242">
          <a:extLst>
            <a:ext uri="{FF2B5EF4-FFF2-40B4-BE49-F238E27FC236}">
              <a16:creationId xmlns:a16="http://schemas.microsoft.com/office/drawing/2014/main" id="{0F97EA10-B1DA-FDC2-14F3-BCDCA2253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>
          <a:off x="775335" y="524430526"/>
          <a:ext cx="1085850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418147</xdr:colOff>
      <xdr:row>622</xdr:row>
      <xdr:rowOff>63560</xdr:rowOff>
    </xdr:from>
    <xdr:to>
      <xdr:col>0</xdr:col>
      <xdr:colOff>2218372</xdr:colOff>
      <xdr:row>622</xdr:row>
      <xdr:rowOff>713641</xdr:rowOff>
    </xdr:to>
    <xdr:pic>
      <xdr:nvPicPr>
        <xdr:cNvPr id="1245" name="Picture 1244" descr="Insight Picture 1244">
          <a:extLst>
            <a:ext uri="{FF2B5EF4-FFF2-40B4-BE49-F238E27FC236}">
              <a16:creationId xmlns:a16="http://schemas.microsoft.com/office/drawing/2014/main" id="{DBCA8394-950B-DF8D-93AC-AE71BAC9C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418147" y="525333020"/>
          <a:ext cx="1800225" cy="650081"/>
        </a:xfrm>
        <a:prstGeom prst="rect">
          <a:avLst/>
        </a:prstGeom>
      </xdr:spPr>
    </xdr:pic>
    <xdr:clientData/>
  </xdr:twoCellAnchor>
  <xdr:twoCellAnchor editAs="oneCell">
    <xdr:from>
      <xdr:col>0</xdr:col>
      <xdr:colOff>839628</xdr:colOff>
      <xdr:row>623</xdr:row>
      <xdr:rowOff>61664</xdr:rowOff>
    </xdr:from>
    <xdr:to>
      <xdr:col>0</xdr:col>
      <xdr:colOff>1796891</xdr:colOff>
      <xdr:row>623</xdr:row>
      <xdr:rowOff>540295</xdr:rowOff>
    </xdr:to>
    <xdr:pic>
      <xdr:nvPicPr>
        <xdr:cNvPr id="1247" name="Picture 1246" descr="Insight Picture 1246">
          <a:extLst>
            <a:ext uri="{FF2B5EF4-FFF2-40B4-BE49-F238E27FC236}">
              <a16:creationId xmlns:a16="http://schemas.microsoft.com/office/drawing/2014/main" id="{75539B69-92C6-3D53-233C-699A5CD5C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>
          <a:off x="839628" y="526108364"/>
          <a:ext cx="957263" cy="478631"/>
        </a:xfrm>
        <a:prstGeom prst="rect">
          <a:avLst/>
        </a:prstGeom>
      </xdr:spPr>
    </xdr:pic>
    <xdr:clientData/>
  </xdr:twoCellAnchor>
  <xdr:twoCellAnchor editAs="oneCell">
    <xdr:from>
      <xdr:col>0</xdr:col>
      <xdr:colOff>871775</xdr:colOff>
      <xdr:row>624</xdr:row>
      <xdr:rowOff>60504</xdr:rowOff>
    </xdr:from>
    <xdr:to>
      <xdr:col>0</xdr:col>
      <xdr:colOff>1764744</xdr:colOff>
      <xdr:row>624</xdr:row>
      <xdr:rowOff>617717</xdr:rowOff>
    </xdr:to>
    <xdr:pic>
      <xdr:nvPicPr>
        <xdr:cNvPr id="1249" name="Picture 1248" descr="Insight Picture 1248">
          <a:extLst>
            <a:ext uri="{FF2B5EF4-FFF2-40B4-BE49-F238E27FC236}">
              <a16:creationId xmlns:a16="http://schemas.microsoft.com/office/drawing/2014/main" id="{213BD512-CB23-BF22-FAA8-122134BDE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871775" y="526709184"/>
          <a:ext cx="892969" cy="557213"/>
        </a:xfrm>
        <a:prstGeom prst="rect">
          <a:avLst/>
        </a:prstGeom>
      </xdr:spPr>
    </xdr:pic>
    <xdr:clientData/>
  </xdr:twoCellAnchor>
  <xdr:twoCellAnchor editAs="oneCell">
    <xdr:from>
      <xdr:col>0</xdr:col>
      <xdr:colOff>753903</xdr:colOff>
      <xdr:row>625</xdr:row>
      <xdr:rowOff>60732</xdr:rowOff>
    </xdr:from>
    <xdr:to>
      <xdr:col>0</xdr:col>
      <xdr:colOff>1882616</xdr:colOff>
      <xdr:row>625</xdr:row>
      <xdr:rowOff>739388</xdr:rowOff>
    </xdr:to>
    <xdr:pic>
      <xdr:nvPicPr>
        <xdr:cNvPr id="1251" name="Picture 1250" descr="Insight Picture 1250">
          <a:extLst>
            <a:ext uri="{FF2B5EF4-FFF2-40B4-BE49-F238E27FC236}">
              <a16:creationId xmlns:a16="http://schemas.microsoft.com/office/drawing/2014/main" id="{8536F31C-C30F-380E-CF48-BE3F1431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>
          <a:off x="753903" y="527387592"/>
          <a:ext cx="1128713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789622</xdr:colOff>
      <xdr:row>626</xdr:row>
      <xdr:rowOff>62865</xdr:rowOff>
    </xdr:from>
    <xdr:to>
      <xdr:col>0</xdr:col>
      <xdr:colOff>1846897</xdr:colOff>
      <xdr:row>626</xdr:row>
      <xdr:rowOff>805815</xdr:rowOff>
    </xdr:to>
    <xdr:pic>
      <xdr:nvPicPr>
        <xdr:cNvPr id="1253" name="Picture 1252" descr="Insight Picture 1252">
          <a:extLst>
            <a:ext uri="{FF2B5EF4-FFF2-40B4-BE49-F238E27FC236}">
              <a16:creationId xmlns:a16="http://schemas.microsoft.com/office/drawing/2014/main" id="{930B3351-BAB5-133E-260A-33B8A66D4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>
          <a:off x="789622" y="528189825"/>
          <a:ext cx="1057275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614600</xdr:colOff>
      <xdr:row>627</xdr:row>
      <xdr:rowOff>60265</xdr:rowOff>
    </xdr:from>
    <xdr:to>
      <xdr:col>0</xdr:col>
      <xdr:colOff>2021919</xdr:colOff>
      <xdr:row>627</xdr:row>
      <xdr:rowOff>838934</xdr:rowOff>
    </xdr:to>
    <xdr:pic>
      <xdr:nvPicPr>
        <xdr:cNvPr id="1255" name="Picture 1254" descr="Insight Picture 1254">
          <a:extLst>
            <a:ext uri="{FF2B5EF4-FFF2-40B4-BE49-F238E27FC236}">
              <a16:creationId xmlns:a16="http://schemas.microsoft.com/office/drawing/2014/main" id="{162F70DA-57C1-B143-9135-4C7E45D5E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614600" y="529055905"/>
          <a:ext cx="1407319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511016</xdr:colOff>
      <xdr:row>628</xdr:row>
      <xdr:rowOff>60226</xdr:rowOff>
    </xdr:from>
    <xdr:to>
      <xdr:col>0</xdr:col>
      <xdr:colOff>2125504</xdr:colOff>
      <xdr:row>628</xdr:row>
      <xdr:rowOff>838895</xdr:rowOff>
    </xdr:to>
    <xdr:pic>
      <xdr:nvPicPr>
        <xdr:cNvPr id="1257" name="Picture 1256" descr="Insight Picture 1256">
          <a:extLst>
            <a:ext uri="{FF2B5EF4-FFF2-40B4-BE49-F238E27FC236}">
              <a16:creationId xmlns:a16="http://schemas.microsoft.com/office/drawing/2014/main" id="{1347FF10-4CAC-87F1-6532-31D380809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>
          <a:off x="511016" y="529955026"/>
          <a:ext cx="1614488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793195</xdr:colOff>
      <xdr:row>629</xdr:row>
      <xdr:rowOff>60236</xdr:rowOff>
    </xdr:from>
    <xdr:to>
      <xdr:col>0</xdr:col>
      <xdr:colOff>1843326</xdr:colOff>
      <xdr:row>629</xdr:row>
      <xdr:rowOff>496005</xdr:rowOff>
    </xdr:to>
    <xdr:pic>
      <xdr:nvPicPr>
        <xdr:cNvPr id="1259" name="Picture 1258" descr="Insight Picture 1258">
          <a:extLst>
            <a:ext uri="{FF2B5EF4-FFF2-40B4-BE49-F238E27FC236}">
              <a16:creationId xmlns:a16="http://schemas.microsoft.com/office/drawing/2014/main" id="{90D269FC-0CF7-A058-8860-9CDC16961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793195" y="530854196"/>
          <a:ext cx="1050131" cy="435769"/>
        </a:xfrm>
        <a:prstGeom prst="rect">
          <a:avLst/>
        </a:prstGeom>
      </xdr:spPr>
    </xdr:pic>
    <xdr:clientData/>
  </xdr:twoCellAnchor>
  <xdr:twoCellAnchor editAs="oneCell">
    <xdr:from>
      <xdr:col>0</xdr:col>
      <xdr:colOff>696753</xdr:colOff>
      <xdr:row>630</xdr:row>
      <xdr:rowOff>63123</xdr:rowOff>
    </xdr:from>
    <xdr:to>
      <xdr:col>0</xdr:col>
      <xdr:colOff>1939766</xdr:colOff>
      <xdr:row>630</xdr:row>
      <xdr:rowOff>1041817</xdr:rowOff>
    </xdr:to>
    <xdr:pic>
      <xdr:nvPicPr>
        <xdr:cNvPr id="1261" name="Picture 1260" descr="Insight Picture 1260">
          <a:extLst>
            <a:ext uri="{FF2B5EF4-FFF2-40B4-BE49-F238E27FC236}">
              <a16:creationId xmlns:a16="http://schemas.microsoft.com/office/drawing/2014/main" id="{D7A5DFFF-CA03-EF44-FD8C-F34564E40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>
          <a:off x="696753" y="531413343"/>
          <a:ext cx="1243013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564595</xdr:colOff>
      <xdr:row>631</xdr:row>
      <xdr:rowOff>61188</xdr:rowOff>
    </xdr:from>
    <xdr:to>
      <xdr:col>0</xdr:col>
      <xdr:colOff>2071926</xdr:colOff>
      <xdr:row>631</xdr:row>
      <xdr:rowOff>982732</xdr:rowOff>
    </xdr:to>
    <xdr:pic>
      <xdr:nvPicPr>
        <xdr:cNvPr id="1263" name="Picture 1262" descr="Insight Picture 1262">
          <a:extLst>
            <a:ext uri="{FF2B5EF4-FFF2-40B4-BE49-F238E27FC236}">
              <a16:creationId xmlns:a16="http://schemas.microsoft.com/office/drawing/2014/main" id="{5FC354CA-2D26-7D39-7A65-AB64C22D0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564595" y="532516308"/>
          <a:ext cx="1507331" cy="921544"/>
        </a:xfrm>
        <a:prstGeom prst="rect">
          <a:avLst/>
        </a:prstGeom>
      </xdr:spPr>
    </xdr:pic>
    <xdr:clientData/>
  </xdr:twoCellAnchor>
  <xdr:twoCellAnchor editAs="oneCell">
    <xdr:from>
      <xdr:col>0</xdr:col>
      <xdr:colOff>614600</xdr:colOff>
      <xdr:row>632</xdr:row>
      <xdr:rowOff>61674</xdr:rowOff>
    </xdr:from>
    <xdr:to>
      <xdr:col>0</xdr:col>
      <xdr:colOff>2021919</xdr:colOff>
      <xdr:row>632</xdr:row>
      <xdr:rowOff>1111805</xdr:rowOff>
    </xdr:to>
    <xdr:pic>
      <xdr:nvPicPr>
        <xdr:cNvPr id="1265" name="Picture 1264" descr="Insight Picture 1264">
          <a:extLst>
            <a:ext uri="{FF2B5EF4-FFF2-40B4-BE49-F238E27FC236}">
              <a16:creationId xmlns:a16="http://schemas.microsoft.com/office/drawing/2014/main" id="{26D64663-92F2-C43A-D683-9E364AF32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>
          <a:off x="614600" y="533560734"/>
          <a:ext cx="1407319" cy="1050131"/>
        </a:xfrm>
        <a:prstGeom prst="rect">
          <a:avLst/>
        </a:prstGeom>
      </xdr:spPr>
    </xdr:pic>
    <xdr:clientData/>
  </xdr:twoCellAnchor>
  <xdr:twoCellAnchor editAs="oneCell">
    <xdr:from>
      <xdr:col>0</xdr:col>
      <xdr:colOff>625316</xdr:colOff>
      <xdr:row>633</xdr:row>
      <xdr:rowOff>60265</xdr:rowOff>
    </xdr:from>
    <xdr:to>
      <xdr:col>0</xdr:col>
      <xdr:colOff>2011204</xdr:colOff>
      <xdr:row>633</xdr:row>
      <xdr:rowOff>496034</xdr:rowOff>
    </xdr:to>
    <xdr:pic>
      <xdr:nvPicPr>
        <xdr:cNvPr id="1267" name="Picture 1266" descr="Insight Picture 1266">
          <a:extLst>
            <a:ext uri="{FF2B5EF4-FFF2-40B4-BE49-F238E27FC236}">
              <a16:creationId xmlns:a16="http://schemas.microsoft.com/office/drawing/2014/main" id="{122336F9-7CAF-F9E2-0D17-67F653027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625316" y="534732805"/>
          <a:ext cx="1385888" cy="435769"/>
        </a:xfrm>
        <a:prstGeom prst="rect">
          <a:avLst/>
        </a:prstGeom>
      </xdr:spPr>
    </xdr:pic>
    <xdr:clientData/>
  </xdr:twoCellAnchor>
  <xdr:twoCellAnchor editAs="oneCell">
    <xdr:from>
      <xdr:col>0</xdr:col>
      <xdr:colOff>418147</xdr:colOff>
      <xdr:row>634</xdr:row>
      <xdr:rowOff>61913</xdr:rowOff>
    </xdr:from>
    <xdr:to>
      <xdr:col>0</xdr:col>
      <xdr:colOff>2218372</xdr:colOff>
      <xdr:row>634</xdr:row>
      <xdr:rowOff>547688</xdr:rowOff>
    </xdr:to>
    <xdr:pic>
      <xdr:nvPicPr>
        <xdr:cNvPr id="1269" name="Picture 1268" descr="Insight Picture 1268">
          <a:extLst>
            <a:ext uri="{FF2B5EF4-FFF2-40B4-BE49-F238E27FC236}">
              <a16:creationId xmlns:a16="http://schemas.microsoft.com/office/drawing/2014/main" id="{37DD720E-F7EF-7B29-FF8B-D8FDB274F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>
          <a:off x="418147" y="535290713"/>
          <a:ext cx="1800225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432435</xdr:colOff>
      <xdr:row>635</xdr:row>
      <xdr:rowOff>63351</xdr:rowOff>
    </xdr:from>
    <xdr:to>
      <xdr:col>0</xdr:col>
      <xdr:colOff>2204085</xdr:colOff>
      <xdr:row>635</xdr:row>
      <xdr:rowOff>591989</xdr:rowOff>
    </xdr:to>
    <xdr:pic>
      <xdr:nvPicPr>
        <xdr:cNvPr id="1271" name="Picture 1270" descr="Insight Picture 1270">
          <a:extLst>
            <a:ext uri="{FF2B5EF4-FFF2-40B4-BE49-F238E27FC236}">
              <a16:creationId xmlns:a16="http://schemas.microsoft.com/office/drawing/2014/main" id="{E465E480-FC17-22A5-4732-AA035DA06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432435" y="535901751"/>
          <a:ext cx="1771650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696753</xdr:colOff>
      <xdr:row>636</xdr:row>
      <xdr:rowOff>62875</xdr:rowOff>
    </xdr:from>
    <xdr:to>
      <xdr:col>0</xdr:col>
      <xdr:colOff>1939766</xdr:colOff>
      <xdr:row>636</xdr:row>
      <xdr:rowOff>691525</xdr:rowOff>
    </xdr:to>
    <xdr:pic>
      <xdr:nvPicPr>
        <xdr:cNvPr id="1273" name="Picture 1272" descr="Insight Picture 1272">
          <a:extLst>
            <a:ext uri="{FF2B5EF4-FFF2-40B4-BE49-F238E27FC236}">
              <a16:creationId xmlns:a16="http://schemas.microsoft.com/office/drawing/2014/main" id="{E45179D7-B546-D4D3-28C6-74B6D0B42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>
          <a:off x="696753" y="536556595"/>
          <a:ext cx="1243013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768191</xdr:colOff>
      <xdr:row>637</xdr:row>
      <xdr:rowOff>60226</xdr:rowOff>
    </xdr:from>
    <xdr:to>
      <xdr:col>0</xdr:col>
      <xdr:colOff>1868329</xdr:colOff>
      <xdr:row>637</xdr:row>
      <xdr:rowOff>838895</xdr:rowOff>
    </xdr:to>
    <xdr:pic>
      <xdr:nvPicPr>
        <xdr:cNvPr id="1275" name="Picture 1274" descr="Insight Picture 1274">
          <a:extLst>
            <a:ext uri="{FF2B5EF4-FFF2-40B4-BE49-F238E27FC236}">
              <a16:creationId xmlns:a16="http://schemas.microsoft.com/office/drawing/2014/main" id="{453034B9-F360-01A4-68D8-92E36AB89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768191" y="537308326"/>
          <a:ext cx="1100138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746760</xdr:colOff>
      <xdr:row>638</xdr:row>
      <xdr:rowOff>61426</xdr:rowOff>
    </xdr:from>
    <xdr:to>
      <xdr:col>0</xdr:col>
      <xdr:colOff>1889760</xdr:colOff>
      <xdr:row>638</xdr:row>
      <xdr:rowOff>875814</xdr:rowOff>
    </xdr:to>
    <xdr:pic>
      <xdr:nvPicPr>
        <xdr:cNvPr id="1277" name="Picture 1276" descr="Insight Picture 1276">
          <a:extLst>
            <a:ext uri="{FF2B5EF4-FFF2-40B4-BE49-F238E27FC236}">
              <a16:creationId xmlns:a16="http://schemas.microsoft.com/office/drawing/2014/main" id="{4188975E-7B2C-EC60-47A0-D46CAD9F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>
          <a:off x="746760" y="538208686"/>
          <a:ext cx="1143000" cy="814388"/>
        </a:xfrm>
        <a:prstGeom prst="rect">
          <a:avLst/>
        </a:prstGeom>
      </xdr:spPr>
    </xdr:pic>
    <xdr:clientData/>
  </xdr:twoCellAnchor>
  <xdr:twoCellAnchor editAs="oneCell">
    <xdr:from>
      <xdr:col>0</xdr:col>
      <xdr:colOff>875348</xdr:colOff>
      <xdr:row>639</xdr:row>
      <xdr:rowOff>63569</xdr:rowOff>
    </xdr:from>
    <xdr:to>
      <xdr:col>0</xdr:col>
      <xdr:colOff>1761173</xdr:colOff>
      <xdr:row>639</xdr:row>
      <xdr:rowOff>942250</xdr:rowOff>
    </xdr:to>
    <xdr:pic>
      <xdr:nvPicPr>
        <xdr:cNvPr id="1279" name="Picture 1278" descr="Insight Picture 1278">
          <a:extLst>
            <a:ext uri="{FF2B5EF4-FFF2-40B4-BE49-F238E27FC236}">
              <a16:creationId xmlns:a16="http://schemas.microsoft.com/office/drawing/2014/main" id="{908B379E-7222-BC99-EF3A-D3997530D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875348" y="539148089"/>
          <a:ext cx="885825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671750</xdr:colOff>
      <xdr:row>640</xdr:row>
      <xdr:rowOff>63361</xdr:rowOff>
    </xdr:from>
    <xdr:to>
      <xdr:col>0</xdr:col>
      <xdr:colOff>1964769</xdr:colOff>
      <xdr:row>640</xdr:row>
      <xdr:rowOff>934899</xdr:rowOff>
    </xdr:to>
    <xdr:pic>
      <xdr:nvPicPr>
        <xdr:cNvPr id="1281" name="Picture 1280" descr="Insight Picture 1280">
          <a:extLst>
            <a:ext uri="{FF2B5EF4-FFF2-40B4-BE49-F238E27FC236}">
              <a16:creationId xmlns:a16="http://schemas.microsoft.com/office/drawing/2014/main" id="{16811BD2-1E36-8E27-FF89-0BA9A7983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671750" y="540153721"/>
          <a:ext cx="1293019" cy="871538"/>
        </a:xfrm>
        <a:prstGeom prst="rect">
          <a:avLst/>
        </a:prstGeom>
      </xdr:spPr>
    </xdr:pic>
    <xdr:clientData/>
  </xdr:twoCellAnchor>
  <xdr:twoCellAnchor editAs="oneCell">
    <xdr:from>
      <xdr:col>0</xdr:col>
      <xdr:colOff>664607</xdr:colOff>
      <xdr:row>641</xdr:row>
      <xdr:rowOff>62637</xdr:rowOff>
    </xdr:from>
    <xdr:to>
      <xdr:col>0</xdr:col>
      <xdr:colOff>1971913</xdr:colOff>
      <xdr:row>641</xdr:row>
      <xdr:rowOff>798443</xdr:rowOff>
    </xdr:to>
    <xdr:pic>
      <xdr:nvPicPr>
        <xdr:cNvPr id="1283" name="Picture 1282" descr="Insight Picture 1282">
          <a:extLst>
            <a:ext uri="{FF2B5EF4-FFF2-40B4-BE49-F238E27FC236}">
              <a16:creationId xmlns:a16="http://schemas.microsoft.com/office/drawing/2014/main" id="{44C5E2B6-098C-A2FA-1608-9DB1916EB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>
          <a:off x="664607" y="541151217"/>
          <a:ext cx="1307306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493157</xdr:colOff>
      <xdr:row>642</xdr:row>
      <xdr:rowOff>62647</xdr:rowOff>
    </xdr:from>
    <xdr:to>
      <xdr:col>0</xdr:col>
      <xdr:colOff>2143363</xdr:colOff>
      <xdr:row>642</xdr:row>
      <xdr:rowOff>798453</xdr:rowOff>
    </xdr:to>
    <xdr:pic>
      <xdr:nvPicPr>
        <xdr:cNvPr id="1285" name="Picture 1284" descr="Insight Picture 1284">
          <a:extLst>
            <a:ext uri="{FF2B5EF4-FFF2-40B4-BE49-F238E27FC236}">
              <a16:creationId xmlns:a16="http://schemas.microsoft.com/office/drawing/2014/main" id="{2098ED15-85ED-E7A8-DE58-4A46E50DC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493157" y="542012287"/>
          <a:ext cx="1650206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557450</xdr:colOff>
      <xdr:row>643</xdr:row>
      <xdr:rowOff>60226</xdr:rowOff>
    </xdr:from>
    <xdr:to>
      <xdr:col>0</xdr:col>
      <xdr:colOff>2079069</xdr:colOff>
      <xdr:row>643</xdr:row>
      <xdr:rowOff>838895</xdr:rowOff>
    </xdr:to>
    <xdr:pic>
      <xdr:nvPicPr>
        <xdr:cNvPr id="1287" name="Picture 1286" descr="Insight Picture 1286">
          <a:extLst>
            <a:ext uri="{FF2B5EF4-FFF2-40B4-BE49-F238E27FC236}">
              <a16:creationId xmlns:a16="http://schemas.microsoft.com/office/drawing/2014/main" id="{29FB5B18-56DE-E01A-4B85-F07B43E27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>
          <a:off x="557450" y="542870926"/>
          <a:ext cx="1521619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586025</xdr:colOff>
      <xdr:row>644</xdr:row>
      <xdr:rowOff>63361</xdr:rowOff>
    </xdr:from>
    <xdr:to>
      <xdr:col>0</xdr:col>
      <xdr:colOff>2050494</xdr:colOff>
      <xdr:row>644</xdr:row>
      <xdr:rowOff>934899</xdr:rowOff>
    </xdr:to>
    <xdr:pic>
      <xdr:nvPicPr>
        <xdr:cNvPr id="1289" name="Picture 1288" descr="Insight Picture 1288">
          <a:extLst>
            <a:ext uri="{FF2B5EF4-FFF2-40B4-BE49-F238E27FC236}">
              <a16:creationId xmlns:a16="http://schemas.microsoft.com/office/drawing/2014/main" id="{1E074E42-360E-0C87-A672-2489A3FA6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586025" y="543773221"/>
          <a:ext cx="1464469" cy="871538"/>
        </a:xfrm>
        <a:prstGeom prst="rect">
          <a:avLst/>
        </a:prstGeom>
      </xdr:spPr>
    </xdr:pic>
    <xdr:clientData/>
  </xdr:twoCellAnchor>
  <xdr:twoCellAnchor editAs="oneCell">
    <xdr:from>
      <xdr:col>0</xdr:col>
      <xdr:colOff>643175</xdr:colOff>
      <xdr:row>645</xdr:row>
      <xdr:rowOff>61198</xdr:rowOff>
    </xdr:from>
    <xdr:to>
      <xdr:col>0</xdr:col>
      <xdr:colOff>1993344</xdr:colOff>
      <xdr:row>645</xdr:row>
      <xdr:rowOff>639842</xdr:rowOff>
    </xdr:to>
    <xdr:pic>
      <xdr:nvPicPr>
        <xdr:cNvPr id="1291" name="Picture 1290" descr="Insight Picture 1290">
          <a:extLst>
            <a:ext uri="{FF2B5EF4-FFF2-40B4-BE49-F238E27FC236}">
              <a16:creationId xmlns:a16="http://schemas.microsoft.com/office/drawing/2014/main" id="{893609B8-41FE-8807-1078-C337AA4C5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>
          <a:off x="643175" y="544769278"/>
          <a:ext cx="1350169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396716</xdr:colOff>
      <xdr:row>646</xdr:row>
      <xdr:rowOff>61188</xdr:rowOff>
    </xdr:from>
    <xdr:to>
      <xdr:col>0</xdr:col>
      <xdr:colOff>2239804</xdr:colOff>
      <xdr:row>646</xdr:row>
      <xdr:rowOff>639832</xdr:rowOff>
    </xdr:to>
    <xdr:pic>
      <xdr:nvPicPr>
        <xdr:cNvPr id="1293" name="Picture 1292" descr="Insight Picture 1292">
          <a:extLst>
            <a:ext uri="{FF2B5EF4-FFF2-40B4-BE49-F238E27FC236}">
              <a16:creationId xmlns:a16="http://schemas.microsoft.com/office/drawing/2014/main" id="{5DB23008-AD60-52DB-6BB5-03D75E1D5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396716" y="545470308"/>
          <a:ext cx="1843088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686038</xdr:colOff>
      <xdr:row>647</xdr:row>
      <xdr:rowOff>61922</xdr:rowOff>
    </xdr:from>
    <xdr:to>
      <xdr:col>0</xdr:col>
      <xdr:colOff>1950482</xdr:colOff>
      <xdr:row>647</xdr:row>
      <xdr:rowOff>890597</xdr:rowOff>
    </xdr:to>
    <xdr:pic>
      <xdr:nvPicPr>
        <xdr:cNvPr id="1295" name="Picture 1294" descr="Insight Picture 1294">
          <a:extLst>
            <a:ext uri="{FF2B5EF4-FFF2-40B4-BE49-F238E27FC236}">
              <a16:creationId xmlns:a16="http://schemas.microsoft.com/office/drawing/2014/main" id="{DF4FB80E-0683-E4AC-A07C-76E69831D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>
          <a:off x="686038" y="546172082"/>
          <a:ext cx="1264444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789622</xdr:colOff>
      <xdr:row>648</xdr:row>
      <xdr:rowOff>60980</xdr:rowOff>
    </xdr:from>
    <xdr:to>
      <xdr:col>0</xdr:col>
      <xdr:colOff>1846897</xdr:colOff>
      <xdr:row>648</xdr:row>
      <xdr:rowOff>1089680</xdr:rowOff>
    </xdr:to>
    <xdr:pic>
      <xdr:nvPicPr>
        <xdr:cNvPr id="1297" name="Picture 1296" descr="Insight Picture 1296">
          <a:extLst>
            <a:ext uri="{FF2B5EF4-FFF2-40B4-BE49-F238E27FC236}">
              <a16:creationId xmlns:a16="http://schemas.microsoft.com/office/drawing/2014/main" id="{2D0C4810-40E7-CE93-DEED-B881FB823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789622" y="547123640"/>
          <a:ext cx="105727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514588</xdr:colOff>
      <xdr:row>649</xdr:row>
      <xdr:rowOff>62141</xdr:rowOff>
    </xdr:from>
    <xdr:to>
      <xdr:col>0</xdr:col>
      <xdr:colOff>2121932</xdr:colOff>
      <xdr:row>649</xdr:row>
      <xdr:rowOff>783660</xdr:rowOff>
    </xdr:to>
    <xdr:pic>
      <xdr:nvPicPr>
        <xdr:cNvPr id="1299" name="Picture 1298" descr="Insight Picture 1298">
          <a:extLst>
            <a:ext uri="{FF2B5EF4-FFF2-40B4-BE49-F238E27FC236}">
              <a16:creationId xmlns:a16="http://schemas.microsoft.com/office/drawing/2014/main" id="{0D50A96A-8704-3607-49D9-28F8A132E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>
          <a:off x="514588" y="548275421"/>
          <a:ext cx="1607344" cy="721519"/>
        </a:xfrm>
        <a:prstGeom prst="rect">
          <a:avLst/>
        </a:prstGeom>
      </xdr:spPr>
    </xdr:pic>
    <xdr:clientData/>
  </xdr:twoCellAnchor>
  <xdr:twoCellAnchor editAs="oneCell">
    <xdr:from>
      <xdr:col>0</xdr:col>
      <xdr:colOff>482441</xdr:colOff>
      <xdr:row>650</xdr:row>
      <xdr:rowOff>61416</xdr:rowOff>
    </xdr:from>
    <xdr:to>
      <xdr:col>0</xdr:col>
      <xdr:colOff>2154079</xdr:colOff>
      <xdr:row>650</xdr:row>
      <xdr:rowOff>761504</xdr:rowOff>
    </xdr:to>
    <xdr:pic>
      <xdr:nvPicPr>
        <xdr:cNvPr id="1301" name="Picture 1300" descr="Insight Picture 1300">
          <a:extLst>
            <a:ext uri="{FF2B5EF4-FFF2-40B4-BE49-F238E27FC236}">
              <a16:creationId xmlns:a16="http://schemas.microsoft.com/office/drawing/2014/main" id="{84339A3B-39D3-07C2-A07F-5DAB6301E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482441" y="549120516"/>
          <a:ext cx="1671638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700325</xdr:colOff>
      <xdr:row>651</xdr:row>
      <xdr:rowOff>62170</xdr:rowOff>
    </xdr:from>
    <xdr:to>
      <xdr:col>0</xdr:col>
      <xdr:colOff>1936194</xdr:colOff>
      <xdr:row>651</xdr:row>
      <xdr:rowOff>1012289</xdr:rowOff>
    </xdr:to>
    <xdr:pic>
      <xdr:nvPicPr>
        <xdr:cNvPr id="1303" name="Picture 1302" descr="Insight Picture 1302">
          <a:extLst>
            <a:ext uri="{FF2B5EF4-FFF2-40B4-BE49-F238E27FC236}">
              <a16:creationId xmlns:a16="http://schemas.microsoft.com/office/drawing/2014/main" id="{E36E030E-0EA0-9C6D-694C-0BC50ABEA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>
          <a:off x="700325" y="549944230"/>
          <a:ext cx="1235869" cy="950119"/>
        </a:xfrm>
        <a:prstGeom prst="rect">
          <a:avLst/>
        </a:prstGeom>
      </xdr:spPr>
    </xdr:pic>
    <xdr:clientData/>
  </xdr:twoCellAnchor>
  <xdr:twoCellAnchor editAs="oneCell">
    <xdr:from>
      <xdr:col>0</xdr:col>
      <xdr:colOff>750332</xdr:colOff>
      <xdr:row>652</xdr:row>
      <xdr:rowOff>61198</xdr:rowOff>
    </xdr:from>
    <xdr:to>
      <xdr:col>0</xdr:col>
      <xdr:colOff>1886188</xdr:colOff>
      <xdr:row>652</xdr:row>
      <xdr:rowOff>982742</xdr:rowOff>
    </xdr:to>
    <xdr:pic>
      <xdr:nvPicPr>
        <xdr:cNvPr id="1305" name="Picture 1304" descr="Insight Picture 1304">
          <a:extLst>
            <a:ext uri="{FF2B5EF4-FFF2-40B4-BE49-F238E27FC236}">
              <a16:creationId xmlns:a16="http://schemas.microsoft.com/office/drawing/2014/main" id="{1CB3F84E-0EBB-B448-BD2F-9CC631C22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750332" y="551017678"/>
          <a:ext cx="1135856" cy="921544"/>
        </a:xfrm>
        <a:prstGeom prst="rect">
          <a:avLst/>
        </a:prstGeom>
      </xdr:spPr>
    </xdr:pic>
    <xdr:clientData/>
  </xdr:twoCellAnchor>
  <xdr:twoCellAnchor editAs="oneCell">
    <xdr:from>
      <xdr:col>0</xdr:col>
      <xdr:colOff>628888</xdr:colOff>
      <xdr:row>653</xdr:row>
      <xdr:rowOff>61188</xdr:rowOff>
    </xdr:from>
    <xdr:to>
      <xdr:col>0</xdr:col>
      <xdr:colOff>2007632</xdr:colOff>
      <xdr:row>653</xdr:row>
      <xdr:rowOff>982732</xdr:rowOff>
    </xdr:to>
    <xdr:pic>
      <xdr:nvPicPr>
        <xdr:cNvPr id="1307" name="Picture 1306" descr="Insight Picture 1306">
          <a:extLst>
            <a:ext uri="{FF2B5EF4-FFF2-40B4-BE49-F238E27FC236}">
              <a16:creationId xmlns:a16="http://schemas.microsoft.com/office/drawing/2014/main" id="{5A48872A-AEEF-05CA-00A4-9590E3682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628888" y="552061608"/>
          <a:ext cx="1378744" cy="921544"/>
        </a:xfrm>
        <a:prstGeom prst="rect">
          <a:avLst/>
        </a:prstGeom>
      </xdr:spPr>
    </xdr:pic>
    <xdr:clientData/>
  </xdr:twoCellAnchor>
  <xdr:twoCellAnchor editAs="oneCell">
    <xdr:from>
      <xdr:col>0</xdr:col>
      <xdr:colOff>596741</xdr:colOff>
      <xdr:row>654</xdr:row>
      <xdr:rowOff>63560</xdr:rowOff>
    </xdr:from>
    <xdr:to>
      <xdr:col>0</xdr:col>
      <xdr:colOff>2039779</xdr:colOff>
      <xdr:row>654</xdr:row>
      <xdr:rowOff>713641</xdr:rowOff>
    </xdr:to>
    <xdr:pic>
      <xdr:nvPicPr>
        <xdr:cNvPr id="1309" name="Picture 1308" descr="Insight Picture 1308">
          <a:extLst>
            <a:ext uri="{FF2B5EF4-FFF2-40B4-BE49-F238E27FC236}">
              <a16:creationId xmlns:a16="http://schemas.microsoft.com/office/drawing/2014/main" id="{33649ED1-4290-620E-1791-394EBF14F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>
          <a:off x="596741" y="553107920"/>
          <a:ext cx="1443038" cy="650081"/>
        </a:xfrm>
        <a:prstGeom prst="rect">
          <a:avLst/>
        </a:prstGeom>
      </xdr:spPr>
    </xdr:pic>
    <xdr:clientData/>
  </xdr:twoCellAnchor>
  <xdr:twoCellAnchor editAs="oneCell">
    <xdr:from>
      <xdr:col>0</xdr:col>
      <xdr:colOff>518160</xdr:colOff>
      <xdr:row>655</xdr:row>
      <xdr:rowOff>63351</xdr:rowOff>
    </xdr:from>
    <xdr:to>
      <xdr:col>0</xdr:col>
      <xdr:colOff>2118360</xdr:colOff>
      <xdr:row>655</xdr:row>
      <xdr:rowOff>820589</xdr:rowOff>
    </xdr:to>
    <xdr:pic>
      <xdr:nvPicPr>
        <xdr:cNvPr id="1311" name="Picture 1310" descr="Insight Picture 1310">
          <a:extLst>
            <a:ext uri="{FF2B5EF4-FFF2-40B4-BE49-F238E27FC236}">
              <a16:creationId xmlns:a16="http://schemas.microsoft.com/office/drawing/2014/main" id="{7703863A-D54D-9819-F094-CB9A7A1C3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518160" y="553884951"/>
          <a:ext cx="1600200" cy="757238"/>
        </a:xfrm>
        <a:prstGeom prst="rect">
          <a:avLst/>
        </a:prstGeom>
      </xdr:spPr>
    </xdr:pic>
    <xdr:clientData/>
  </xdr:twoCellAnchor>
  <xdr:twoCellAnchor editAs="oneCell">
    <xdr:from>
      <xdr:col>0</xdr:col>
      <xdr:colOff>511016</xdr:colOff>
      <xdr:row>656</xdr:row>
      <xdr:rowOff>61684</xdr:rowOff>
    </xdr:from>
    <xdr:to>
      <xdr:col>0</xdr:col>
      <xdr:colOff>2125504</xdr:colOff>
      <xdr:row>656</xdr:row>
      <xdr:rowOff>883215</xdr:rowOff>
    </xdr:to>
    <xdr:pic>
      <xdr:nvPicPr>
        <xdr:cNvPr id="1313" name="Picture 1312" descr="Insight Picture 1312">
          <a:extLst>
            <a:ext uri="{FF2B5EF4-FFF2-40B4-BE49-F238E27FC236}">
              <a16:creationId xmlns:a16="http://schemas.microsoft.com/office/drawing/2014/main" id="{2AF280DA-17DF-1C1C-9D17-1136801B5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>
          <a:off x="511016" y="554767204"/>
          <a:ext cx="1614488" cy="821531"/>
        </a:xfrm>
        <a:prstGeom prst="rect">
          <a:avLst/>
        </a:prstGeom>
      </xdr:spPr>
    </xdr:pic>
    <xdr:clientData/>
  </xdr:twoCellAnchor>
  <xdr:twoCellAnchor editAs="oneCell">
    <xdr:from>
      <xdr:col>0</xdr:col>
      <xdr:colOff>793195</xdr:colOff>
      <xdr:row>657</xdr:row>
      <xdr:rowOff>63599</xdr:rowOff>
    </xdr:from>
    <xdr:to>
      <xdr:col>0</xdr:col>
      <xdr:colOff>1843326</xdr:colOff>
      <xdr:row>657</xdr:row>
      <xdr:rowOff>713680</xdr:rowOff>
    </xdr:to>
    <xdr:pic>
      <xdr:nvPicPr>
        <xdr:cNvPr id="1315" name="Picture 1314" descr="Insight Picture 1314">
          <a:extLst>
            <a:ext uri="{FF2B5EF4-FFF2-40B4-BE49-F238E27FC236}">
              <a16:creationId xmlns:a16="http://schemas.microsoft.com/office/drawing/2014/main" id="{54F8E4F6-37C2-EADA-B88A-9C4D81149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>
          <a:off x="793195" y="555713999"/>
          <a:ext cx="1050131" cy="650081"/>
        </a:xfrm>
        <a:prstGeom prst="rect">
          <a:avLst/>
        </a:prstGeom>
      </xdr:spPr>
    </xdr:pic>
    <xdr:clientData/>
  </xdr:twoCellAnchor>
  <xdr:twoCellAnchor editAs="oneCell">
    <xdr:from>
      <xdr:col>0</xdr:col>
      <xdr:colOff>746760</xdr:colOff>
      <xdr:row>658</xdr:row>
      <xdr:rowOff>60265</xdr:rowOff>
    </xdr:from>
    <xdr:to>
      <xdr:col>0</xdr:col>
      <xdr:colOff>1889760</xdr:colOff>
      <xdr:row>658</xdr:row>
      <xdr:rowOff>496034</xdr:rowOff>
    </xdr:to>
    <xdr:pic>
      <xdr:nvPicPr>
        <xdr:cNvPr id="1317" name="Picture 1316" descr="Insight Picture 1316">
          <a:extLst>
            <a:ext uri="{FF2B5EF4-FFF2-40B4-BE49-F238E27FC236}">
              <a16:creationId xmlns:a16="http://schemas.microsoft.com/office/drawing/2014/main" id="{72742604-8262-7F79-2464-0C4470CC1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746760" y="556487905"/>
          <a:ext cx="1143000" cy="435769"/>
        </a:xfrm>
        <a:prstGeom prst="rect">
          <a:avLst/>
        </a:prstGeom>
      </xdr:spPr>
    </xdr:pic>
    <xdr:clientData/>
  </xdr:twoCellAnchor>
  <xdr:twoCellAnchor editAs="oneCell">
    <xdr:from>
      <xdr:col>0</xdr:col>
      <xdr:colOff>718185</xdr:colOff>
      <xdr:row>659</xdr:row>
      <xdr:rowOff>62409</xdr:rowOff>
    </xdr:from>
    <xdr:to>
      <xdr:col>0</xdr:col>
      <xdr:colOff>1918335</xdr:colOff>
      <xdr:row>659</xdr:row>
      <xdr:rowOff>791072</xdr:rowOff>
    </xdr:to>
    <xdr:pic>
      <xdr:nvPicPr>
        <xdr:cNvPr id="1319" name="Picture 1318" descr="Insight Picture 1318">
          <a:extLst>
            <a:ext uri="{FF2B5EF4-FFF2-40B4-BE49-F238E27FC236}">
              <a16:creationId xmlns:a16="http://schemas.microsoft.com/office/drawing/2014/main" id="{C5EC90B8-AFBC-F683-F41A-2AE2FF6E7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>
          <a:off x="718185" y="557046309"/>
          <a:ext cx="1200150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543163</xdr:colOff>
      <xdr:row>660</xdr:row>
      <xdr:rowOff>61903</xdr:rowOff>
    </xdr:from>
    <xdr:to>
      <xdr:col>0</xdr:col>
      <xdr:colOff>2093357</xdr:colOff>
      <xdr:row>660</xdr:row>
      <xdr:rowOff>776278</xdr:rowOff>
    </xdr:to>
    <xdr:pic>
      <xdr:nvPicPr>
        <xdr:cNvPr id="1321" name="Picture 1320" descr="Insight Picture 1320">
          <a:extLst>
            <a:ext uri="{FF2B5EF4-FFF2-40B4-BE49-F238E27FC236}">
              <a16:creationId xmlns:a16="http://schemas.microsoft.com/office/drawing/2014/main" id="{344FD46A-9FA2-1378-F8A9-83B19C467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>
          <a:off x="543163" y="557899243"/>
          <a:ext cx="1550194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521732</xdr:colOff>
      <xdr:row>661</xdr:row>
      <xdr:rowOff>61903</xdr:rowOff>
    </xdr:from>
    <xdr:to>
      <xdr:col>0</xdr:col>
      <xdr:colOff>2114788</xdr:colOff>
      <xdr:row>661</xdr:row>
      <xdr:rowOff>776278</xdr:rowOff>
    </xdr:to>
    <xdr:pic>
      <xdr:nvPicPr>
        <xdr:cNvPr id="1323" name="Picture 1322" descr="Insight Picture 1322">
          <a:extLst>
            <a:ext uri="{FF2B5EF4-FFF2-40B4-BE49-F238E27FC236}">
              <a16:creationId xmlns:a16="http://schemas.microsoft.com/office/drawing/2014/main" id="{36C51793-842D-2DAA-C5D8-7F3B702CC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521732" y="558737443"/>
          <a:ext cx="1593056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789622</xdr:colOff>
      <xdr:row>662</xdr:row>
      <xdr:rowOff>62845</xdr:rowOff>
    </xdr:from>
    <xdr:to>
      <xdr:col>0</xdr:col>
      <xdr:colOff>1846897</xdr:colOff>
      <xdr:row>662</xdr:row>
      <xdr:rowOff>1034395</xdr:rowOff>
    </xdr:to>
    <xdr:pic>
      <xdr:nvPicPr>
        <xdr:cNvPr id="1325" name="Picture 1324" descr="Insight Picture 1324">
          <a:extLst>
            <a:ext uri="{FF2B5EF4-FFF2-40B4-BE49-F238E27FC236}">
              <a16:creationId xmlns:a16="http://schemas.microsoft.com/office/drawing/2014/main" id="{72463BA2-676E-23C9-4EC0-A05A7102E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>
          <a:off x="789622" y="559576585"/>
          <a:ext cx="1057275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621745</xdr:colOff>
      <xdr:row>663</xdr:row>
      <xdr:rowOff>61932</xdr:rowOff>
    </xdr:from>
    <xdr:to>
      <xdr:col>0</xdr:col>
      <xdr:colOff>2014776</xdr:colOff>
      <xdr:row>663</xdr:row>
      <xdr:rowOff>890607</xdr:rowOff>
    </xdr:to>
    <xdr:pic>
      <xdr:nvPicPr>
        <xdr:cNvPr id="1327" name="Picture 1326" descr="Insight Picture 1326">
          <a:extLst>
            <a:ext uri="{FF2B5EF4-FFF2-40B4-BE49-F238E27FC236}">
              <a16:creationId xmlns:a16="http://schemas.microsoft.com/office/drawing/2014/main" id="{C45C7493-4731-1B77-30BA-8CF300895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621745" y="560672952"/>
          <a:ext cx="1393031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657463</xdr:colOff>
      <xdr:row>664</xdr:row>
      <xdr:rowOff>61932</xdr:rowOff>
    </xdr:from>
    <xdr:to>
      <xdr:col>0</xdr:col>
      <xdr:colOff>1979057</xdr:colOff>
      <xdr:row>664</xdr:row>
      <xdr:rowOff>890607</xdr:rowOff>
    </xdr:to>
    <xdr:pic>
      <xdr:nvPicPr>
        <xdr:cNvPr id="1329" name="Picture 1328" descr="Insight Picture 1328">
          <a:extLst>
            <a:ext uri="{FF2B5EF4-FFF2-40B4-BE49-F238E27FC236}">
              <a16:creationId xmlns:a16="http://schemas.microsoft.com/office/drawing/2014/main" id="{FA189828-45FE-215A-5EC4-CED8308B2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>
          <a:off x="657463" y="561625452"/>
          <a:ext cx="1321594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675322</xdr:colOff>
      <xdr:row>665</xdr:row>
      <xdr:rowOff>62627</xdr:rowOff>
    </xdr:from>
    <xdr:to>
      <xdr:col>0</xdr:col>
      <xdr:colOff>1961197</xdr:colOff>
      <xdr:row>665</xdr:row>
      <xdr:rowOff>1027033</xdr:rowOff>
    </xdr:to>
    <xdr:pic>
      <xdr:nvPicPr>
        <xdr:cNvPr id="1331" name="Picture 1330" descr="Insight Picture 1330">
          <a:extLst>
            <a:ext uri="{FF2B5EF4-FFF2-40B4-BE49-F238E27FC236}">
              <a16:creationId xmlns:a16="http://schemas.microsoft.com/office/drawing/2014/main" id="{0AB1243D-0ADE-7241-82F4-9B3815A9D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>
          <a:off x="675322" y="562578647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0</xdr:col>
      <xdr:colOff>557450</xdr:colOff>
      <xdr:row>666</xdr:row>
      <xdr:rowOff>62637</xdr:rowOff>
    </xdr:from>
    <xdr:to>
      <xdr:col>0</xdr:col>
      <xdr:colOff>2079069</xdr:colOff>
      <xdr:row>666</xdr:row>
      <xdr:rowOff>798443</xdr:rowOff>
    </xdr:to>
    <xdr:pic>
      <xdr:nvPicPr>
        <xdr:cNvPr id="1333" name="Picture 1332" descr="Insight Picture 1332">
          <a:extLst>
            <a:ext uri="{FF2B5EF4-FFF2-40B4-BE49-F238E27FC236}">
              <a16:creationId xmlns:a16="http://schemas.microsoft.com/office/drawing/2014/main" id="{A196EF87-FC61-F62C-9D0F-DB497BBBE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>
          <a:off x="557450" y="563668317"/>
          <a:ext cx="1521619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564595</xdr:colOff>
      <xdr:row>667</xdr:row>
      <xdr:rowOff>62647</xdr:rowOff>
    </xdr:from>
    <xdr:to>
      <xdr:col>0</xdr:col>
      <xdr:colOff>2071926</xdr:colOff>
      <xdr:row>667</xdr:row>
      <xdr:rowOff>798453</xdr:rowOff>
    </xdr:to>
    <xdr:pic>
      <xdr:nvPicPr>
        <xdr:cNvPr id="1335" name="Picture 1334" descr="Insight Picture 1334">
          <a:extLst>
            <a:ext uri="{FF2B5EF4-FFF2-40B4-BE49-F238E27FC236}">
              <a16:creationId xmlns:a16="http://schemas.microsoft.com/office/drawing/2014/main" id="{D2767D19-4B68-C1D6-8D45-A0AED39A5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>
          <a:off x="564595" y="564529387"/>
          <a:ext cx="1507331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471726</xdr:colOff>
      <xdr:row>668</xdr:row>
      <xdr:rowOff>60722</xdr:rowOff>
    </xdr:from>
    <xdr:to>
      <xdr:col>0</xdr:col>
      <xdr:colOff>2164795</xdr:colOff>
      <xdr:row>668</xdr:row>
      <xdr:rowOff>853678</xdr:rowOff>
    </xdr:to>
    <xdr:pic>
      <xdr:nvPicPr>
        <xdr:cNvPr id="1337" name="Picture 1336" descr="Insight Picture 1336">
          <a:extLst>
            <a:ext uri="{FF2B5EF4-FFF2-40B4-BE49-F238E27FC236}">
              <a16:creationId xmlns:a16="http://schemas.microsoft.com/office/drawing/2014/main" id="{353DAC81-C5D0-B78D-D00C-F2C25658A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>
          <a:off x="471726" y="565388522"/>
          <a:ext cx="1693069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650320</xdr:colOff>
      <xdr:row>669</xdr:row>
      <xdr:rowOff>63351</xdr:rowOff>
    </xdr:from>
    <xdr:to>
      <xdr:col>0</xdr:col>
      <xdr:colOff>1986201</xdr:colOff>
      <xdr:row>669</xdr:row>
      <xdr:rowOff>934889</xdr:rowOff>
    </xdr:to>
    <xdr:pic>
      <xdr:nvPicPr>
        <xdr:cNvPr id="1339" name="Picture 1338" descr="Insight Picture 1338">
          <a:extLst>
            <a:ext uri="{FF2B5EF4-FFF2-40B4-BE49-F238E27FC236}">
              <a16:creationId xmlns:a16="http://schemas.microsoft.com/office/drawing/2014/main" id="{6F2D774D-553A-F40F-F932-22191BAF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650320" y="566305551"/>
          <a:ext cx="1335881" cy="871538"/>
        </a:xfrm>
        <a:prstGeom prst="rect">
          <a:avLst/>
        </a:prstGeom>
      </xdr:spPr>
    </xdr:pic>
    <xdr:clientData/>
  </xdr:twoCellAnchor>
  <xdr:twoCellAnchor editAs="oneCell">
    <xdr:from>
      <xdr:col>0</xdr:col>
      <xdr:colOff>471726</xdr:colOff>
      <xdr:row>670</xdr:row>
      <xdr:rowOff>62131</xdr:rowOff>
    </xdr:from>
    <xdr:to>
      <xdr:col>0</xdr:col>
      <xdr:colOff>2164795</xdr:colOff>
      <xdr:row>670</xdr:row>
      <xdr:rowOff>897950</xdr:rowOff>
    </xdr:to>
    <xdr:pic>
      <xdr:nvPicPr>
        <xdr:cNvPr id="1341" name="Picture 1340" descr="Insight Picture 1340">
          <a:extLst>
            <a:ext uri="{FF2B5EF4-FFF2-40B4-BE49-F238E27FC236}">
              <a16:creationId xmlns:a16="http://schemas.microsoft.com/office/drawing/2014/main" id="{0ED075BF-F399-827C-10EC-F3DAF8B26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>
          <a:off x="471726" y="567302551"/>
          <a:ext cx="1693069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628888</xdr:colOff>
      <xdr:row>671</xdr:row>
      <xdr:rowOff>60265</xdr:rowOff>
    </xdr:from>
    <xdr:to>
      <xdr:col>0</xdr:col>
      <xdr:colOff>2007632</xdr:colOff>
      <xdr:row>671</xdr:row>
      <xdr:rowOff>838934</xdr:rowOff>
    </xdr:to>
    <xdr:pic>
      <xdr:nvPicPr>
        <xdr:cNvPr id="1343" name="Picture 1342" descr="Insight Picture 1342">
          <a:extLst>
            <a:ext uri="{FF2B5EF4-FFF2-40B4-BE49-F238E27FC236}">
              <a16:creationId xmlns:a16="http://schemas.microsoft.com/office/drawing/2014/main" id="{9B7DE84E-7E83-1A2C-7031-3EAA9C970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628888" y="568260805"/>
          <a:ext cx="1378744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736045</xdr:colOff>
      <xdr:row>672</xdr:row>
      <xdr:rowOff>62409</xdr:rowOff>
    </xdr:from>
    <xdr:to>
      <xdr:col>0</xdr:col>
      <xdr:colOff>1900476</xdr:colOff>
      <xdr:row>672</xdr:row>
      <xdr:rowOff>791072</xdr:rowOff>
    </xdr:to>
    <xdr:pic>
      <xdr:nvPicPr>
        <xdr:cNvPr id="1345" name="Picture 1344" descr="Insight Picture 1344">
          <a:extLst>
            <a:ext uri="{FF2B5EF4-FFF2-40B4-BE49-F238E27FC236}">
              <a16:creationId xmlns:a16="http://schemas.microsoft.com/office/drawing/2014/main" id="{865E55DA-3862-55C7-40B1-5C5447B76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>
          <a:off x="736045" y="569162109"/>
          <a:ext cx="1164431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818198</xdr:colOff>
      <xdr:row>673</xdr:row>
      <xdr:rowOff>61208</xdr:rowOff>
    </xdr:from>
    <xdr:to>
      <xdr:col>0</xdr:col>
      <xdr:colOff>1818323</xdr:colOff>
      <xdr:row>673</xdr:row>
      <xdr:rowOff>1097052</xdr:rowOff>
    </xdr:to>
    <xdr:pic>
      <xdr:nvPicPr>
        <xdr:cNvPr id="1347" name="Picture 1346" descr="Insight Picture 1346">
          <a:extLst>
            <a:ext uri="{FF2B5EF4-FFF2-40B4-BE49-F238E27FC236}">
              <a16:creationId xmlns:a16="http://schemas.microsoft.com/office/drawing/2014/main" id="{151DC105-0981-BEF1-6EC4-7830A7958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818198" y="570014348"/>
          <a:ext cx="1000125" cy="1035844"/>
        </a:xfrm>
        <a:prstGeom prst="rect">
          <a:avLst/>
        </a:prstGeom>
      </xdr:spPr>
    </xdr:pic>
    <xdr:clientData/>
  </xdr:twoCellAnchor>
  <xdr:twoCellAnchor editAs="oneCell">
    <xdr:from>
      <xdr:col>0</xdr:col>
      <xdr:colOff>589597</xdr:colOff>
      <xdr:row>674</xdr:row>
      <xdr:rowOff>62389</xdr:rowOff>
    </xdr:from>
    <xdr:to>
      <xdr:col>0</xdr:col>
      <xdr:colOff>2046922</xdr:colOff>
      <xdr:row>674</xdr:row>
      <xdr:rowOff>791052</xdr:rowOff>
    </xdr:to>
    <xdr:pic>
      <xdr:nvPicPr>
        <xdr:cNvPr id="1349" name="Picture 1348" descr="Insight Picture 1348">
          <a:extLst>
            <a:ext uri="{FF2B5EF4-FFF2-40B4-BE49-F238E27FC236}">
              <a16:creationId xmlns:a16="http://schemas.microsoft.com/office/drawing/2014/main" id="{36730B44-B1F1-1538-4315-5F7397EE6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>
          <a:off x="589597" y="571173769"/>
          <a:ext cx="1457325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400288</xdr:colOff>
      <xdr:row>675</xdr:row>
      <xdr:rowOff>63818</xdr:rowOff>
    </xdr:from>
    <xdr:to>
      <xdr:col>0</xdr:col>
      <xdr:colOff>2236232</xdr:colOff>
      <xdr:row>675</xdr:row>
      <xdr:rowOff>721043</xdr:rowOff>
    </xdr:to>
    <xdr:pic>
      <xdr:nvPicPr>
        <xdr:cNvPr id="1351" name="Picture 1350" descr="Insight Picture 1350">
          <a:extLst>
            <a:ext uri="{FF2B5EF4-FFF2-40B4-BE49-F238E27FC236}">
              <a16:creationId xmlns:a16="http://schemas.microsoft.com/office/drawing/2014/main" id="{775EA081-DFF9-46B9-29A7-72CF700B7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400288" y="572028638"/>
          <a:ext cx="1835944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532447</xdr:colOff>
      <xdr:row>676</xdr:row>
      <xdr:rowOff>61198</xdr:rowOff>
    </xdr:from>
    <xdr:to>
      <xdr:col>0</xdr:col>
      <xdr:colOff>2104072</xdr:colOff>
      <xdr:row>676</xdr:row>
      <xdr:rowOff>982742</xdr:rowOff>
    </xdr:to>
    <xdr:pic>
      <xdr:nvPicPr>
        <xdr:cNvPr id="1353" name="Picture 1352" descr="Insight Picture 1352">
          <a:extLst>
            <a:ext uri="{FF2B5EF4-FFF2-40B4-BE49-F238E27FC236}">
              <a16:creationId xmlns:a16="http://schemas.microsoft.com/office/drawing/2014/main" id="{1F9156BE-F2A2-C348-4DB0-45385348E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532447" y="572810878"/>
          <a:ext cx="1571625" cy="921544"/>
        </a:xfrm>
        <a:prstGeom prst="rect">
          <a:avLst/>
        </a:prstGeom>
      </xdr:spPr>
    </xdr:pic>
    <xdr:clientData/>
  </xdr:twoCellAnchor>
  <xdr:twoCellAnchor editAs="oneCell">
    <xdr:from>
      <xdr:col>0</xdr:col>
      <xdr:colOff>946785</xdr:colOff>
      <xdr:row>677</xdr:row>
      <xdr:rowOff>61188</xdr:rowOff>
    </xdr:from>
    <xdr:to>
      <xdr:col>0</xdr:col>
      <xdr:colOff>1689735</xdr:colOff>
      <xdr:row>677</xdr:row>
      <xdr:rowOff>982732</xdr:rowOff>
    </xdr:to>
    <xdr:pic>
      <xdr:nvPicPr>
        <xdr:cNvPr id="1355" name="Picture 1354" descr="Insight Picture 1354">
          <a:extLst>
            <a:ext uri="{FF2B5EF4-FFF2-40B4-BE49-F238E27FC236}">
              <a16:creationId xmlns:a16="http://schemas.microsoft.com/office/drawing/2014/main" id="{940CE2F8-166E-46C8-14B2-A97AF58A3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>
          <a:off x="946785" y="573854808"/>
          <a:ext cx="742950" cy="921544"/>
        </a:xfrm>
        <a:prstGeom prst="rect">
          <a:avLst/>
        </a:prstGeom>
      </xdr:spPr>
    </xdr:pic>
    <xdr:clientData/>
  </xdr:twoCellAnchor>
  <xdr:twoCellAnchor editAs="oneCell">
    <xdr:from>
      <xdr:col>0</xdr:col>
      <xdr:colOff>882491</xdr:colOff>
      <xdr:row>678</xdr:row>
      <xdr:rowOff>61178</xdr:rowOff>
    </xdr:from>
    <xdr:to>
      <xdr:col>0</xdr:col>
      <xdr:colOff>1754029</xdr:colOff>
      <xdr:row>678</xdr:row>
      <xdr:rowOff>982722</xdr:rowOff>
    </xdr:to>
    <xdr:pic>
      <xdr:nvPicPr>
        <xdr:cNvPr id="1357" name="Picture 1356" descr="Insight Picture 1356">
          <a:extLst>
            <a:ext uri="{FF2B5EF4-FFF2-40B4-BE49-F238E27FC236}">
              <a16:creationId xmlns:a16="http://schemas.microsoft.com/office/drawing/2014/main" id="{CE726BBD-DE37-997D-111A-791997831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882491" y="574898738"/>
          <a:ext cx="871538" cy="921544"/>
        </a:xfrm>
        <a:prstGeom prst="rect">
          <a:avLst/>
        </a:prstGeom>
      </xdr:spPr>
    </xdr:pic>
    <xdr:clientData/>
  </xdr:twoCellAnchor>
  <xdr:twoCellAnchor editAs="oneCell">
    <xdr:from>
      <xdr:col>0</xdr:col>
      <xdr:colOff>853916</xdr:colOff>
      <xdr:row>679</xdr:row>
      <xdr:rowOff>61218</xdr:rowOff>
    </xdr:from>
    <xdr:to>
      <xdr:col>0</xdr:col>
      <xdr:colOff>1782604</xdr:colOff>
      <xdr:row>679</xdr:row>
      <xdr:rowOff>982762</xdr:rowOff>
    </xdr:to>
    <xdr:pic>
      <xdr:nvPicPr>
        <xdr:cNvPr id="1359" name="Picture 1358" descr="Insight Picture 1358">
          <a:extLst>
            <a:ext uri="{FF2B5EF4-FFF2-40B4-BE49-F238E27FC236}">
              <a16:creationId xmlns:a16="http://schemas.microsoft.com/office/drawing/2014/main" id="{9227E706-9385-08FC-25D0-E2F39C9E7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>
          <a:off x="853916" y="575942718"/>
          <a:ext cx="928688" cy="921544"/>
        </a:xfrm>
        <a:prstGeom prst="rect">
          <a:avLst/>
        </a:prstGeom>
      </xdr:spPr>
    </xdr:pic>
    <xdr:clientData/>
  </xdr:twoCellAnchor>
  <xdr:twoCellAnchor editAs="oneCell">
    <xdr:from>
      <xdr:col>0</xdr:col>
      <xdr:colOff>778907</xdr:colOff>
      <xdr:row>680</xdr:row>
      <xdr:rowOff>60265</xdr:rowOff>
    </xdr:from>
    <xdr:to>
      <xdr:col>0</xdr:col>
      <xdr:colOff>1857613</xdr:colOff>
      <xdr:row>680</xdr:row>
      <xdr:rowOff>496034</xdr:rowOff>
    </xdr:to>
    <xdr:pic>
      <xdr:nvPicPr>
        <xdr:cNvPr id="1361" name="Picture 1360" descr="Insight Picture 1360">
          <a:extLst>
            <a:ext uri="{FF2B5EF4-FFF2-40B4-BE49-F238E27FC236}">
              <a16:creationId xmlns:a16="http://schemas.microsoft.com/office/drawing/2014/main" id="{CFD42A7D-DE48-51C7-A085-F638858E3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778907" y="576985705"/>
          <a:ext cx="1078706" cy="435769"/>
        </a:xfrm>
        <a:prstGeom prst="rect">
          <a:avLst/>
        </a:prstGeom>
      </xdr:spPr>
    </xdr:pic>
    <xdr:clientData/>
  </xdr:twoCellAnchor>
  <xdr:twoCellAnchor editAs="oneCell">
    <xdr:from>
      <xdr:col>0</xdr:col>
      <xdr:colOff>700325</xdr:colOff>
      <xdr:row>681</xdr:row>
      <xdr:rowOff>60722</xdr:rowOff>
    </xdr:from>
    <xdr:to>
      <xdr:col>0</xdr:col>
      <xdr:colOff>1936194</xdr:colOff>
      <xdr:row>681</xdr:row>
      <xdr:rowOff>510778</xdr:rowOff>
    </xdr:to>
    <xdr:pic>
      <xdr:nvPicPr>
        <xdr:cNvPr id="1363" name="Picture 1362" descr="Insight Picture 1362">
          <a:extLst>
            <a:ext uri="{FF2B5EF4-FFF2-40B4-BE49-F238E27FC236}">
              <a16:creationId xmlns:a16="http://schemas.microsoft.com/office/drawing/2014/main" id="{CD571F4F-BFAD-F659-73EB-940A62356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>
          <a:off x="700325" y="577542422"/>
          <a:ext cx="1235869" cy="450056"/>
        </a:xfrm>
        <a:prstGeom prst="rect">
          <a:avLst/>
        </a:prstGeom>
      </xdr:spPr>
    </xdr:pic>
    <xdr:clientData/>
  </xdr:twoCellAnchor>
  <xdr:twoCellAnchor editAs="oneCell">
    <xdr:from>
      <xdr:col>0</xdr:col>
      <xdr:colOff>778907</xdr:colOff>
      <xdr:row>682</xdr:row>
      <xdr:rowOff>61664</xdr:rowOff>
    </xdr:from>
    <xdr:to>
      <xdr:col>0</xdr:col>
      <xdr:colOff>1857613</xdr:colOff>
      <xdr:row>682</xdr:row>
      <xdr:rowOff>654595</xdr:rowOff>
    </xdr:to>
    <xdr:pic>
      <xdr:nvPicPr>
        <xdr:cNvPr id="1365" name="Picture 1364" descr="Insight Picture 1364">
          <a:extLst>
            <a:ext uri="{FF2B5EF4-FFF2-40B4-BE49-F238E27FC236}">
              <a16:creationId xmlns:a16="http://schemas.microsoft.com/office/drawing/2014/main" id="{1AF50F0A-3EA8-6885-4614-F23A903E0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778907" y="578114864"/>
          <a:ext cx="1078706" cy="592931"/>
        </a:xfrm>
        <a:prstGeom prst="rect">
          <a:avLst/>
        </a:prstGeom>
      </xdr:spPr>
    </xdr:pic>
    <xdr:clientData/>
  </xdr:twoCellAnchor>
  <xdr:twoCellAnchor editAs="oneCell">
    <xdr:from>
      <xdr:col>0</xdr:col>
      <xdr:colOff>700325</xdr:colOff>
      <xdr:row>683</xdr:row>
      <xdr:rowOff>63579</xdr:rowOff>
    </xdr:from>
    <xdr:to>
      <xdr:col>0</xdr:col>
      <xdr:colOff>1936194</xdr:colOff>
      <xdr:row>683</xdr:row>
      <xdr:rowOff>713660</xdr:rowOff>
    </xdr:to>
    <xdr:pic>
      <xdr:nvPicPr>
        <xdr:cNvPr id="1367" name="Picture 1366" descr="Insight Picture 1366">
          <a:extLst>
            <a:ext uri="{FF2B5EF4-FFF2-40B4-BE49-F238E27FC236}">
              <a16:creationId xmlns:a16="http://schemas.microsoft.com/office/drawing/2014/main" id="{E5C2B219-FDC5-6048-3981-ACBB38F5F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>
          <a:off x="700325" y="578833059"/>
          <a:ext cx="1235869" cy="650081"/>
        </a:xfrm>
        <a:prstGeom prst="rect">
          <a:avLst/>
        </a:prstGeom>
      </xdr:spPr>
    </xdr:pic>
    <xdr:clientData/>
  </xdr:twoCellAnchor>
  <xdr:twoCellAnchor editAs="oneCell">
    <xdr:from>
      <xdr:col>0</xdr:col>
      <xdr:colOff>825341</xdr:colOff>
      <xdr:row>684</xdr:row>
      <xdr:rowOff>63123</xdr:rowOff>
    </xdr:from>
    <xdr:to>
      <xdr:col>0</xdr:col>
      <xdr:colOff>1811179</xdr:colOff>
      <xdr:row>684</xdr:row>
      <xdr:rowOff>698917</xdr:rowOff>
    </xdr:to>
    <xdr:pic>
      <xdr:nvPicPr>
        <xdr:cNvPr id="1369" name="Picture 1368" descr="Insight Picture 1368">
          <a:extLst>
            <a:ext uri="{FF2B5EF4-FFF2-40B4-BE49-F238E27FC236}">
              <a16:creationId xmlns:a16="http://schemas.microsoft.com/office/drawing/2014/main" id="{A3E92223-CDFA-760B-2E56-7BA2F3545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825341" y="579609843"/>
          <a:ext cx="985838" cy="635794"/>
        </a:xfrm>
        <a:prstGeom prst="rect">
          <a:avLst/>
        </a:prstGeom>
      </xdr:spPr>
    </xdr:pic>
    <xdr:clientData/>
  </xdr:twoCellAnchor>
  <xdr:twoCellAnchor editAs="oneCell">
    <xdr:from>
      <xdr:col>0</xdr:col>
      <xdr:colOff>589597</xdr:colOff>
      <xdr:row>685</xdr:row>
      <xdr:rowOff>60246</xdr:rowOff>
    </xdr:from>
    <xdr:to>
      <xdr:col>0</xdr:col>
      <xdr:colOff>2046922</xdr:colOff>
      <xdr:row>685</xdr:row>
      <xdr:rowOff>953215</xdr:rowOff>
    </xdr:to>
    <xdr:pic>
      <xdr:nvPicPr>
        <xdr:cNvPr id="1371" name="Picture 1370" descr="Insight Picture 1370">
          <a:extLst>
            <a:ext uri="{FF2B5EF4-FFF2-40B4-BE49-F238E27FC236}">
              <a16:creationId xmlns:a16="http://schemas.microsoft.com/office/drawing/2014/main" id="{256A0764-80B7-5340-E77E-4409764FD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>
          <a:off x="589597" y="580368966"/>
          <a:ext cx="1457325" cy="892969"/>
        </a:xfrm>
        <a:prstGeom prst="rect">
          <a:avLst/>
        </a:prstGeom>
      </xdr:spPr>
    </xdr:pic>
    <xdr:clientData/>
  </xdr:twoCellAnchor>
  <xdr:twoCellAnchor editAs="oneCell">
    <xdr:from>
      <xdr:col>0</xdr:col>
      <xdr:colOff>518160</xdr:colOff>
      <xdr:row>686</xdr:row>
      <xdr:rowOff>63331</xdr:rowOff>
    </xdr:from>
    <xdr:to>
      <xdr:col>0</xdr:col>
      <xdr:colOff>2118360</xdr:colOff>
      <xdr:row>686</xdr:row>
      <xdr:rowOff>820569</xdr:rowOff>
    </xdr:to>
    <xdr:pic>
      <xdr:nvPicPr>
        <xdr:cNvPr id="1373" name="Picture 1372" descr="Insight Picture 1372">
          <a:extLst>
            <a:ext uri="{FF2B5EF4-FFF2-40B4-BE49-F238E27FC236}">
              <a16:creationId xmlns:a16="http://schemas.microsoft.com/office/drawing/2014/main" id="{D30F9434-6E3B-6370-39DC-A0C0AA4E9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518160" y="581385511"/>
          <a:ext cx="1600200" cy="757238"/>
        </a:xfrm>
        <a:prstGeom prst="rect">
          <a:avLst/>
        </a:prstGeom>
      </xdr:spPr>
    </xdr:pic>
    <xdr:clientData/>
  </xdr:twoCellAnchor>
  <xdr:twoCellAnchor editAs="oneCell">
    <xdr:from>
      <xdr:col>0</xdr:col>
      <xdr:colOff>796766</xdr:colOff>
      <xdr:row>687</xdr:row>
      <xdr:rowOff>61664</xdr:rowOff>
    </xdr:from>
    <xdr:to>
      <xdr:col>0</xdr:col>
      <xdr:colOff>1839754</xdr:colOff>
      <xdr:row>687</xdr:row>
      <xdr:rowOff>997495</xdr:rowOff>
    </xdr:to>
    <xdr:pic>
      <xdr:nvPicPr>
        <xdr:cNvPr id="1375" name="Picture 1374" descr="Insight Picture 1374">
          <a:extLst>
            <a:ext uri="{FF2B5EF4-FFF2-40B4-BE49-F238E27FC236}">
              <a16:creationId xmlns:a16="http://schemas.microsoft.com/office/drawing/2014/main" id="{648FCFB0-4FD5-2AE2-0BA4-E7DBEFF01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>
          <a:off x="796766" y="582267764"/>
          <a:ext cx="1042988" cy="935831"/>
        </a:xfrm>
        <a:prstGeom prst="rect">
          <a:avLst/>
        </a:prstGeom>
      </xdr:spPr>
    </xdr:pic>
    <xdr:clientData/>
  </xdr:twoCellAnchor>
  <xdr:twoCellAnchor editAs="oneCell">
    <xdr:from>
      <xdr:col>0</xdr:col>
      <xdr:colOff>793195</xdr:colOff>
      <xdr:row>688</xdr:row>
      <xdr:rowOff>61694</xdr:rowOff>
    </xdr:from>
    <xdr:to>
      <xdr:col>0</xdr:col>
      <xdr:colOff>1843326</xdr:colOff>
      <xdr:row>688</xdr:row>
      <xdr:rowOff>883225</xdr:rowOff>
    </xdr:to>
    <xdr:pic>
      <xdr:nvPicPr>
        <xdr:cNvPr id="1377" name="Picture 1376" descr="Insight Picture 1376">
          <a:extLst>
            <a:ext uri="{FF2B5EF4-FFF2-40B4-BE49-F238E27FC236}">
              <a16:creationId xmlns:a16="http://schemas.microsoft.com/office/drawing/2014/main" id="{2EBBAAD0-DB8E-D5AF-0E91-5482B1541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>
          <a:off x="793195" y="583326974"/>
          <a:ext cx="1050131" cy="821531"/>
        </a:xfrm>
        <a:prstGeom prst="rect">
          <a:avLst/>
        </a:prstGeom>
      </xdr:spPr>
    </xdr:pic>
    <xdr:clientData/>
  </xdr:twoCellAnchor>
  <xdr:twoCellAnchor editAs="oneCell">
    <xdr:from>
      <xdr:col>0</xdr:col>
      <xdr:colOff>500301</xdr:colOff>
      <xdr:row>689</xdr:row>
      <xdr:rowOff>62865</xdr:rowOff>
    </xdr:from>
    <xdr:to>
      <xdr:col>0</xdr:col>
      <xdr:colOff>2136220</xdr:colOff>
      <xdr:row>689</xdr:row>
      <xdr:rowOff>577215</xdr:rowOff>
    </xdr:to>
    <xdr:pic>
      <xdr:nvPicPr>
        <xdr:cNvPr id="1379" name="Picture 1378" descr="Insight Picture 1378">
          <a:extLst>
            <a:ext uri="{FF2B5EF4-FFF2-40B4-BE49-F238E27FC236}">
              <a16:creationId xmlns:a16="http://schemas.microsoft.com/office/drawing/2014/main" id="{A8837027-E181-E55A-5114-939B45109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>
          <a:off x="500301" y="584273025"/>
          <a:ext cx="1635919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418147</xdr:colOff>
      <xdr:row>690</xdr:row>
      <xdr:rowOff>60265</xdr:rowOff>
    </xdr:from>
    <xdr:to>
      <xdr:col>0</xdr:col>
      <xdr:colOff>2218372</xdr:colOff>
      <xdr:row>690</xdr:row>
      <xdr:rowOff>610334</xdr:rowOff>
    </xdr:to>
    <xdr:pic>
      <xdr:nvPicPr>
        <xdr:cNvPr id="1381" name="Picture 1380" descr="Insight Picture 1380">
          <a:extLst>
            <a:ext uri="{FF2B5EF4-FFF2-40B4-BE49-F238E27FC236}">
              <a16:creationId xmlns:a16="http://schemas.microsoft.com/office/drawing/2014/main" id="{9A7AD7DA-8BC8-B161-4077-2D03C4701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418147" y="584910505"/>
          <a:ext cx="1800225" cy="550069"/>
        </a:xfrm>
        <a:prstGeom prst="rect">
          <a:avLst/>
        </a:prstGeom>
      </xdr:spPr>
    </xdr:pic>
    <xdr:clientData/>
  </xdr:twoCellAnchor>
  <xdr:twoCellAnchor editAs="oneCell">
    <xdr:from>
      <xdr:col>0</xdr:col>
      <xdr:colOff>500301</xdr:colOff>
      <xdr:row>691</xdr:row>
      <xdr:rowOff>61913</xdr:rowOff>
    </xdr:from>
    <xdr:to>
      <xdr:col>0</xdr:col>
      <xdr:colOff>2136220</xdr:colOff>
      <xdr:row>691</xdr:row>
      <xdr:rowOff>776288</xdr:rowOff>
    </xdr:to>
    <xdr:pic>
      <xdr:nvPicPr>
        <xdr:cNvPr id="1383" name="Picture 1382" descr="Insight Picture 1382">
          <a:extLst>
            <a:ext uri="{FF2B5EF4-FFF2-40B4-BE49-F238E27FC236}">
              <a16:creationId xmlns:a16="http://schemas.microsoft.com/office/drawing/2014/main" id="{ECB2E3EC-6F9D-4FA7-F84D-DC0370A55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>
          <a:off x="500301" y="585582713"/>
          <a:ext cx="1635919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511016</xdr:colOff>
      <xdr:row>692</xdr:row>
      <xdr:rowOff>60722</xdr:rowOff>
    </xdr:from>
    <xdr:to>
      <xdr:col>0</xdr:col>
      <xdr:colOff>2125504</xdr:colOff>
      <xdr:row>692</xdr:row>
      <xdr:rowOff>739378</xdr:rowOff>
    </xdr:to>
    <xdr:pic>
      <xdr:nvPicPr>
        <xdr:cNvPr id="1385" name="Picture 1384" descr="Insight Picture 1384">
          <a:extLst>
            <a:ext uri="{FF2B5EF4-FFF2-40B4-BE49-F238E27FC236}">
              <a16:creationId xmlns:a16="http://schemas.microsoft.com/office/drawing/2014/main" id="{508DE112-1A8B-E7DD-41F3-E2F6D8101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511016" y="586419722"/>
          <a:ext cx="1614488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464582</xdr:colOff>
      <xdr:row>693</xdr:row>
      <xdr:rowOff>60226</xdr:rowOff>
    </xdr:from>
    <xdr:to>
      <xdr:col>0</xdr:col>
      <xdr:colOff>2171938</xdr:colOff>
      <xdr:row>693</xdr:row>
      <xdr:rowOff>610295</xdr:rowOff>
    </xdr:to>
    <xdr:pic>
      <xdr:nvPicPr>
        <xdr:cNvPr id="1387" name="Picture 1386" descr="Insight Picture 1386">
          <a:extLst>
            <a:ext uri="{FF2B5EF4-FFF2-40B4-BE49-F238E27FC236}">
              <a16:creationId xmlns:a16="http://schemas.microsoft.com/office/drawing/2014/main" id="{D306721E-534A-F7E5-3651-060F56CB7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>
          <a:off x="464582" y="587219326"/>
          <a:ext cx="1707356" cy="550069"/>
        </a:xfrm>
        <a:prstGeom prst="rect">
          <a:avLst/>
        </a:prstGeom>
      </xdr:spPr>
    </xdr:pic>
    <xdr:clientData/>
  </xdr:twoCellAnchor>
  <xdr:twoCellAnchor editAs="oneCell">
    <xdr:from>
      <xdr:col>0</xdr:col>
      <xdr:colOff>553878</xdr:colOff>
      <xdr:row>694</xdr:row>
      <xdr:rowOff>60732</xdr:rowOff>
    </xdr:from>
    <xdr:to>
      <xdr:col>0</xdr:col>
      <xdr:colOff>2082641</xdr:colOff>
      <xdr:row>694</xdr:row>
      <xdr:rowOff>739388</xdr:rowOff>
    </xdr:to>
    <xdr:pic>
      <xdr:nvPicPr>
        <xdr:cNvPr id="1389" name="Picture 1388" descr="Insight Picture 1388">
          <a:extLst>
            <a:ext uri="{FF2B5EF4-FFF2-40B4-BE49-F238E27FC236}">
              <a16:creationId xmlns:a16="http://schemas.microsoft.com/office/drawing/2014/main" id="{88061F85-7043-64EA-072A-4F39788E3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553878" y="587890392"/>
          <a:ext cx="1528763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536020</xdr:colOff>
      <xdr:row>695</xdr:row>
      <xdr:rowOff>61426</xdr:rowOff>
    </xdr:from>
    <xdr:to>
      <xdr:col>0</xdr:col>
      <xdr:colOff>2100501</xdr:colOff>
      <xdr:row>695</xdr:row>
      <xdr:rowOff>761514</xdr:rowOff>
    </xdr:to>
    <xdr:pic>
      <xdr:nvPicPr>
        <xdr:cNvPr id="1391" name="Picture 1390" descr="Insight Picture 1390">
          <a:extLst>
            <a:ext uri="{FF2B5EF4-FFF2-40B4-BE49-F238E27FC236}">
              <a16:creationId xmlns:a16="http://schemas.microsoft.com/office/drawing/2014/main" id="{E76134DC-FE2F-3778-3D51-B0AF820E9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>
          <a:off x="536020" y="588691186"/>
          <a:ext cx="1564481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586025</xdr:colOff>
      <xdr:row>696</xdr:row>
      <xdr:rowOff>61188</xdr:rowOff>
    </xdr:from>
    <xdr:to>
      <xdr:col>0</xdr:col>
      <xdr:colOff>2050494</xdr:colOff>
      <xdr:row>696</xdr:row>
      <xdr:rowOff>982732</xdr:rowOff>
    </xdr:to>
    <xdr:pic>
      <xdr:nvPicPr>
        <xdr:cNvPr id="1393" name="Picture 1392" descr="Insight Picture 1392">
          <a:extLst>
            <a:ext uri="{FF2B5EF4-FFF2-40B4-BE49-F238E27FC236}">
              <a16:creationId xmlns:a16="http://schemas.microsoft.com/office/drawing/2014/main" id="{16152BBC-01A5-7F4A-B722-364B21431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586025" y="589513908"/>
          <a:ext cx="1464469" cy="921544"/>
        </a:xfrm>
        <a:prstGeom prst="rect">
          <a:avLst/>
        </a:prstGeom>
      </xdr:spPr>
    </xdr:pic>
    <xdr:clientData/>
  </xdr:twoCellAnchor>
  <xdr:twoCellAnchor editAs="oneCell">
    <xdr:from>
      <xdr:col>0</xdr:col>
      <xdr:colOff>607457</xdr:colOff>
      <xdr:row>697</xdr:row>
      <xdr:rowOff>60236</xdr:rowOff>
    </xdr:from>
    <xdr:to>
      <xdr:col>0</xdr:col>
      <xdr:colOff>2029063</xdr:colOff>
      <xdr:row>697</xdr:row>
      <xdr:rowOff>838905</xdr:rowOff>
    </xdr:to>
    <xdr:pic>
      <xdr:nvPicPr>
        <xdr:cNvPr id="1395" name="Picture 1394" descr="Insight Picture 1394">
          <a:extLst>
            <a:ext uri="{FF2B5EF4-FFF2-40B4-BE49-F238E27FC236}">
              <a16:creationId xmlns:a16="http://schemas.microsoft.com/office/drawing/2014/main" id="{CA8E711A-B81B-8C3B-DB59-4951AD32C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>
          <a:off x="607457" y="590556896"/>
          <a:ext cx="1421606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589597</xdr:colOff>
      <xdr:row>698</xdr:row>
      <xdr:rowOff>62379</xdr:rowOff>
    </xdr:from>
    <xdr:to>
      <xdr:col>0</xdr:col>
      <xdr:colOff>2046922</xdr:colOff>
      <xdr:row>698</xdr:row>
      <xdr:rowOff>791042</xdr:rowOff>
    </xdr:to>
    <xdr:pic>
      <xdr:nvPicPr>
        <xdr:cNvPr id="1397" name="Picture 1396" descr="Insight Picture 1396">
          <a:extLst>
            <a:ext uri="{FF2B5EF4-FFF2-40B4-BE49-F238E27FC236}">
              <a16:creationId xmlns:a16="http://schemas.microsoft.com/office/drawing/2014/main" id="{577CCAEC-FFED-32E0-8722-F4016DE44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589597" y="591458199"/>
          <a:ext cx="1457325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750332</xdr:colOff>
      <xdr:row>699</xdr:row>
      <xdr:rowOff>61178</xdr:rowOff>
    </xdr:from>
    <xdr:to>
      <xdr:col>0</xdr:col>
      <xdr:colOff>1886188</xdr:colOff>
      <xdr:row>699</xdr:row>
      <xdr:rowOff>982722</xdr:rowOff>
    </xdr:to>
    <xdr:pic>
      <xdr:nvPicPr>
        <xdr:cNvPr id="1399" name="Picture 1398" descr="Insight Picture 1398">
          <a:extLst>
            <a:ext uri="{FF2B5EF4-FFF2-40B4-BE49-F238E27FC236}">
              <a16:creationId xmlns:a16="http://schemas.microsoft.com/office/drawing/2014/main" id="{ED9ABC52-AAD5-3CBC-D3BB-5466D485F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>
          <a:off x="750332" y="592310438"/>
          <a:ext cx="1135856" cy="921544"/>
        </a:xfrm>
        <a:prstGeom prst="rect">
          <a:avLst/>
        </a:prstGeom>
      </xdr:spPr>
    </xdr:pic>
    <xdr:clientData/>
  </xdr:twoCellAnchor>
  <xdr:twoCellAnchor editAs="oneCell">
    <xdr:from>
      <xdr:col>0</xdr:col>
      <xdr:colOff>750332</xdr:colOff>
      <xdr:row>700</xdr:row>
      <xdr:rowOff>61218</xdr:rowOff>
    </xdr:from>
    <xdr:to>
      <xdr:col>0</xdr:col>
      <xdr:colOff>1886188</xdr:colOff>
      <xdr:row>700</xdr:row>
      <xdr:rowOff>1097062</xdr:rowOff>
    </xdr:to>
    <xdr:pic>
      <xdr:nvPicPr>
        <xdr:cNvPr id="1401" name="Picture 1400" descr="Insight Picture 1400">
          <a:extLst>
            <a:ext uri="{FF2B5EF4-FFF2-40B4-BE49-F238E27FC236}">
              <a16:creationId xmlns:a16="http://schemas.microsoft.com/office/drawing/2014/main" id="{1F318FED-834F-F824-912F-4EFCFFE88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750332" y="593354418"/>
          <a:ext cx="1135856" cy="1035844"/>
        </a:xfrm>
        <a:prstGeom prst="rect">
          <a:avLst/>
        </a:prstGeom>
      </xdr:spPr>
    </xdr:pic>
    <xdr:clientData/>
  </xdr:twoCellAnchor>
  <xdr:twoCellAnchor editAs="oneCell">
    <xdr:from>
      <xdr:col>0</xdr:col>
      <xdr:colOff>882491</xdr:colOff>
      <xdr:row>701</xdr:row>
      <xdr:rowOff>61208</xdr:rowOff>
    </xdr:from>
    <xdr:to>
      <xdr:col>0</xdr:col>
      <xdr:colOff>1754029</xdr:colOff>
      <xdr:row>701</xdr:row>
      <xdr:rowOff>982752</xdr:rowOff>
    </xdr:to>
    <xdr:pic>
      <xdr:nvPicPr>
        <xdr:cNvPr id="1403" name="Picture 1402" descr="Insight Picture 1402">
          <a:extLst>
            <a:ext uri="{FF2B5EF4-FFF2-40B4-BE49-F238E27FC236}">
              <a16:creationId xmlns:a16="http://schemas.microsoft.com/office/drawing/2014/main" id="{53EBE86B-1521-71D7-A1FF-E9F3D40F0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>
          <a:off x="882491" y="594512648"/>
          <a:ext cx="871538" cy="921544"/>
        </a:xfrm>
        <a:prstGeom prst="rect">
          <a:avLst/>
        </a:prstGeom>
      </xdr:spPr>
    </xdr:pic>
    <xdr:clientData/>
  </xdr:twoCellAnchor>
  <xdr:twoCellAnchor editAs="oneCell">
    <xdr:from>
      <xdr:col>0</xdr:col>
      <xdr:colOff>807482</xdr:colOff>
      <xdr:row>702</xdr:row>
      <xdr:rowOff>61198</xdr:rowOff>
    </xdr:from>
    <xdr:to>
      <xdr:col>0</xdr:col>
      <xdr:colOff>1829038</xdr:colOff>
      <xdr:row>702</xdr:row>
      <xdr:rowOff>982742</xdr:rowOff>
    </xdr:to>
    <xdr:pic>
      <xdr:nvPicPr>
        <xdr:cNvPr id="1405" name="Picture 1404" descr="Insight Picture 1404">
          <a:extLst>
            <a:ext uri="{FF2B5EF4-FFF2-40B4-BE49-F238E27FC236}">
              <a16:creationId xmlns:a16="http://schemas.microsoft.com/office/drawing/2014/main" id="{EE848C32-ECB8-FA14-23BE-4DAB0C79E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807482" y="595556578"/>
          <a:ext cx="1021556" cy="921544"/>
        </a:xfrm>
        <a:prstGeom prst="rect">
          <a:avLst/>
        </a:prstGeom>
      </xdr:spPr>
    </xdr:pic>
    <xdr:clientData/>
  </xdr:twoCellAnchor>
  <xdr:twoCellAnchor editAs="oneCell">
    <xdr:from>
      <xdr:col>0</xdr:col>
      <xdr:colOff>700325</xdr:colOff>
      <xdr:row>703</xdr:row>
      <xdr:rowOff>60742</xdr:rowOff>
    </xdr:from>
    <xdr:to>
      <xdr:col>0</xdr:col>
      <xdr:colOff>1936194</xdr:colOff>
      <xdr:row>703</xdr:row>
      <xdr:rowOff>510798</xdr:rowOff>
    </xdr:to>
    <xdr:pic>
      <xdr:nvPicPr>
        <xdr:cNvPr id="1407" name="Picture 1406" descr="Insight Picture 1406">
          <a:extLst>
            <a:ext uri="{FF2B5EF4-FFF2-40B4-BE49-F238E27FC236}">
              <a16:creationId xmlns:a16="http://schemas.microsoft.com/office/drawing/2014/main" id="{D8078EE8-9FE8-493B-E474-C69F33AAC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>
          <a:off x="700325" y="596600062"/>
          <a:ext cx="1235869" cy="450056"/>
        </a:xfrm>
        <a:prstGeom prst="rect">
          <a:avLst/>
        </a:prstGeom>
      </xdr:spPr>
    </xdr:pic>
    <xdr:clientData/>
  </xdr:twoCellAnchor>
  <xdr:twoCellAnchor editAs="oneCell">
    <xdr:from>
      <xdr:col>0</xdr:col>
      <xdr:colOff>825341</xdr:colOff>
      <xdr:row>704</xdr:row>
      <xdr:rowOff>60246</xdr:rowOff>
    </xdr:from>
    <xdr:to>
      <xdr:col>0</xdr:col>
      <xdr:colOff>1811179</xdr:colOff>
      <xdr:row>704</xdr:row>
      <xdr:rowOff>496015</xdr:rowOff>
    </xdr:to>
    <xdr:pic>
      <xdr:nvPicPr>
        <xdr:cNvPr id="1409" name="Picture 1408" descr="Insight Picture 1408">
          <a:extLst>
            <a:ext uri="{FF2B5EF4-FFF2-40B4-BE49-F238E27FC236}">
              <a16:creationId xmlns:a16="http://schemas.microsoft.com/office/drawing/2014/main" id="{9C0530F9-E9B8-4430-D204-92DFB36EF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>
          <a:off x="825341" y="597171066"/>
          <a:ext cx="985838" cy="435769"/>
        </a:xfrm>
        <a:prstGeom prst="rect">
          <a:avLst/>
        </a:prstGeom>
      </xdr:spPr>
    </xdr:pic>
    <xdr:clientData/>
  </xdr:twoCellAnchor>
  <xdr:twoCellAnchor editAs="oneCell">
    <xdr:from>
      <xdr:col>0</xdr:col>
      <xdr:colOff>700325</xdr:colOff>
      <xdr:row>705</xdr:row>
      <xdr:rowOff>63579</xdr:rowOff>
    </xdr:from>
    <xdr:to>
      <xdr:col>0</xdr:col>
      <xdr:colOff>1936194</xdr:colOff>
      <xdr:row>705</xdr:row>
      <xdr:rowOff>713660</xdr:rowOff>
    </xdr:to>
    <xdr:pic>
      <xdr:nvPicPr>
        <xdr:cNvPr id="1411" name="Picture 1410" descr="Insight Picture 1410">
          <a:extLst>
            <a:ext uri="{FF2B5EF4-FFF2-40B4-BE49-F238E27FC236}">
              <a16:creationId xmlns:a16="http://schemas.microsoft.com/office/drawing/2014/main" id="{5C11819A-C53C-4F82-8369-7BFF06373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>
          <a:off x="700325" y="597730659"/>
          <a:ext cx="1235869" cy="650081"/>
        </a:xfrm>
        <a:prstGeom prst="rect">
          <a:avLst/>
        </a:prstGeom>
      </xdr:spPr>
    </xdr:pic>
    <xdr:clientData/>
  </xdr:twoCellAnchor>
  <xdr:twoCellAnchor editAs="oneCell">
    <xdr:from>
      <xdr:col>0</xdr:col>
      <xdr:colOff>589597</xdr:colOff>
      <xdr:row>706</xdr:row>
      <xdr:rowOff>60246</xdr:rowOff>
    </xdr:from>
    <xdr:to>
      <xdr:col>0</xdr:col>
      <xdr:colOff>2046922</xdr:colOff>
      <xdr:row>706</xdr:row>
      <xdr:rowOff>953215</xdr:rowOff>
    </xdr:to>
    <xdr:pic>
      <xdr:nvPicPr>
        <xdr:cNvPr id="1413" name="Picture 1412" descr="Insight Picture 1412">
          <a:extLst>
            <a:ext uri="{FF2B5EF4-FFF2-40B4-BE49-F238E27FC236}">
              <a16:creationId xmlns:a16="http://schemas.microsoft.com/office/drawing/2014/main" id="{83E0DE3A-248D-60D8-5CA9-BDDF220DE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>
          <a:off x="589597" y="598504566"/>
          <a:ext cx="1457325" cy="892969"/>
        </a:xfrm>
        <a:prstGeom prst="rect">
          <a:avLst/>
        </a:prstGeom>
      </xdr:spPr>
    </xdr:pic>
    <xdr:clientData/>
  </xdr:twoCellAnchor>
  <xdr:twoCellAnchor editAs="oneCell">
    <xdr:from>
      <xdr:col>0</xdr:col>
      <xdr:colOff>864632</xdr:colOff>
      <xdr:row>707</xdr:row>
      <xdr:rowOff>61446</xdr:rowOff>
    </xdr:from>
    <xdr:to>
      <xdr:col>0</xdr:col>
      <xdr:colOff>1771888</xdr:colOff>
      <xdr:row>707</xdr:row>
      <xdr:rowOff>761534</xdr:rowOff>
    </xdr:to>
    <xdr:pic>
      <xdr:nvPicPr>
        <xdr:cNvPr id="1415" name="Picture 1414" descr="Insight Picture 1414">
          <a:extLst>
            <a:ext uri="{FF2B5EF4-FFF2-40B4-BE49-F238E27FC236}">
              <a16:creationId xmlns:a16="http://schemas.microsoft.com/office/drawing/2014/main" id="{7DABE1CB-5540-C704-8A66-8C8809B03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>
          <a:off x="864632" y="599519226"/>
          <a:ext cx="907256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496728</xdr:colOff>
      <xdr:row>708</xdr:row>
      <xdr:rowOff>63341</xdr:rowOff>
    </xdr:from>
    <xdr:to>
      <xdr:col>0</xdr:col>
      <xdr:colOff>2139791</xdr:colOff>
      <xdr:row>708</xdr:row>
      <xdr:rowOff>820579</xdr:rowOff>
    </xdr:to>
    <xdr:pic>
      <xdr:nvPicPr>
        <xdr:cNvPr id="1417" name="Picture 1416" descr="Insight Picture 1416">
          <a:extLst>
            <a:ext uri="{FF2B5EF4-FFF2-40B4-BE49-F238E27FC236}">
              <a16:creationId xmlns:a16="http://schemas.microsoft.com/office/drawing/2014/main" id="{59326A91-74AA-C4F1-F150-7CD336CCF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>
          <a:off x="496728" y="600344081"/>
          <a:ext cx="1643063" cy="757238"/>
        </a:xfrm>
        <a:prstGeom prst="rect">
          <a:avLst/>
        </a:prstGeom>
      </xdr:spPr>
    </xdr:pic>
    <xdr:clientData/>
  </xdr:twoCellAnchor>
  <xdr:twoCellAnchor editAs="oneCell">
    <xdr:from>
      <xdr:col>0</xdr:col>
      <xdr:colOff>511016</xdr:colOff>
      <xdr:row>709</xdr:row>
      <xdr:rowOff>60732</xdr:rowOff>
    </xdr:from>
    <xdr:to>
      <xdr:col>0</xdr:col>
      <xdr:colOff>2125504</xdr:colOff>
      <xdr:row>709</xdr:row>
      <xdr:rowOff>739388</xdr:rowOff>
    </xdr:to>
    <xdr:pic>
      <xdr:nvPicPr>
        <xdr:cNvPr id="1419" name="Picture 1418" descr="Insight Picture 1418">
          <a:extLst>
            <a:ext uri="{FF2B5EF4-FFF2-40B4-BE49-F238E27FC236}">
              <a16:creationId xmlns:a16="http://schemas.microsoft.com/office/drawing/2014/main" id="{BA1B7811-8976-774C-3343-601DE6772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>
          <a:off x="511016" y="601225392"/>
          <a:ext cx="1614488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611028</xdr:colOff>
      <xdr:row>710</xdr:row>
      <xdr:rowOff>60732</xdr:rowOff>
    </xdr:from>
    <xdr:to>
      <xdr:col>0</xdr:col>
      <xdr:colOff>2025491</xdr:colOff>
      <xdr:row>710</xdr:row>
      <xdr:rowOff>739388</xdr:rowOff>
    </xdr:to>
    <xdr:pic>
      <xdr:nvPicPr>
        <xdr:cNvPr id="1421" name="Picture 1420" descr="Insight Picture 1420">
          <a:extLst>
            <a:ext uri="{FF2B5EF4-FFF2-40B4-BE49-F238E27FC236}">
              <a16:creationId xmlns:a16="http://schemas.microsoft.com/office/drawing/2014/main" id="{369E9FD0-DAC6-A806-627C-7B54EAE32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>
          <a:off x="611028" y="602025492"/>
          <a:ext cx="1414463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553878</xdr:colOff>
      <xdr:row>711</xdr:row>
      <xdr:rowOff>62369</xdr:rowOff>
    </xdr:from>
    <xdr:to>
      <xdr:col>0</xdr:col>
      <xdr:colOff>2082641</xdr:colOff>
      <xdr:row>711</xdr:row>
      <xdr:rowOff>791032</xdr:rowOff>
    </xdr:to>
    <xdr:pic>
      <xdr:nvPicPr>
        <xdr:cNvPr id="1423" name="Picture 1422" descr="Insight Picture 1422">
          <a:extLst>
            <a:ext uri="{FF2B5EF4-FFF2-40B4-BE49-F238E27FC236}">
              <a16:creationId xmlns:a16="http://schemas.microsoft.com/office/drawing/2014/main" id="{3E24755B-892D-CB80-45FE-89FAAEF31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>
          <a:off x="553878" y="602827229"/>
          <a:ext cx="1528763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568166</xdr:colOff>
      <xdr:row>712</xdr:row>
      <xdr:rowOff>61664</xdr:rowOff>
    </xdr:from>
    <xdr:to>
      <xdr:col>0</xdr:col>
      <xdr:colOff>2068354</xdr:colOff>
      <xdr:row>712</xdr:row>
      <xdr:rowOff>768895</xdr:rowOff>
    </xdr:to>
    <xdr:pic>
      <xdr:nvPicPr>
        <xdr:cNvPr id="1425" name="Picture 1424" descr="Insight Picture 1424">
          <a:extLst>
            <a:ext uri="{FF2B5EF4-FFF2-40B4-BE49-F238E27FC236}">
              <a16:creationId xmlns:a16="http://schemas.microsoft.com/office/drawing/2014/main" id="{742345E3-0143-4EC0-DD35-324FEB528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>
          <a:off x="568166" y="603679964"/>
          <a:ext cx="1500188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503872</xdr:colOff>
      <xdr:row>713</xdr:row>
      <xdr:rowOff>60702</xdr:rowOff>
    </xdr:from>
    <xdr:to>
      <xdr:col>0</xdr:col>
      <xdr:colOff>2132647</xdr:colOff>
      <xdr:row>713</xdr:row>
      <xdr:rowOff>739358</xdr:rowOff>
    </xdr:to>
    <xdr:pic>
      <xdr:nvPicPr>
        <xdr:cNvPr id="1427" name="Picture 1426" descr="Insight Picture 1426">
          <a:extLst>
            <a:ext uri="{FF2B5EF4-FFF2-40B4-BE49-F238E27FC236}">
              <a16:creationId xmlns:a16="http://schemas.microsoft.com/office/drawing/2014/main" id="{70D41DF0-7DB2-8ABD-71F1-BF154E3BB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>
          <a:off x="503872" y="604509582"/>
          <a:ext cx="1628775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843200</xdr:colOff>
      <xdr:row>714</xdr:row>
      <xdr:rowOff>61893</xdr:rowOff>
    </xdr:from>
    <xdr:to>
      <xdr:col>0</xdr:col>
      <xdr:colOff>1793319</xdr:colOff>
      <xdr:row>714</xdr:row>
      <xdr:rowOff>890568</xdr:rowOff>
    </xdr:to>
    <xdr:pic>
      <xdr:nvPicPr>
        <xdr:cNvPr id="1429" name="Picture 1428" descr="Insight Picture 1428">
          <a:extLst>
            <a:ext uri="{FF2B5EF4-FFF2-40B4-BE49-F238E27FC236}">
              <a16:creationId xmlns:a16="http://schemas.microsoft.com/office/drawing/2014/main" id="{D7920FB2-D4E8-84B9-874B-D74B53E62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843200" y="605310873"/>
          <a:ext cx="950119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521732</xdr:colOff>
      <xdr:row>715</xdr:row>
      <xdr:rowOff>61893</xdr:rowOff>
    </xdr:from>
    <xdr:to>
      <xdr:col>0</xdr:col>
      <xdr:colOff>2114788</xdr:colOff>
      <xdr:row>715</xdr:row>
      <xdr:rowOff>890568</xdr:rowOff>
    </xdr:to>
    <xdr:pic>
      <xdr:nvPicPr>
        <xdr:cNvPr id="1431" name="Picture 1430" descr="Insight Picture 1430">
          <a:extLst>
            <a:ext uri="{FF2B5EF4-FFF2-40B4-BE49-F238E27FC236}">
              <a16:creationId xmlns:a16="http://schemas.microsoft.com/office/drawing/2014/main" id="{D8C91650-4FE2-9DE3-E70D-DF50436D2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>
          <a:off x="521732" y="606263373"/>
          <a:ext cx="1593056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450294</xdr:colOff>
      <xdr:row>716</xdr:row>
      <xdr:rowOff>63827</xdr:rowOff>
    </xdr:from>
    <xdr:to>
      <xdr:col>0</xdr:col>
      <xdr:colOff>2186225</xdr:colOff>
      <xdr:row>716</xdr:row>
      <xdr:rowOff>721052</xdr:rowOff>
    </xdr:to>
    <xdr:pic>
      <xdr:nvPicPr>
        <xdr:cNvPr id="1433" name="Picture 1432" descr="Insight Picture 1432">
          <a:extLst>
            <a:ext uri="{FF2B5EF4-FFF2-40B4-BE49-F238E27FC236}">
              <a16:creationId xmlns:a16="http://schemas.microsoft.com/office/drawing/2014/main" id="{2D28C638-8B1B-3F59-DE8F-67850A3E2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450294" y="607217807"/>
          <a:ext cx="1735931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775335</xdr:colOff>
      <xdr:row>717</xdr:row>
      <xdr:rowOff>62151</xdr:rowOff>
    </xdr:from>
    <xdr:to>
      <xdr:col>0</xdr:col>
      <xdr:colOff>1861185</xdr:colOff>
      <xdr:row>717</xdr:row>
      <xdr:rowOff>1012270</xdr:rowOff>
    </xdr:to>
    <xdr:pic>
      <xdr:nvPicPr>
        <xdr:cNvPr id="1435" name="Picture 1434" descr="Insight Picture 1434">
          <a:extLst>
            <a:ext uri="{FF2B5EF4-FFF2-40B4-BE49-F238E27FC236}">
              <a16:creationId xmlns:a16="http://schemas.microsoft.com/office/drawing/2014/main" id="{412DC2FB-9499-602C-31F4-172BBF46F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>
          <a:off x="775335" y="608000991"/>
          <a:ext cx="1085850" cy="950119"/>
        </a:xfrm>
        <a:prstGeom prst="rect">
          <a:avLst/>
        </a:prstGeom>
      </xdr:spPr>
    </xdr:pic>
    <xdr:clientData/>
  </xdr:twoCellAnchor>
  <xdr:twoCellAnchor editAs="oneCell">
    <xdr:from>
      <xdr:col>0</xdr:col>
      <xdr:colOff>550307</xdr:colOff>
      <xdr:row>718</xdr:row>
      <xdr:rowOff>62369</xdr:rowOff>
    </xdr:from>
    <xdr:to>
      <xdr:col>0</xdr:col>
      <xdr:colOff>2086213</xdr:colOff>
      <xdr:row>718</xdr:row>
      <xdr:rowOff>791032</xdr:rowOff>
    </xdr:to>
    <xdr:pic>
      <xdr:nvPicPr>
        <xdr:cNvPr id="1437" name="Picture 1436" descr="Insight Picture 1436">
          <a:extLst>
            <a:ext uri="{FF2B5EF4-FFF2-40B4-BE49-F238E27FC236}">
              <a16:creationId xmlns:a16="http://schemas.microsoft.com/office/drawing/2014/main" id="{58712BCB-8561-6D0F-9186-E6E086C40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550307" y="609075629"/>
          <a:ext cx="1535906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653891</xdr:colOff>
      <xdr:row>719</xdr:row>
      <xdr:rowOff>60226</xdr:rowOff>
    </xdr:from>
    <xdr:to>
      <xdr:col>0</xdr:col>
      <xdr:colOff>1982629</xdr:colOff>
      <xdr:row>719</xdr:row>
      <xdr:rowOff>838895</xdr:rowOff>
    </xdr:to>
    <xdr:pic>
      <xdr:nvPicPr>
        <xdr:cNvPr id="1439" name="Picture 1438" descr="Insight Picture 1438">
          <a:extLst>
            <a:ext uri="{FF2B5EF4-FFF2-40B4-BE49-F238E27FC236}">
              <a16:creationId xmlns:a16="http://schemas.microsoft.com/office/drawing/2014/main" id="{FA41E503-D2A9-E389-751D-00C1EC719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>
          <a:off x="653891" y="609926926"/>
          <a:ext cx="1328738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789622</xdr:colOff>
      <xdr:row>720</xdr:row>
      <xdr:rowOff>63361</xdr:rowOff>
    </xdr:from>
    <xdr:to>
      <xdr:col>0</xdr:col>
      <xdr:colOff>1846897</xdr:colOff>
      <xdr:row>720</xdr:row>
      <xdr:rowOff>820599</xdr:rowOff>
    </xdr:to>
    <xdr:pic>
      <xdr:nvPicPr>
        <xdr:cNvPr id="1441" name="Picture 1440" descr="Insight Picture 1440">
          <a:extLst>
            <a:ext uri="{FF2B5EF4-FFF2-40B4-BE49-F238E27FC236}">
              <a16:creationId xmlns:a16="http://schemas.microsoft.com/office/drawing/2014/main" id="{1D136023-978E-B08B-4430-B28DCD58F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789622" y="610829221"/>
          <a:ext cx="1057275" cy="757238"/>
        </a:xfrm>
        <a:prstGeom prst="rect">
          <a:avLst/>
        </a:prstGeom>
      </xdr:spPr>
    </xdr:pic>
    <xdr:clientData/>
  </xdr:twoCellAnchor>
  <xdr:twoCellAnchor editAs="oneCell">
    <xdr:from>
      <xdr:col>0</xdr:col>
      <xdr:colOff>346710</xdr:colOff>
      <xdr:row>721</xdr:row>
      <xdr:rowOff>63331</xdr:rowOff>
    </xdr:from>
    <xdr:to>
      <xdr:col>0</xdr:col>
      <xdr:colOff>2289810</xdr:colOff>
      <xdr:row>721</xdr:row>
      <xdr:rowOff>934869</xdr:rowOff>
    </xdr:to>
    <xdr:pic>
      <xdr:nvPicPr>
        <xdr:cNvPr id="1443" name="Picture 1442" descr="Insight Picture 1442">
          <a:extLst>
            <a:ext uri="{FF2B5EF4-FFF2-40B4-BE49-F238E27FC236}">
              <a16:creationId xmlns:a16="http://schemas.microsoft.com/office/drawing/2014/main" id="{A866E7AB-92B3-5AA7-1CC0-FF0F3956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>
          <a:off x="346710" y="611713111"/>
          <a:ext cx="1943100" cy="871538"/>
        </a:xfrm>
        <a:prstGeom prst="rect">
          <a:avLst/>
        </a:prstGeom>
      </xdr:spPr>
    </xdr:pic>
    <xdr:clientData/>
  </xdr:twoCellAnchor>
  <xdr:twoCellAnchor editAs="oneCell">
    <xdr:from>
      <xdr:col>0</xdr:col>
      <xdr:colOff>750332</xdr:colOff>
      <xdr:row>722</xdr:row>
      <xdr:rowOff>61218</xdr:rowOff>
    </xdr:from>
    <xdr:to>
      <xdr:col>0</xdr:col>
      <xdr:colOff>1886188</xdr:colOff>
      <xdr:row>722</xdr:row>
      <xdr:rowOff>1097062</xdr:rowOff>
    </xdr:to>
    <xdr:pic>
      <xdr:nvPicPr>
        <xdr:cNvPr id="1445" name="Picture 1444" descr="Insight Picture 1444">
          <a:extLst>
            <a:ext uri="{FF2B5EF4-FFF2-40B4-BE49-F238E27FC236}">
              <a16:creationId xmlns:a16="http://schemas.microsoft.com/office/drawing/2014/main" id="{B5C24E1A-33D5-7579-D53C-F98D55394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750332" y="612709218"/>
          <a:ext cx="1135856" cy="1035844"/>
        </a:xfrm>
        <a:prstGeom prst="rect">
          <a:avLst/>
        </a:prstGeom>
      </xdr:spPr>
    </xdr:pic>
    <xdr:clientData/>
  </xdr:twoCellAnchor>
  <xdr:twoCellAnchor editAs="oneCell">
    <xdr:from>
      <xdr:col>0</xdr:col>
      <xdr:colOff>750332</xdr:colOff>
      <xdr:row>723</xdr:row>
      <xdr:rowOff>61208</xdr:rowOff>
    </xdr:from>
    <xdr:to>
      <xdr:col>0</xdr:col>
      <xdr:colOff>1886188</xdr:colOff>
      <xdr:row>723</xdr:row>
      <xdr:rowOff>982752</xdr:rowOff>
    </xdr:to>
    <xdr:pic>
      <xdr:nvPicPr>
        <xdr:cNvPr id="1447" name="Picture 1446" descr="Insight Picture 1446">
          <a:extLst>
            <a:ext uri="{FF2B5EF4-FFF2-40B4-BE49-F238E27FC236}">
              <a16:creationId xmlns:a16="http://schemas.microsoft.com/office/drawing/2014/main" id="{0C855B55-9F59-8A62-2A4B-DE5557F59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>
          <a:off x="750332" y="613867448"/>
          <a:ext cx="1135856" cy="921544"/>
        </a:xfrm>
        <a:prstGeom prst="rect">
          <a:avLst/>
        </a:prstGeom>
      </xdr:spPr>
    </xdr:pic>
    <xdr:clientData/>
  </xdr:twoCellAnchor>
  <xdr:twoCellAnchor editAs="oneCell">
    <xdr:from>
      <xdr:col>0</xdr:col>
      <xdr:colOff>728900</xdr:colOff>
      <xdr:row>724</xdr:row>
      <xdr:rowOff>61198</xdr:rowOff>
    </xdr:from>
    <xdr:to>
      <xdr:col>0</xdr:col>
      <xdr:colOff>1907619</xdr:colOff>
      <xdr:row>724</xdr:row>
      <xdr:rowOff>982742</xdr:rowOff>
    </xdr:to>
    <xdr:pic>
      <xdr:nvPicPr>
        <xdr:cNvPr id="1449" name="Picture 1448" descr="Insight Picture 1448">
          <a:extLst>
            <a:ext uri="{FF2B5EF4-FFF2-40B4-BE49-F238E27FC236}">
              <a16:creationId xmlns:a16="http://schemas.microsoft.com/office/drawing/2014/main" id="{9D0937DE-DF2C-D8C6-9596-8F3DBC36D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728900" y="614911378"/>
          <a:ext cx="1178719" cy="921544"/>
        </a:xfrm>
        <a:prstGeom prst="rect">
          <a:avLst/>
        </a:prstGeom>
      </xdr:spPr>
    </xdr:pic>
    <xdr:clientData/>
  </xdr:twoCellAnchor>
  <xdr:twoCellAnchor editAs="oneCell">
    <xdr:from>
      <xdr:col>0</xdr:col>
      <xdr:colOff>871775</xdr:colOff>
      <xdr:row>725</xdr:row>
      <xdr:rowOff>60246</xdr:rowOff>
    </xdr:from>
    <xdr:to>
      <xdr:col>0</xdr:col>
      <xdr:colOff>1764744</xdr:colOff>
      <xdr:row>725</xdr:row>
      <xdr:rowOff>496015</xdr:rowOff>
    </xdr:to>
    <xdr:pic>
      <xdr:nvPicPr>
        <xdr:cNvPr id="1451" name="Picture 1450" descr="Insight Picture 1450">
          <a:extLst>
            <a:ext uri="{FF2B5EF4-FFF2-40B4-BE49-F238E27FC236}">
              <a16:creationId xmlns:a16="http://schemas.microsoft.com/office/drawing/2014/main" id="{879BBE0B-5F3D-36D4-258C-9E7C6237F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>
          <a:off x="871775" y="615954366"/>
          <a:ext cx="892969" cy="435769"/>
        </a:xfrm>
        <a:prstGeom prst="rect">
          <a:avLst/>
        </a:prstGeom>
      </xdr:spPr>
    </xdr:pic>
    <xdr:clientData/>
  </xdr:twoCellAnchor>
  <xdr:twoCellAnchor editAs="oneCell">
    <xdr:from>
      <xdr:col>0</xdr:col>
      <xdr:colOff>778907</xdr:colOff>
      <xdr:row>726</xdr:row>
      <xdr:rowOff>60256</xdr:rowOff>
    </xdr:from>
    <xdr:to>
      <xdr:col>0</xdr:col>
      <xdr:colOff>1857613</xdr:colOff>
      <xdr:row>726</xdr:row>
      <xdr:rowOff>496025</xdr:rowOff>
    </xdr:to>
    <xdr:pic>
      <xdr:nvPicPr>
        <xdr:cNvPr id="1453" name="Picture 1452" descr="Insight Picture 1452">
          <a:extLst>
            <a:ext uri="{FF2B5EF4-FFF2-40B4-BE49-F238E27FC236}">
              <a16:creationId xmlns:a16="http://schemas.microsoft.com/office/drawing/2014/main" id="{E0A2D86E-F60E-5BF5-83CA-B2BDB8D93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778907" y="616510636"/>
          <a:ext cx="1078706" cy="435769"/>
        </a:xfrm>
        <a:prstGeom prst="rect">
          <a:avLst/>
        </a:prstGeom>
      </xdr:spPr>
    </xdr:pic>
    <xdr:clientData/>
  </xdr:twoCellAnchor>
  <xdr:twoCellAnchor editAs="oneCell">
    <xdr:from>
      <xdr:col>0</xdr:col>
      <xdr:colOff>764620</xdr:colOff>
      <xdr:row>727</xdr:row>
      <xdr:rowOff>60712</xdr:rowOff>
    </xdr:from>
    <xdr:to>
      <xdr:col>0</xdr:col>
      <xdr:colOff>1871901</xdr:colOff>
      <xdr:row>727</xdr:row>
      <xdr:rowOff>853668</xdr:rowOff>
    </xdr:to>
    <xdr:pic>
      <xdr:nvPicPr>
        <xdr:cNvPr id="1455" name="Picture 1454" descr="Insight Picture 1454">
          <a:extLst>
            <a:ext uri="{FF2B5EF4-FFF2-40B4-BE49-F238E27FC236}">
              <a16:creationId xmlns:a16="http://schemas.microsoft.com/office/drawing/2014/main" id="{970D35B1-FD06-2BB4-D19D-D18250729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>
          <a:off x="764620" y="617067352"/>
          <a:ext cx="1107281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486013</xdr:colOff>
      <xdr:row>728</xdr:row>
      <xdr:rowOff>63589</xdr:rowOff>
    </xdr:from>
    <xdr:to>
      <xdr:col>0</xdr:col>
      <xdr:colOff>2150507</xdr:colOff>
      <xdr:row>728</xdr:row>
      <xdr:rowOff>713670</xdr:rowOff>
    </xdr:to>
    <xdr:pic>
      <xdr:nvPicPr>
        <xdr:cNvPr id="1457" name="Picture 1456" descr="Insight Picture 1456">
          <a:extLst>
            <a:ext uri="{FF2B5EF4-FFF2-40B4-BE49-F238E27FC236}">
              <a16:creationId xmlns:a16="http://schemas.microsoft.com/office/drawing/2014/main" id="{28EACCF6-7062-69F1-506A-2DF2100BC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486013" y="617984629"/>
          <a:ext cx="1664494" cy="650081"/>
        </a:xfrm>
        <a:prstGeom prst="rect">
          <a:avLst/>
        </a:prstGeom>
      </xdr:spPr>
    </xdr:pic>
    <xdr:clientData/>
  </xdr:twoCellAnchor>
  <xdr:twoCellAnchor editAs="oneCell">
    <xdr:from>
      <xdr:col>0</xdr:col>
      <xdr:colOff>646747</xdr:colOff>
      <xdr:row>729</xdr:row>
      <xdr:rowOff>62885</xdr:rowOff>
    </xdr:from>
    <xdr:to>
      <xdr:col>0</xdr:col>
      <xdr:colOff>1989772</xdr:colOff>
      <xdr:row>729</xdr:row>
      <xdr:rowOff>691535</xdr:rowOff>
    </xdr:to>
    <xdr:pic>
      <xdr:nvPicPr>
        <xdr:cNvPr id="1459" name="Picture 1458" descr="Insight Picture 1458">
          <a:extLst>
            <a:ext uri="{FF2B5EF4-FFF2-40B4-BE49-F238E27FC236}">
              <a16:creationId xmlns:a16="http://schemas.microsoft.com/office/drawing/2014/main" id="{F9964D7D-04CD-F17A-4574-3C5320E02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>
          <a:off x="646747" y="618761165"/>
          <a:ext cx="1343025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500301</xdr:colOff>
      <xdr:row>730</xdr:row>
      <xdr:rowOff>61674</xdr:rowOff>
    </xdr:from>
    <xdr:to>
      <xdr:col>0</xdr:col>
      <xdr:colOff>2136220</xdr:colOff>
      <xdr:row>730</xdr:row>
      <xdr:rowOff>883205</xdr:rowOff>
    </xdr:to>
    <xdr:pic>
      <xdr:nvPicPr>
        <xdr:cNvPr id="1461" name="Picture 1460" descr="Insight Picture 1460">
          <a:extLst>
            <a:ext uri="{FF2B5EF4-FFF2-40B4-BE49-F238E27FC236}">
              <a16:creationId xmlns:a16="http://schemas.microsoft.com/office/drawing/2014/main" id="{4B62CCE2-009F-FA04-79F1-9E8B8D75C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500301" y="619514334"/>
          <a:ext cx="1635919" cy="821531"/>
        </a:xfrm>
        <a:prstGeom prst="rect">
          <a:avLst/>
        </a:prstGeom>
      </xdr:spPr>
    </xdr:pic>
    <xdr:clientData/>
  </xdr:twoCellAnchor>
  <xdr:twoCellAnchor editAs="oneCell">
    <xdr:from>
      <xdr:col>0</xdr:col>
      <xdr:colOff>521732</xdr:colOff>
      <xdr:row>731</xdr:row>
      <xdr:rowOff>60265</xdr:rowOff>
    </xdr:from>
    <xdr:to>
      <xdr:col>0</xdr:col>
      <xdr:colOff>2114788</xdr:colOff>
      <xdr:row>731</xdr:row>
      <xdr:rowOff>838934</xdr:rowOff>
    </xdr:to>
    <xdr:pic>
      <xdr:nvPicPr>
        <xdr:cNvPr id="1463" name="Picture 1462" descr="Insight Picture 1462">
          <a:extLst>
            <a:ext uri="{FF2B5EF4-FFF2-40B4-BE49-F238E27FC236}">
              <a16:creationId xmlns:a16="http://schemas.microsoft.com/office/drawing/2014/main" id="{93FD1BE6-CFA1-F403-C699-1038E78B0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>
          <a:off x="521732" y="620457805"/>
          <a:ext cx="1593056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553878</xdr:colOff>
      <xdr:row>732</xdr:row>
      <xdr:rowOff>60226</xdr:rowOff>
    </xdr:from>
    <xdr:to>
      <xdr:col>0</xdr:col>
      <xdr:colOff>2082641</xdr:colOff>
      <xdr:row>732</xdr:row>
      <xdr:rowOff>838895</xdr:rowOff>
    </xdr:to>
    <xdr:pic>
      <xdr:nvPicPr>
        <xdr:cNvPr id="1465" name="Picture 1464" descr="Insight Picture 1464">
          <a:extLst>
            <a:ext uri="{FF2B5EF4-FFF2-40B4-BE49-F238E27FC236}">
              <a16:creationId xmlns:a16="http://schemas.microsoft.com/office/drawing/2014/main" id="{FCE2B687-2FF5-FD09-5BD7-053811CA1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553878" y="621356926"/>
          <a:ext cx="1528763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814625</xdr:colOff>
      <xdr:row>733</xdr:row>
      <xdr:rowOff>63560</xdr:rowOff>
    </xdr:from>
    <xdr:to>
      <xdr:col>0</xdr:col>
      <xdr:colOff>1821894</xdr:colOff>
      <xdr:row>733</xdr:row>
      <xdr:rowOff>713641</xdr:rowOff>
    </xdr:to>
    <xdr:pic>
      <xdr:nvPicPr>
        <xdr:cNvPr id="1467" name="Picture 1466" descr="Insight Picture 1466">
          <a:extLst>
            <a:ext uri="{FF2B5EF4-FFF2-40B4-BE49-F238E27FC236}">
              <a16:creationId xmlns:a16="http://schemas.microsoft.com/office/drawing/2014/main" id="{70D304DC-226A-7D18-76C8-BDB5AFC69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>
          <a:off x="814625" y="622259420"/>
          <a:ext cx="1007269" cy="650081"/>
        </a:xfrm>
        <a:prstGeom prst="rect">
          <a:avLst/>
        </a:prstGeom>
      </xdr:spPr>
    </xdr:pic>
    <xdr:clientData/>
  </xdr:twoCellAnchor>
  <xdr:twoCellAnchor editAs="oneCell">
    <xdr:from>
      <xdr:col>0</xdr:col>
      <xdr:colOff>543163</xdr:colOff>
      <xdr:row>734</xdr:row>
      <xdr:rowOff>62409</xdr:rowOff>
    </xdr:from>
    <xdr:to>
      <xdr:col>0</xdr:col>
      <xdr:colOff>2093357</xdr:colOff>
      <xdr:row>734</xdr:row>
      <xdr:rowOff>791072</xdr:rowOff>
    </xdr:to>
    <xdr:pic>
      <xdr:nvPicPr>
        <xdr:cNvPr id="1469" name="Picture 1468" descr="Insight Picture 1468">
          <a:extLst>
            <a:ext uri="{FF2B5EF4-FFF2-40B4-BE49-F238E27FC236}">
              <a16:creationId xmlns:a16="http://schemas.microsoft.com/office/drawing/2014/main" id="{1036793C-9DAF-A93F-F309-1F9E44E88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>
          <a:off x="543163" y="623035509"/>
          <a:ext cx="1550194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553878</xdr:colOff>
      <xdr:row>735</xdr:row>
      <xdr:rowOff>60960</xdr:rowOff>
    </xdr:from>
    <xdr:to>
      <xdr:col>0</xdr:col>
      <xdr:colOff>2082641</xdr:colOff>
      <xdr:row>735</xdr:row>
      <xdr:rowOff>746760</xdr:rowOff>
    </xdr:to>
    <xdr:pic>
      <xdr:nvPicPr>
        <xdr:cNvPr id="1471" name="Picture 1470" descr="Insight Picture 1470">
          <a:extLst>
            <a:ext uri="{FF2B5EF4-FFF2-40B4-BE49-F238E27FC236}">
              <a16:creationId xmlns:a16="http://schemas.microsoft.com/office/drawing/2014/main" id="{AD946BF0-5807-3F5B-0572-5E609C21C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>
          <a:off x="553878" y="623887500"/>
          <a:ext cx="1528763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739616</xdr:colOff>
      <xdr:row>736</xdr:row>
      <xdr:rowOff>60484</xdr:rowOff>
    </xdr:from>
    <xdr:to>
      <xdr:col>0</xdr:col>
      <xdr:colOff>1896904</xdr:colOff>
      <xdr:row>736</xdr:row>
      <xdr:rowOff>617697</xdr:rowOff>
    </xdr:to>
    <xdr:pic>
      <xdr:nvPicPr>
        <xdr:cNvPr id="1473" name="Picture 1472" descr="Insight Picture 1472">
          <a:extLst>
            <a:ext uri="{FF2B5EF4-FFF2-40B4-BE49-F238E27FC236}">
              <a16:creationId xmlns:a16="http://schemas.microsoft.com/office/drawing/2014/main" id="{6305D31D-657B-6B2F-8BBB-606CA8BC7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739616" y="624694744"/>
          <a:ext cx="1157288" cy="557213"/>
        </a:xfrm>
        <a:prstGeom prst="rect">
          <a:avLst/>
        </a:prstGeom>
      </xdr:spPr>
    </xdr:pic>
    <xdr:clientData/>
  </xdr:twoCellAnchor>
  <xdr:twoCellAnchor editAs="oneCell">
    <xdr:from>
      <xdr:col>0</xdr:col>
      <xdr:colOff>753903</xdr:colOff>
      <xdr:row>737</xdr:row>
      <xdr:rowOff>61903</xdr:rowOff>
    </xdr:from>
    <xdr:to>
      <xdr:col>0</xdr:col>
      <xdr:colOff>1882616</xdr:colOff>
      <xdr:row>737</xdr:row>
      <xdr:rowOff>890578</xdr:rowOff>
    </xdr:to>
    <xdr:pic>
      <xdr:nvPicPr>
        <xdr:cNvPr id="1475" name="Picture 1474" descr="Insight Picture 1474">
          <a:extLst>
            <a:ext uri="{FF2B5EF4-FFF2-40B4-BE49-F238E27FC236}">
              <a16:creationId xmlns:a16="http://schemas.microsoft.com/office/drawing/2014/main" id="{84ACC48B-F119-72C9-5910-153686502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>
          <a:off x="753903" y="625374343"/>
          <a:ext cx="1128713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578882</xdr:colOff>
      <xdr:row>738</xdr:row>
      <xdr:rowOff>62647</xdr:rowOff>
    </xdr:from>
    <xdr:to>
      <xdr:col>0</xdr:col>
      <xdr:colOff>2057638</xdr:colOff>
      <xdr:row>738</xdr:row>
      <xdr:rowOff>798453</xdr:rowOff>
    </xdr:to>
    <xdr:pic>
      <xdr:nvPicPr>
        <xdr:cNvPr id="1477" name="Picture 1476" descr="Insight Picture 1476">
          <a:extLst>
            <a:ext uri="{FF2B5EF4-FFF2-40B4-BE49-F238E27FC236}">
              <a16:creationId xmlns:a16="http://schemas.microsoft.com/office/drawing/2014/main" id="{E4E8C0ED-82EC-E959-2DD0-75AE69831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578882" y="626327587"/>
          <a:ext cx="1478756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746760</xdr:colOff>
      <xdr:row>739</xdr:row>
      <xdr:rowOff>61913</xdr:rowOff>
    </xdr:from>
    <xdr:to>
      <xdr:col>0</xdr:col>
      <xdr:colOff>1889760</xdr:colOff>
      <xdr:row>739</xdr:row>
      <xdr:rowOff>890588</xdr:rowOff>
    </xdr:to>
    <xdr:pic>
      <xdr:nvPicPr>
        <xdr:cNvPr id="1479" name="Picture 1478" descr="Insight Picture 1478">
          <a:extLst>
            <a:ext uri="{FF2B5EF4-FFF2-40B4-BE49-F238E27FC236}">
              <a16:creationId xmlns:a16="http://schemas.microsoft.com/office/drawing/2014/main" id="{0700DE44-0DAD-3648-3F6B-A2E3B799E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>
          <a:off x="746760" y="627187913"/>
          <a:ext cx="114300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643175</xdr:colOff>
      <xdr:row>740</xdr:row>
      <xdr:rowOff>63351</xdr:rowOff>
    </xdr:from>
    <xdr:to>
      <xdr:col>0</xdr:col>
      <xdr:colOff>1993344</xdr:colOff>
      <xdr:row>740</xdr:row>
      <xdr:rowOff>934889</xdr:rowOff>
    </xdr:to>
    <xdr:pic>
      <xdr:nvPicPr>
        <xdr:cNvPr id="1481" name="Picture 1480" descr="Insight Picture 1480">
          <a:extLst>
            <a:ext uri="{FF2B5EF4-FFF2-40B4-BE49-F238E27FC236}">
              <a16:creationId xmlns:a16="http://schemas.microsoft.com/office/drawing/2014/main" id="{838F201D-9A00-2EFD-8EE4-096C57A2C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643175" y="628141851"/>
          <a:ext cx="1350169" cy="871538"/>
        </a:xfrm>
        <a:prstGeom prst="rect">
          <a:avLst/>
        </a:prstGeom>
      </xdr:spPr>
    </xdr:pic>
    <xdr:clientData/>
  </xdr:twoCellAnchor>
  <xdr:twoCellAnchor editAs="oneCell">
    <xdr:from>
      <xdr:col>0</xdr:col>
      <xdr:colOff>450294</xdr:colOff>
      <xdr:row>741</xdr:row>
      <xdr:rowOff>63818</xdr:rowOff>
    </xdr:from>
    <xdr:to>
      <xdr:col>0</xdr:col>
      <xdr:colOff>2186225</xdr:colOff>
      <xdr:row>741</xdr:row>
      <xdr:rowOff>721043</xdr:rowOff>
    </xdr:to>
    <xdr:pic>
      <xdr:nvPicPr>
        <xdr:cNvPr id="1483" name="Picture 1482" descr="Insight Picture 1482">
          <a:extLst>
            <a:ext uri="{FF2B5EF4-FFF2-40B4-BE49-F238E27FC236}">
              <a16:creationId xmlns:a16="http://schemas.microsoft.com/office/drawing/2014/main" id="{59E579AB-2B55-7BE0-BA51-CB0E7C0C7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>
          <a:off x="450294" y="629140538"/>
          <a:ext cx="1735931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628888</xdr:colOff>
      <xdr:row>742</xdr:row>
      <xdr:rowOff>60256</xdr:rowOff>
    </xdr:from>
    <xdr:to>
      <xdr:col>0</xdr:col>
      <xdr:colOff>2007632</xdr:colOff>
      <xdr:row>742</xdr:row>
      <xdr:rowOff>838925</xdr:rowOff>
    </xdr:to>
    <xdr:pic>
      <xdr:nvPicPr>
        <xdr:cNvPr id="1485" name="Picture 1484" descr="Insight Picture 1484">
          <a:extLst>
            <a:ext uri="{FF2B5EF4-FFF2-40B4-BE49-F238E27FC236}">
              <a16:creationId xmlns:a16="http://schemas.microsoft.com/office/drawing/2014/main" id="{FC36FFB7-76AF-4D62-5632-2BE6ABBB6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628888" y="629921836"/>
          <a:ext cx="1378744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821770</xdr:colOff>
      <xdr:row>743</xdr:row>
      <xdr:rowOff>61903</xdr:rowOff>
    </xdr:from>
    <xdr:to>
      <xdr:col>0</xdr:col>
      <xdr:colOff>1814751</xdr:colOff>
      <xdr:row>743</xdr:row>
      <xdr:rowOff>890578</xdr:rowOff>
    </xdr:to>
    <xdr:pic>
      <xdr:nvPicPr>
        <xdr:cNvPr id="1487" name="Picture 1486" descr="Insight Picture 1486">
          <a:extLst>
            <a:ext uri="{FF2B5EF4-FFF2-40B4-BE49-F238E27FC236}">
              <a16:creationId xmlns:a16="http://schemas.microsoft.com/office/drawing/2014/main" id="{28D880A7-9B9E-D1E6-2149-207D15D33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>
          <a:off x="821770" y="630822643"/>
          <a:ext cx="992981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693182</xdr:colOff>
      <xdr:row>744</xdr:row>
      <xdr:rowOff>61456</xdr:rowOff>
    </xdr:from>
    <xdr:to>
      <xdr:col>0</xdr:col>
      <xdr:colOff>1943338</xdr:colOff>
      <xdr:row>744</xdr:row>
      <xdr:rowOff>1104444</xdr:rowOff>
    </xdr:to>
    <xdr:pic>
      <xdr:nvPicPr>
        <xdr:cNvPr id="1489" name="Picture 1488" descr="Insight Picture 1488">
          <a:extLst>
            <a:ext uri="{FF2B5EF4-FFF2-40B4-BE49-F238E27FC236}">
              <a16:creationId xmlns:a16="http://schemas.microsoft.com/office/drawing/2014/main" id="{396019C2-114E-FA30-81C6-800ED7D56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693182" y="631774696"/>
          <a:ext cx="1250156" cy="1042988"/>
        </a:xfrm>
        <a:prstGeom prst="rect">
          <a:avLst/>
        </a:prstGeom>
      </xdr:spPr>
    </xdr:pic>
    <xdr:clientData/>
  </xdr:twoCellAnchor>
  <xdr:twoCellAnchor editAs="oneCell">
    <xdr:from>
      <xdr:col>0</xdr:col>
      <xdr:colOff>850345</xdr:colOff>
      <xdr:row>745</xdr:row>
      <xdr:rowOff>60474</xdr:rowOff>
    </xdr:from>
    <xdr:to>
      <xdr:col>0</xdr:col>
      <xdr:colOff>1786176</xdr:colOff>
      <xdr:row>745</xdr:row>
      <xdr:rowOff>617687</xdr:rowOff>
    </xdr:to>
    <xdr:pic>
      <xdr:nvPicPr>
        <xdr:cNvPr id="1491" name="Picture 1490" descr="Insight Picture 1490">
          <a:extLst>
            <a:ext uri="{FF2B5EF4-FFF2-40B4-BE49-F238E27FC236}">
              <a16:creationId xmlns:a16="http://schemas.microsoft.com/office/drawing/2014/main" id="{3F384176-4A21-EB12-85A2-94AED69A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>
          <a:off x="850345" y="632939574"/>
          <a:ext cx="935831" cy="557213"/>
        </a:xfrm>
        <a:prstGeom prst="rect">
          <a:avLst/>
        </a:prstGeom>
      </xdr:spPr>
    </xdr:pic>
    <xdr:clientData/>
  </xdr:twoCellAnchor>
  <xdr:twoCellAnchor editAs="oneCell">
    <xdr:from>
      <xdr:col>0</xdr:col>
      <xdr:colOff>778907</xdr:colOff>
      <xdr:row>746</xdr:row>
      <xdr:rowOff>63331</xdr:rowOff>
    </xdr:from>
    <xdr:to>
      <xdr:col>0</xdr:col>
      <xdr:colOff>1857613</xdr:colOff>
      <xdr:row>746</xdr:row>
      <xdr:rowOff>591969</xdr:rowOff>
    </xdr:to>
    <xdr:pic>
      <xdr:nvPicPr>
        <xdr:cNvPr id="1493" name="Picture 1492" descr="Insight Picture 1492">
          <a:extLst>
            <a:ext uri="{FF2B5EF4-FFF2-40B4-BE49-F238E27FC236}">
              <a16:creationId xmlns:a16="http://schemas.microsoft.com/office/drawing/2014/main" id="{174CBEE4-59AC-200E-CB3A-DF2DEA50F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778907" y="633620611"/>
          <a:ext cx="1078706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486013</xdr:colOff>
      <xdr:row>747</xdr:row>
      <xdr:rowOff>63351</xdr:rowOff>
    </xdr:from>
    <xdr:to>
      <xdr:col>0</xdr:col>
      <xdr:colOff>2150507</xdr:colOff>
      <xdr:row>747</xdr:row>
      <xdr:rowOff>591989</xdr:rowOff>
    </xdr:to>
    <xdr:pic>
      <xdr:nvPicPr>
        <xdr:cNvPr id="1495" name="Picture 1494" descr="Insight Picture 1494">
          <a:extLst>
            <a:ext uri="{FF2B5EF4-FFF2-40B4-BE49-F238E27FC236}">
              <a16:creationId xmlns:a16="http://schemas.microsoft.com/office/drawing/2014/main" id="{0D5E264E-881D-88C6-79D8-357A4713B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>
          <a:off x="486013" y="634275951"/>
          <a:ext cx="1664494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486013</xdr:colOff>
      <xdr:row>748</xdr:row>
      <xdr:rowOff>63321</xdr:rowOff>
    </xdr:from>
    <xdr:to>
      <xdr:col>0</xdr:col>
      <xdr:colOff>2150507</xdr:colOff>
      <xdr:row>748</xdr:row>
      <xdr:rowOff>591959</xdr:rowOff>
    </xdr:to>
    <xdr:pic>
      <xdr:nvPicPr>
        <xdr:cNvPr id="1497" name="Picture 1496" descr="Insight Picture 1496">
          <a:extLst>
            <a:ext uri="{FF2B5EF4-FFF2-40B4-BE49-F238E27FC236}">
              <a16:creationId xmlns:a16="http://schemas.microsoft.com/office/drawing/2014/main" id="{72AB7824-35CA-6C46-CADF-E99A3591B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486013" y="634931241"/>
          <a:ext cx="1664494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750332</xdr:colOff>
      <xdr:row>749</xdr:row>
      <xdr:rowOff>61208</xdr:rowOff>
    </xdr:from>
    <xdr:to>
      <xdr:col>0</xdr:col>
      <xdr:colOff>1886188</xdr:colOff>
      <xdr:row>749</xdr:row>
      <xdr:rowOff>982752</xdr:rowOff>
    </xdr:to>
    <xdr:pic>
      <xdr:nvPicPr>
        <xdr:cNvPr id="1499" name="Picture 1498" descr="Insight Picture 1498">
          <a:extLst>
            <a:ext uri="{FF2B5EF4-FFF2-40B4-BE49-F238E27FC236}">
              <a16:creationId xmlns:a16="http://schemas.microsoft.com/office/drawing/2014/main" id="{1645E403-F0DE-DA94-D23C-524F32656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>
          <a:off x="750332" y="635584448"/>
          <a:ext cx="1135856" cy="921544"/>
        </a:xfrm>
        <a:prstGeom prst="rect">
          <a:avLst/>
        </a:prstGeom>
      </xdr:spPr>
    </xdr:pic>
    <xdr:clientData/>
  </xdr:twoCellAnchor>
  <xdr:twoCellAnchor editAs="oneCell">
    <xdr:from>
      <xdr:col>0</xdr:col>
      <xdr:colOff>818198</xdr:colOff>
      <xdr:row>750</xdr:row>
      <xdr:rowOff>61446</xdr:rowOff>
    </xdr:from>
    <xdr:to>
      <xdr:col>0</xdr:col>
      <xdr:colOff>1818323</xdr:colOff>
      <xdr:row>750</xdr:row>
      <xdr:rowOff>532934</xdr:rowOff>
    </xdr:to>
    <xdr:pic>
      <xdr:nvPicPr>
        <xdr:cNvPr id="1501" name="Picture 1500" descr="Insight Picture 1500">
          <a:extLst>
            <a:ext uri="{FF2B5EF4-FFF2-40B4-BE49-F238E27FC236}">
              <a16:creationId xmlns:a16="http://schemas.microsoft.com/office/drawing/2014/main" id="{14E060E9-1F27-50AD-87EF-F112B991B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818198" y="636628626"/>
          <a:ext cx="1000125" cy="471488"/>
        </a:xfrm>
        <a:prstGeom prst="rect">
          <a:avLst/>
        </a:prstGeom>
      </xdr:spPr>
    </xdr:pic>
    <xdr:clientData/>
  </xdr:twoCellAnchor>
  <xdr:twoCellAnchor editAs="oneCell">
    <xdr:from>
      <xdr:col>0</xdr:col>
      <xdr:colOff>639603</xdr:colOff>
      <xdr:row>751</xdr:row>
      <xdr:rowOff>60960</xdr:rowOff>
    </xdr:from>
    <xdr:to>
      <xdr:col>0</xdr:col>
      <xdr:colOff>1996916</xdr:colOff>
      <xdr:row>751</xdr:row>
      <xdr:rowOff>1089660</xdr:rowOff>
    </xdr:to>
    <xdr:pic>
      <xdr:nvPicPr>
        <xdr:cNvPr id="1503" name="Picture 1502" descr="Insight Picture 1502">
          <a:extLst>
            <a:ext uri="{FF2B5EF4-FFF2-40B4-BE49-F238E27FC236}">
              <a16:creationId xmlns:a16="http://schemas.microsoft.com/office/drawing/2014/main" id="{1FE86D85-26FE-A6A0-48EA-8995D7508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>
          <a:off x="639603" y="637222500"/>
          <a:ext cx="1357313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293132</xdr:colOff>
      <xdr:row>752</xdr:row>
      <xdr:rowOff>61922</xdr:rowOff>
    </xdr:from>
    <xdr:to>
      <xdr:col>0</xdr:col>
      <xdr:colOff>2343388</xdr:colOff>
      <xdr:row>752</xdr:row>
      <xdr:rowOff>890597</xdr:rowOff>
    </xdr:to>
    <xdr:pic>
      <xdr:nvPicPr>
        <xdr:cNvPr id="1505" name="Picture 1504" descr="Insight Picture 1504">
          <a:extLst>
            <a:ext uri="{FF2B5EF4-FFF2-40B4-BE49-F238E27FC236}">
              <a16:creationId xmlns:a16="http://schemas.microsoft.com/office/drawing/2014/main" id="{2B31B4BE-3542-CEAF-F15E-E503F170E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293132" y="638374082"/>
          <a:ext cx="2050256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689610</xdr:colOff>
      <xdr:row>753</xdr:row>
      <xdr:rowOff>60236</xdr:rowOff>
    </xdr:from>
    <xdr:to>
      <xdr:col>0</xdr:col>
      <xdr:colOff>1946910</xdr:colOff>
      <xdr:row>753</xdr:row>
      <xdr:rowOff>838905</xdr:rowOff>
    </xdr:to>
    <xdr:pic>
      <xdr:nvPicPr>
        <xdr:cNvPr id="1507" name="Picture 1506" descr="Insight Picture 1506">
          <a:extLst>
            <a:ext uri="{FF2B5EF4-FFF2-40B4-BE49-F238E27FC236}">
              <a16:creationId xmlns:a16="http://schemas.microsoft.com/office/drawing/2014/main" id="{567B94B9-091F-2681-E339-996767FC1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>
          <a:off x="689610" y="639324896"/>
          <a:ext cx="1257300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578882</xdr:colOff>
      <xdr:row>754</xdr:row>
      <xdr:rowOff>62627</xdr:rowOff>
    </xdr:from>
    <xdr:to>
      <xdr:col>0</xdr:col>
      <xdr:colOff>2057638</xdr:colOff>
      <xdr:row>754</xdr:row>
      <xdr:rowOff>798433</xdr:rowOff>
    </xdr:to>
    <xdr:pic>
      <xdr:nvPicPr>
        <xdr:cNvPr id="1509" name="Picture 1508" descr="Insight Picture 1508">
          <a:extLst>
            <a:ext uri="{FF2B5EF4-FFF2-40B4-BE49-F238E27FC236}">
              <a16:creationId xmlns:a16="http://schemas.microsoft.com/office/drawing/2014/main" id="{8F00C692-C33B-A011-4010-1F29D8A8F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578882" y="640226447"/>
          <a:ext cx="1478756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693182</xdr:colOff>
      <xdr:row>755</xdr:row>
      <xdr:rowOff>61893</xdr:rowOff>
    </xdr:from>
    <xdr:to>
      <xdr:col>0</xdr:col>
      <xdr:colOff>1943338</xdr:colOff>
      <xdr:row>755</xdr:row>
      <xdr:rowOff>890568</xdr:rowOff>
    </xdr:to>
    <xdr:pic>
      <xdr:nvPicPr>
        <xdr:cNvPr id="1511" name="Picture 1510" descr="Insight Picture 1510">
          <a:extLst>
            <a:ext uri="{FF2B5EF4-FFF2-40B4-BE49-F238E27FC236}">
              <a16:creationId xmlns:a16="http://schemas.microsoft.com/office/drawing/2014/main" id="{B5BD896F-1153-4483-6826-EEA9A60B6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>
          <a:off x="693182" y="641086773"/>
          <a:ext cx="1250156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643175</xdr:colOff>
      <xdr:row>756</xdr:row>
      <xdr:rowOff>62141</xdr:rowOff>
    </xdr:from>
    <xdr:to>
      <xdr:col>0</xdr:col>
      <xdr:colOff>1993344</xdr:colOff>
      <xdr:row>756</xdr:row>
      <xdr:rowOff>897960</xdr:rowOff>
    </xdr:to>
    <xdr:pic>
      <xdr:nvPicPr>
        <xdr:cNvPr id="1513" name="Picture 1512" descr="Insight Picture 1512">
          <a:extLst>
            <a:ext uri="{FF2B5EF4-FFF2-40B4-BE49-F238E27FC236}">
              <a16:creationId xmlns:a16="http://schemas.microsoft.com/office/drawing/2014/main" id="{46FD63C2-AC74-FAC0-96A5-B71A44AA0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643175" y="642039521"/>
          <a:ext cx="1350169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811053</xdr:colOff>
      <xdr:row>757</xdr:row>
      <xdr:rowOff>60722</xdr:rowOff>
    </xdr:from>
    <xdr:to>
      <xdr:col>0</xdr:col>
      <xdr:colOff>1825466</xdr:colOff>
      <xdr:row>757</xdr:row>
      <xdr:rowOff>967978</xdr:rowOff>
    </xdr:to>
    <xdr:pic>
      <xdr:nvPicPr>
        <xdr:cNvPr id="1515" name="Picture 1514" descr="Insight Picture 1514">
          <a:extLst>
            <a:ext uri="{FF2B5EF4-FFF2-40B4-BE49-F238E27FC236}">
              <a16:creationId xmlns:a16="http://schemas.microsoft.com/office/drawing/2014/main" id="{B76521A5-47B4-E024-764B-081A4AC01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>
          <a:off x="811053" y="642998222"/>
          <a:ext cx="1014413" cy="907256"/>
        </a:xfrm>
        <a:prstGeom prst="rect">
          <a:avLst/>
        </a:prstGeom>
      </xdr:spPr>
    </xdr:pic>
    <xdr:clientData/>
  </xdr:twoCellAnchor>
  <xdr:twoCellAnchor editAs="oneCell">
    <xdr:from>
      <xdr:col>0</xdr:col>
      <xdr:colOff>486013</xdr:colOff>
      <xdr:row>758</xdr:row>
      <xdr:rowOff>61913</xdr:rowOff>
    </xdr:from>
    <xdr:to>
      <xdr:col>0</xdr:col>
      <xdr:colOff>2150507</xdr:colOff>
      <xdr:row>758</xdr:row>
      <xdr:rowOff>547688</xdr:rowOff>
    </xdr:to>
    <xdr:pic>
      <xdr:nvPicPr>
        <xdr:cNvPr id="1517" name="Picture 1516" descr="Insight Picture 1516">
          <a:extLst>
            <a:ext uri="{FF2B5EF4-FFF2-40B4-BE49-F238E27FC236}">
              <a16:creationId xmlns:a16="http://schemas.microsoft.com/office/drawing/2014/main" id="{4A39AB4B-9F7F-4461-AC17-D39ECA4FA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486013" y="644028113"/>
          <a:ext cx="1664494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589597</xdr:colOff>
      <xdr:row>759</xdr:row>
      <xdr:rowOff>61218</xdr:rowOff>
    </xdr:from>
    <xdr:to>
      <xdr:col>0</xdr:col>
      <xdr:colOff>2046922</xdr:colOff>
      <xdr:row>759</xdr:row>
      <xdr:rowOff>982762</xdr:rowOff>
    </xdr:to>
    <xdr:pic>
      <xdr:nvPicPr>
        <xdr:cNvPr id="1519" name="Picture 1518" descr="Insight Picture 1518">
          <a:extLst>
            <a:ext uri="{FF2B5EF4-FFF2-40B4-BE49-F238E27FC236}">
              <a16:creationId xmlns:a16="http://schemas.microsoft.com/office/drawing/2014/main" id="{55C23CB5-5566-3A5C-9414-BE8A3916C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>
          <a:off x="589597" y="644637018"/>
          <a:ext cx="1457325" cy="921544"/>
        </a:xfrm>
        <a:prstGeom prst="rect">
          <a:avLst/>
        </a:prstGeom>
      </xdr:spPr>
    </xdr:pic>
    <xdr:clientData/>
  </xdr:twoCellAnchor>
  <xdr:twoCellAnchor editAs="oneCell">
    <xdr:from>
      <xdr:col>0</xdr:col>
      <xdr:colOff>643175</xdr:colOff>
      <xdr:row>760</xdr:row>
      <xdr:rowOff>62151</xdr:rowOff>
    </xdr:from>
    <xdr:to>
      <xdr:col>0</xdr:col>
      <xdr:colOff>1993344</xdr:colOff>
      <xdr:row>760</xdr:row>
      <xdr:rowOff>897970</xdr:rowOff>
    </xdr:to>
    <xdr:pic>
      <xdr:nvPicPr>
        <xdr:cNvPr id="1521" name="Picture 1520" descr="Insight Picture 1520">
          <a:extLst>
            <a:ext uri="{FF2B5EF4-FFF2-40B4-BE49-F238E27FC236}">
              <a16:creationId xmlns:a16="http://schemas.microsoft.com/office/drawing/2014/main" id="{C07B0F3B-CC39-43CB-85BD-6C471C634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643175" y="645681891"/>
          <a:ext cx="1350169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586025</xdr:colOff>
      <xdr:row>761</xdr:row>
      <xdr:rowOff>61178</xdr:rowOff>
    </xdr:from>
    <xdr:to>
      <xdr:col>0</xdr:col>
      <xdr:colOff>2050494</xdr:colOff>
      <xdr:row>761</xdr:row>
      <xdr:rowOff>639822</xdr:rowOff>
    </xdr:to>
    <xdr:pic>
      <xdr:nvPicPr>
        <xdr:cNvPr id="1523" name="Picture 1522" descr="Insight Picture 1522">
          <a:extLst>
            <a:ext uri="{FF2B5EF4-FFF2-40B4-BE49-F238E27FC236}">
              <a16:creationId xmlns:a16="http://schemas.microsoft.com/office/drawing/2014/main" id="{9F636668-D47F-A203-6AAF-D27A79C45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>
          <a:off x="586025" y="646641038"/>
          <a:ext cx="1464469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711041</xdr:colOff>
      <xdr:row>762</xdr:row>
      <xdr:rowOff>61218</xdr:rowOff>
    </xdr:from>
    <xdr:to>
      <xdr:col>0</xdr:col>
      <xdr:colOff>1925479</xdr:colOff>
      <xdr:row>762</xdr:row>
      <xdr:rowOff>982762</xdr:rowOff>
    </xdr:to>
    <xdr:pic>
      <xdr:nvPicPr>
        <xdr:cNvPr id="1525" name="Picture 1524" descr="Insight Picture 1524">
          <a:extLst>
            <a:ext uri="{FF2B5EF4-FFF2-40B4-BE49-F238E27FC236}">
              <a16:creationId xmlns:a16="http://schemas.microsoft.com/office/drawing/2014/main" id="{11C91086-F090-E41A-4EF3-7CA46C9BF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711041" y="647342118"/>
          <a:ext cx="1214438" cy="921544"/>
        </a:xfrm>
        <a:prstGeom prst="rect">
          <a:avLst/>
        </a:prstGeom>
      </xdr:spPr>
    </xdr:pic>
    <xdr:clientData/>
  </xdr:twoCellAnchor>
  <xdr:twoCellAnchor editAs="oneCell">
    <xdr:from>
      <xdr:col>0</xdr:col>
      <xdr:colOff>671750</xdr:colOff>
      <xdr:row>763</xdr:row>
      <xdr:rowOff>60960</xdr:rowOff>
    </xdr:from>
    <xdr:to>
      <xdr:col>0</xdr:col>
      <xdr:colOff>1964769</xdr:colOff>
      <xdr:row>763</xdr:row>
      <xdr:rowOff>1089660</xdr:rowOff>
    </xdr:to>
    <xdr:pic>
      <xdr:nvPicPr>
        <xdr:cNvPr id="1527" name="Picture 1526" descr="Insight Picture 1526">
          <a:extLst>
            <a:ext uri="{FF2B5EF4-FFF2-40B4-BE49-F238E27FC236}">
              <a16:creationId xmlns:a16="http://schemas.microsoft.com/office/drawing/2014/main" id="{1D027D12-08F9-16B6-7557-D192CC984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>
          <a:off x="671750" y="648385800"/>
          <a:ext cx="1293019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732472</xdr:colOff>
      <xdr:row>764</xdr:row>
      <xdr:rowOff>61922</xdr:rowOff>
    </xdr:from>
    <xdr:to>
      <xdr:col>0</xdr:col>
      <xdr:colOff>1904047</xdr:colOff>
      <xdr:row>764</xdr:row>
      <xdr:rowOff>890597</xdr:rowOff>
    </xdr:to>
    <xdr:pic>
      <xdr:nvPicPr>
        <xdr:cNvPr id="1529" name="Picture 1528" descr="Insight Picture 1528">
          <a:extLst>
            <a:ext uri="{FF2B5EF4-FFF2-40B4-BE49-F238E27FC236}">
              <a16:creationId xmlns:a16="http://schemas.microsoft.com/office/drawing/2014/main" id="{56820F95-0807-4EEA-6C1C-A6AC3BECD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732472" y="649537382"/>
          <a:ext cx="1171575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650320</xdr:colOff>
      <xdr:row>765</xdr:row>
      <xdr:rowOff>61922</xdr:rowOff>
    </xdr:from>
    <xdr:to>
      <xdr:col>0</xdr:col>
      <xdr:colOff>1986201</xdr:colOff>
      <xdr:row>765</xdr:row>
      <xdr:rowOff>890597</xdr:rowOff>
    </xdr:to>
    <xdr:pic>
      <xdr:nvPicPr>
        <xdr:cNvPr id="1531" name="Picture 1530" descr="Insight Picture 1530">
          <a:extLst>
            <a:ext uri="{FF2B5EF4-FFF2-40B4-BE49-F238E27FC236}">
              <a16:creationId xmlns:a16="http://schemas.microsoft.com/office/drawing/2014/main" id="{EB2800AF-547E-761C-F00B-375F067A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>
          <a:off x="650320" y="650489882"/>
          <a:ext cx="1335881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739616</xdr:colOff>
      <xdr:row>766</xdr:row>
      <xdr:rowOff>60236</xdr:rowOff>
    </xdr:from>
    <xdr:to>
      <xdr:col>0</xdr:col>
      <xdr:colOff>1896904</xdr:colOff>
      <xdr:row>766</xdr:row>
      <xdr:rowOff>838905</xdr:rowOff>
    </xdr:to>
    <xdr:pic>
      <xdr:nvPicPr>
        <xdr:cNvPr id="1533" name="Picture 1532" descr="Insight Picture 1532">
          <a:extLst>
            <a:ext uri="{FF2B5EF4-FFF2-40B4-BE49-F238E27FC236}">
              <a16:creationId xmlns:a16="http://schemas.microsoft.com/office/drawing/2014/main" id="{CAD7840D-A09B-8E39-B7FE-5601EC485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739616" y="651440696"/>
          <a:ext cx="1157288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496728</xdr:colOff>
      <xdr:row>767</xdr:row>
      <xdr:rowOff>63123</xdr:rowOff>
    </xdr:from>
    <xdr:to>
      <xdr:col>0</xdr:col>
      <xdr:colOff>2139791</xdr:colOff>
      <xdr:row>767</xdr:row>
      <xdr:rowOff>813217</xdr:rowOff>
    </xdr:to>
    <xdr:pic>
      <xdr:nvPicPr>
        <xdr:cNvPr id="1535" name="Picture 1534" descr="Insight Picture 1534">
          <a:extLst>
            <a:ext uri="{FF2B5EF4-FFF2-40B4-BE49-F238E27FC236}">
              <a16:creationId xmlns:a16="http://schemas.microsoft.com/office/drawing/2014/main" id="{F90D242C-0683-F7D4-F6F4-684281DDE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>
          <a:off x="496728" y="652342743"/>
          <a:ext cx="1643063" cy="750094"/>
        </a:xfrm>
        <a:prstGeom prst="rect">
          <a:avLst/>
        </a:prstGeom>
      </xdr:spPr>
    </xdr:pic>
    <xdr:clientData/>
  </xdr:twoCellAnchor>
  <xdr:twoCellAnchor editAs="oneCell">
    <xdr:from>
      <xdr:col>0</xdr:col>
      <xdr:colOff>486013</xdr:colOff>
      <xdr:row>768</xdr:row>
      <xdr:rowOff>63569</xdr:rowOff>
    </xdr:from>
    <xdr:to>
      <xdr:col>0</xdr:col>
      <xdr:colOff>2150507</xdr:colOff>
      <xdr:row>768</xdr:row>
      <xdr:rowOff>713650</xdr:rowOff>
    </xdr:to>
    <xdr:pic>
      <xdr:nvPicPr>
        <xdr:cNvPr id="1537" name="Picture 1536" descr="Insight Picture 1536">
          <a:extLst>
            <a:ext uri="{FF2B5EF4-FFF2-40B4-BE49-F238E27FC236}">
              <a16:creationId xmlns:a16="http://schemas.microsoft.com/office/drawing/2014/main" id="{C5764E5A-281A-9172-8075-8E92E4747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486013" y="653219489"/>
          <a:ext cx="1664494" cy="650081"/>
        </a:xfrm>
        <a:prstGeom prst="rect">
          <a:avLst/>
        </a:prstGeom>
      </xdr:spPr>
    </xdr:pic>
    <xdr:clientData/>
  </xdr:twoCellAnchor>
  <xdr:twoCellAnchor editAs="oneCell">
    <xdr:from>
      <xdr:col>0</xdr:col>
      <xdr:colOff>653891</xdr:colOff>
      <xdr:row>769</xdr:row>
      <xdr:rowOff>63560</xdr:rowOff>
    </xdr:from>
    <xdr:to>
      <xdr:col>0</xdr:col>
      <xdr:colOff>1982629</xdr:colOff>
      <xdr:row>769</xdr:row>
      <xdr:rowOff>1056541</xdr:rowOff>
    </xdr:to>
    <xdr:pic>
      <xdr:nvPicPr>
        <xdr:cNvPr id="1539" name="Picture 1538" descr="Insight Picture 1538">
          <a:extLst>
            <a:ext uri="{FF2B5EF4-FFF2-40B4-BE49-F238E27FC236}">
              <a16:creationId xmlns:a16="http://schemas.microsoft.com/office/drawing/2014/main" id="{41D819FD-FE59-5883-9A39-6EA322041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>
          <a:off x="653891" y="653996720"/>
          <a:ext cx="1328738" cy="992981"/>
        </a:xfrm>
        <a:prstGeom prst="rect">
          <a:avLst/>
        </a:prstGeom>
      </xdr:spPr>
    </xdr:pic>
    <xdr:clientData/>
  </xdr:twoCellAnchor>
  <xdr:twoCellAnchor editAs="oneCell">
    <xdr:from>
      <xdr:col>0</xdr:col>
      <xdr:colOff>771763</xdr:colOff>
      <xdr:row>770</xdr:row>
      <xdr:rowOff>63351</xdr:rowOff>
    </xdr:from>
    <xdr:to>
      <xdr:col>0</xdr:col>
      <xdr:colOff>1864757</xdr:colOff>
      <xdr:row>770</xdr:row>
      <xdr:rowOff>591989</xdr:rowOff>
    </xdr:to>
    <xdr:pic>
      <xdr:nvPicPr>
        <xdr:cNvPr id="1541" name="Picture 1540" descr="Insight Picture 1540">
          <a:extLst>
            <a:ext uri="{FF2B5EF4-FFF2-40B4-BE49-F238E27FC236}">
              <a16:creationId xmlns:a16="http://schemas.microsoft.com/office/drawing/2014/main" id="{DAF13028-4DA8-5FE7-B6C5-0C97CDEB2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>
          <a:off x="771763" y="655116651"/>
          <a:ext cx="1092994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557450</xdr:colOff>
      <xdr:row>771</xdr:row>
      <xdr:rowOff>61188</xdr:rowOff>
    </xdr:from>
    <xdr:to>
      <xdr:col>0</xdr:col>
      <xdr:colOff>2079069</xdr:colOff>
      <xdr:row>771</xdr:row>
      <xdr:rowOff>1097032</xdr:rowOff>
    </xdr:to>
    <xdr:pic>
      <xdr:nvPicPr>
        <xdr:cNvPr id="1543" name="Picture 1542" descr="Insight Picture 1542">
          <a:extLst>
            <a:ext uri="{FF2B5EF4-FFF2-40B4-BE49-F238E27FC236}">
              <a16:creationId xmlns:a16="http://schemas.microsoft.com/office/drawing/2014/main" id="{922AB150-E2FA-E165-7EF9-B23DDB33C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>
          <a:off x="557450" y="655769808"/>
          <a:ext cx="1521619" cy="1035844"/>
        </a:xfrm>
        <a:prstGeom prst="rect">
          <a:avLst/>
        </a:prstGeom>
      </xdr:spPr>
    </xdr:pic>
    <xdr:clientData/>
  </xdr:twoCellAnchor>
  <xdr:twoCellAnchor editAs="oneCell">
    <xdr:from>
      <xdr:col>0</xdr:col>
      <xdr:colOff>750332</xdr:colOff>
      <xdr:row>772</xdr:row>
      <xdr:rowOff>62865</xdr:rowOff>
    </xdr:from>
    <xdr:to>
      <xdr:col>0</xdr:col>
      <xdr:colOff>1886188</xdr:colOff>
      <xdr:row>772</xdr:row>
      <xdr:rowOff>805815</xdr:rowOff>
    </xdr:to>
    <xdr:pic>
      <xdr:nvPicPr>
        <xdr:cNvPr id="1545" name="Picture 1544" descr="Insight Picture 1544">
          <a:extLst>
            <a:ext uri="{FF2B5EF4-FFF2-40B4-BE49-F238E27FC236}">
              <a16:creationId xmlns:a16="http://schemas.microsoft.com/office/drawing/2014/main" id="{041A0D36-F2C2-DBF5-0E02-E3FC2CA99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>
          <a:off x="750332" y="656929725"/>
          <a:ext cx="1135856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861060</xdr:colOff>
      <xdr:row>773</xdr:row>
      <xdr:rowOff>63589</xdr:rowOff>
    </xdr:from>
    <xdr:to>
      <xdr:col>0</xdr:col>
      <xdr:colOff>1775460</xdr:colOff>
      <xdr:row>773</xdr:row>
      <xdr:rowOff>942270</xdr:rowOff>
    </xdr:to>
    <xdr:pic>
      <xdr:nvPicPr>
        <xdr:cNvPr id="1547" name="Picture 1546" descr="Insight Picture 1546">
          <a:extLst>
            <a:ext uri="{FF2B5EF4-FFF2-40B4-BE49-F238E27FC236}">
              <a16:creationId xmlns:a16="http://schemas.microsoft.com/office/drawing/2014/main" id="{111E22AA-3960-0D79-43AB-2C2CF0866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>
          <a:off x="861060" y="657799129"/>
          <a:ext cx="914400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550307</xdr:colOff>
      <xdr:row>774</xdr:row>
      <xdr:rowOff>60950</xdr:rowOff>
    </xdr:from>
    <xdr:to>
      <xdr:col>0</xdr:col>
      <xdr:colOff>2086213</xdr:colOff>
      <xdr:row>774</xdr:row>
      <xdr:rowOff>1089650</xdr:rowOff>
    </xdr:to>
    <xdr:pic>
      <xdr:nvPicPr>
        <xdr:cNvPr id="1549" name="Picture 1548" descr="Insight Picture 1548">
          <a:extLst>
            <a:ext uri="{FF2B5EF4-FFF2-40B4-BE49-F238E27FC236}">
              <a16:creationId xmlns:a16="http://schemas.microsoft.com/office/drawing/2014/main" id="{58BB1271-E518-3524-39FB-9AACC3C82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>
          <a:off x="550307" y="658802330"/>
          <a:ext cx="1535906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732472</xdr:colOff>
      <xdr:row>775</xdr:row>
      <xdr:rowOff>62161</xdr:rowOff>
    </xdr:from>
    <xdr:to>
      <xdr:col>0</xdr:col>
      <xdr:colOff>1904047</xdr:colOff>
      <xdr:row>775</xdr:row>
      <xdr:rowOff>897980</xdr:rowOff>
    </xdr:to>
    <xdr:pic>
      <xdr:nvPicPr>
        <xdr:cNvPr id="1551" name="Picture 1550" descr="Insight Picture 1550">
          <a:extLst>
            <a:ext uri="{FF2B5EF4-FFF2-40B4-BE49-F238E27FC236}">
              <a16:creationId xmlns:a16="http://schemas.microsoft.com/office/drawing/2014/main" id="{99F3E1CC-2C0A-E5D8-C891-A03577CFE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>
          <a:off x="732472" y="659954161"/>
          <a:ext cx="1171575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575310</xdr:colOff>
      <xdr:row>776</xdr:row>
      <xdr:rowOff>60246</xdr:rowOff>
    </xdr:from>
    <xdr:to>
      <xdr:col>0</xdr:col>
      <xdr:colOff>2061210</xdr:colOff>
      <xdr:row>776</xdr:row>
      <xdr:rowOff>838915</xdr:rowOff>
    </xdr:to>
    <xdr:pic>
      <xdr:nvPicPr>
        <xdr:cNvPr id="1553" name="Picture 1552" descr="Insight Picture 1552">
          <a:extLst>
            <a:ext uri="{FF2B5EF4-FFF2-40B4-BE49-F238E27FC236}">
              <a16:creationId xmlns:a16="http://schemas.microsoft.com/office/drawing/2014/main" id="{AE9D075D-68DF-013D-B828-75BD8DDAC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>
          <a:off x="575310" y="660912366"/>
          <a:ext cx="1485900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493157</xdr:colOff>
      <xdr:row>777</xdr:row>
      <xdr:rowOff>61198</xdr:rowOff>
    </xdr:from>
    <xdr:to>
      <xdr:col>0</xdr:col>
      <xdr:colOff>2143363</xdr:colOff>
      <xdr:row>777</xdr:row>
      <xdr:rowOff>754142</xdr:rowOff>
    </xdr:to>
    <xdr:pic>
      <xdr:nvPicPr>
        <xdr:cNvPr id="1555" name="Picture 1554" descr="Insight Picture 1554">
          <a:extLst>
            <a:ext uri="{FF2B5EF4-FFF2-40B4-BE49-F238E27FC236}">
              <a16:creationId xmlns:a16="http://schemas.microsoft.com/office/drawing/2014/main" id="{86F8EA95-52DF-B6AF-CABC-73DDC6D8E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>
          <a:off x="493157" y="661812478"/>
          <a:ext cx="1650206" cy="692944"/>
        </a:xfrm>
        <a:prstGeom prst="rect">
          <a:avLst/>
        </a:prstGeom>
      </xdr:spPr>
    </xdr:pic>
    <xdr:clientData/>
  </xdr:twoCellAnchor>
  <xdr:twoCellAnchor editAs="oneCell">
    <xdr:from>
      <xdr:col>0</xdr:col>
      <xdr:colOff>450294</xdr:colOff>
      <xdr:row>778</xdr:row>
      <xdr:rowOff>62627</xdr:rowOff>
    </xdr:from>
    <xdr:to>
      <xdr:col>0</xdr:col>
      <xdr:colOff>2186225</xdr:colOff>
      <xdr:row>778</xdr:row>
      <xdr:rowOff>569833</xdr:rowOff>
    </xdr:to>
    <xdr:pic>
      <xdr:nvPicPr>
        <xdr:cNvPr id="1557" name="Picture 1556" descr="Insight Picture 1556">
          <a:extLst>
            <a:ext uri="{FF2B5EF4-FFF2-40B4-BE49-F238E27FC236}">
              <a16:creationId xmlns:a16="http://schemas.microsoft.com/office/drawing/2014/main" id="{E75F1E19-AC8C-0F5D-7E6F-AD97EB54A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>
          <a:off x="450294" y="662629247"/>
          <a:ext cx="1735931" cy="507206"/>
        </a:xfrm>
        <a:prstGeom prst="rect">
          <a:avLst/>
        </a:prstGeom>
      </xdr:spPr>
    </xdr:pic>
    <xdr:clientData/>
  </xdr:twoCellAnchor>
  <xdr:twoCellAnchor editAs="oneCell">
    <xdr:from>
      <xdr:col>0</xdr:col>
      <xdr:colOff>739616</xdr:colOff>
      <xdr:row>779</xdr:row>
      <xdr:rowOff>63827</xdr:rowOff>
    </xdr:from>
    <xdr:to>
      <xdr:col>0</xdr:col>
      <xdr:colOff>1896904</xdr:colOff>
      <xdr:row>779</xdr:row>
      <xdr:rowOff>721052</xdr:rowOff>
    </xdr:to>
    <xdr:pic>
      <xdr:nvPicPr>
        <xdr:cNvPr id="1559" name="Picture 1558" descr="Insight Picture 1558">
          <a:extLst>
            <a:ext uri="{FF2B5EF4-FFF2-40B4-BE49-F238E27FC236}">
              <a16:creationId xmlns:a16="http://schemas.microsoft.com/office/drawing/2014/main" id="{6F89FA30-413A-A4C4-C20E-5135BD3D2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>
          <a:off x="739616" y="663262907"/>
          <a:ext cx="1157288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957500</xdr:colOff>
      <xdr:row>780</xdr:row>
      <xdr:rowOff>61208</xdr:rowOff>
    </xdr:from>
    <xdr:to>
      <xdr:col>0</xdr:col>
      <xdr:colOff>1679019</xdr:colOff>
      <xdr:row>780</xdr:row>
      <xdr:rowOff>982752</xdr:rowOff>
    </xdr:to>
    <xdr:pic>
      <xdr:nvPicPr>
        <xdr:cNvPr id="1561" name="Picture 1560" descr="Insight Picture 1560">
          <a:extLst>
            <a:ext uri="{FF2B5EF4-FFF2-40B4-BE49-F238E27FC236}">
              <a16:creationId xmlns:a16="http://schemas.microsoft.com/office/drawing/2014/main" id="{15BA2FDB-B6E4-0E40-49DE-0C95C94CC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>
          <a:off x="957500" y="664045148"/>
          <a:ext cx="721519" cy="921544"/>
        </a:xfrm>
        <a:prstGeom prst="rect">
          <a:avLst/>
        </a:prstGeom>
      </xdr:spPr>
    </xdr:pic>
    <xdr:clientData/>
  </xdr:twoCellAnchor>
  <xdr:twoCellAnchor editAs="oneCell">
    <xdr:from>
      <xdr:col>0</xdr:col>
      <xdr:colOff>957500</xdr:colOff>
      <xdr:row>781</xdr:row>
      <xdr:rowOff>63579</xdr:rowOff>
    </xdr:from>
    <xdr:to>
      <xdr:col>0</xdr:col>
      <xdr:colOff>1679019</xdr:colOff>
      <xdr:row>781</xdr:row>
      <xdr:rowOff>942260</xdr:rowOff>
    </xdr:to>
    <xdr:pic>
      <xdr:nvPicPr>
        <xdr:cNvPr id="1563" name="Picture 1562" descr="Insight Picture 1562">
          <a:extLst>
            <a:ext uri="{FF2B5EF4-FFF2-40B4-BE49-F238E27FC236}">
              <a16:creationId xmlns:a16="http://schemas.microsoft.com/office/drawing/2014/main" id="{227EF5F1-FE22-0F52-A5A2-FFB53AA51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>
          <a:off x="957500" y="665091459"/>
          <a:ext cx="721519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521732</xdr:colOff>
      <xdr:row>782</xdr:row>
      <xdr:rowOff>60246</xdr:rowOff>
    </xdr:from>
    <xdr:to>
      <xdr:col>0</xdr:col>
      <xdr:colOff>2114788</xdr:colOff>
      <xdr:row>782</xdr:row>
      <xdr:rowOff>838915</xdr:rowOff>
    </xdr:to>
    <xdr:pic>
      <xdr:nvPicPr>
        <xdr:cNvPr id="1565" name="Picture 1564" descr="Insight Picture 1564">
          <a:extLst>
            <a:ext uri="{FF2B5EF4-FFF2-40B4-BE49-F238E27FC236}">
              <a16:creationId xmlns:a16="http://schemas.microsoft.com/office/drawing/2014/main" id="{45D7CDB2-1577-CC37-E74B-22BA6B14C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>
          <a:off x="521732" y="666093966"/>
          <a:ext cx="1593056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714613</xdr:colOff>
      <xdr:row>783</xdr:row>
      <xdr:rowOff>62885</xdr:rowOff>
    </xdr:from>
    <xdr:to>
      <xdr:col>0</xdr:col>
      <xdr:colOff>1921907</xdr:colOff>
      <xdr:row>783</xdr:row>
      <xdr:rowOff>920135</xdr:rowOff>
    </xdr:to>
    <xdr:pic>
      <xdr:nvPicPr>
        <xdr:cNvPr id="1567" name="Picture 1566" descr="Insight Picture 1566">
          <a:extLst>
            <a:ext uri="{FF2B5EF4-FFF2-40B4-BE49-F238E27FC236}">
              <a16:creationId xmlns:a16="http://schemas.microsoft.com/office/drawing/2014/main" id="{1BEB8C35-B29F-E3B9-C706-03A5D1FC9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>
          <a:off x="714613" y="666995765"/>
          <a:ext cx="1207294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514588</xdr:colOff>
      <xdr:row>784</xdr:row>
      <xdr:rowOff>61674</xdr:rowOff>
    </xdr:from>
    <xdr:to>
      <xdr:col>0</xdr:col>
      <xdr:colOff>2121932</xdr:colOff>
      <xdr:row>784</xdr:row>
      <xdr:rowOff>654605</xdr:rowOff>
    </xdr:to>
    <xdr:pic>
      <xdr:nvPicPr>
        <xdr:cNvPr id="1569" name="Picture 1568" descr="Insight Picture 1568">
          <a:extLst>
            <a:ext uri="{FF2B5EF4-FFF2-40B4-BE49-F238E27FC236}">
              <a16:creationId xmlns:a16="http://schemas.microsoft.com/office/drawing/2014/main" id="{B183DB3D-5FA8-9B87-4763-196C57927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>
          <a:off x="514588" y="667977534"/>
          <a:ext cx="1607344" cy="592931"/>
        </a:xfrm>
        <a:prstGeom prst="rect">
          <a:avLst/>
        </a:prstGeom>
      </xdr:spPr>
    </xdr:pic>
    <xdr:clientData/>
  </xdr:twoCellAnchor>
  <xdr:twoCellAnchor editAs="oneCell">
    <xdr:from>
      <xdr:col>0</xdr:col>
      <xdr:colOff>739616</xdr:colOff>
      <xdr:row>785</xdr:row>
      <xdr:rowOff>61208</xdr:rowOff>
    </xdr:from>
    <xdr:to>
      <xdr:col>0</xdr:col>
      <xdr:colOff>1896904</xdr:colOff>
      <xdr:row>785</xdr:row>
      <xdr:rowOff>754152</xdr:rowOff>
    </xdr:to>
    <xdr:pic>
      <xdr:nvPicPr>
        <xdr:cNvPr id="1571" name="Picture 1570" descr="Insight Picture 1570">
          <a:extLst>
            <a:ext uri="{FF2B5EF4-FFF2-40B4-BE49-F238E27FC236}">
              <a16:creationId xmlns:a16="http://schemas.microsoft.com/office/drawing/2014/main" id="{47938E5B-41FB-0233-AA94-D85045B87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>
          <a:off x="739616" y="668693348"/>
          <a:ext cx="1157288" cy="692944"/>
        </a:xfrm>
        <a:prstGeom prst="rect">
          <a:avLst/>
        </a:prstGeom>
      </xdr:spPr>
    </xdr:pic>
    <xdr:clientData/>
  </xdr:twoCellAnchor>
  <xdr:twoCellAnchor editAs="oneCell">
    <xdr:from>
      <xdr:col>0</xdr:col>
      <xdr:colOff>536020</xdr:colOff>
      <xdr:row>786</xdr:row>
      <xdr:rowOff>60950</xdr:rowOff>
    </xdr:from>
    <xdr:to>
      <xdr:col>0</xdr:col>
      <xdr:colOff>2100501</xdr:colOff>
      <xdr:row>786</xdr:row>
      <xdr:rowOff>746750</xdr:rowOff>
    </xdr:to>
    <xdr:pic>
      <xdr:nvPicPr>
        <xdr:cNvPr id="1573" name="Picture 1572" descr="Insight Picture 1572">
          <a:extLst>
            <a:ext uri="{FF2B5EF4-FFF2-40B4-BE49-F238E27FC236}">
              <a16:creationId xmlns:a16="http://schemas.microsoft.com/office/drawing/2014/main" id="{7489CFCF-0468-1FB6-5AD2-FCAD00D01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>
          <a:off x="536020" y="669508430"/>
          <a:ext cx="1564481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436007</xdr:colOff>
      <xdr:row>787</xdr:row>
      <xdr:rowOff>62409</xdr:rowOff>
    </xdr:from>
    <xdr:to>
      <xdr:col>0</xdr:col>
      <xdr:colOff>2200513</xdr:colOff>
      <xdr:row>787</xdr:row>
      <xdr:rowOff>791072</xdr:rowOff>
    </xdr:to>
    <xdr:pic>
      <xdr:nvPicPr>
        <xdr:cNvPr id="1575" name="Picture 1574" descr="Insight Picture 1574">
          <a:extLst>
            <a:ext uri="{FF2B5EF4-FFF2-40B4-BE49-F238E27FC236}">
              <a16:creationId xmlns:a16="http://schemas.microsoft.com/office/drawing/2014/main" id="{C44F4EB8-5EFF-027C-A7BD-ED4951ED1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>
          <a:off x="436007" y="670317609"/>
          <a:ext cx="1764506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703897</xdr:colOff>
      <xdr:row>788</xdr:row>
      <xdr:rowOff>62845</xdr:rowOff>
    </xdr:from>
    <xdr:to>
      <xdr:col>0</xdr:col>
      <xdr:colOff>1932622</xdr:colOff>
      <xdr:row>788</xdr:row>
      <xdr:rowOff>805795</xdr:rowOff>
    </xdr:to>
    <xdr:pic>
      <xdr:nvPicPr>
        <xdr:cNvPr id="1577" name="Picture 1576" descr="Insight Picture 1576">
          <a:extLst>
            <a:ext uri="{FF2B5EF4-FFF2-40B4-BE49-F238E27FC236}">
              <a16:creationId xmlns:a16="http://schemas.microsoft.com/office/drawing/2014/main" id="{86D2E909-C010-C2CC-2284-2E2CAAEB0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>
          <a:off x="703897" y="671171485"/>
          <a:ext cx="1228725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753903</xdr:colOff>
      <xdr:row>789</xdr:row>
      <xdr:rowOff>60246</xdr:rowOff>
    </xdr:from>
    <xdr:to>
      <xdr:col>0</xdr:col>
      <xdr:colOff>1882616</xdr:colOff>
      <xdr:row>789</xdr:row>
      <xdr:rowOff>838915</xdr:rowOff>
    </xdr:to>
    <xdr:pic>
      <xdr:nvPicPr>
        <xdr:cNvPr id="1579" name="Picture 1578" descr="Insight Picture 1578">
          <a:extLst>
            <a:ext uri="{FF2B5EF4-FFF2-40B4-BE49-F238E27FC236}">
              <a16:creationId xmlns:a16="http://schemas.microsoft.com/office/drawing/2014/main" id="{F70B1966-3E9D-11C6-CEEA-86B3747B4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>
          <a:off x="753903" y="672037566"/>
          <a:ext cx="1128713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821770</xdr:colOff>
      <xdr:row>790</xdr:row>
      <xdr:rowOff>63827</xdr:rowOff>
    </xdr:from>
    <xdr:to>
      <xdr:col>0</xdr:col>
      <xdr:colOff>1814751</xdr:colOff>
      <xdr:row>790</xdr:row>
      <xdr:rowOff>721052</xdr:rowOff>
    </xdr:to>
    <xdr:pic>
      <xdr:nvPicPr>
        <xdr:cNvPr id="1581" name="Picture 1580" descr="Insight Picture 1580">
          <a:extLst>
            <a:ext uri="{FF2B5EF4-FFF2-40B4-BE49-F238E27FC236}">
              <a16:creationId xmlns:a16="http://schemas.microsoft.com/office/drawing/2014/main" id="{62F31CB4-7D1D-583C-002F-E99052C48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>
          <a:off x="821770" y="672940307"/>
          <a:ext cx="992981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750332</xdr:colOff>
      <xdr:row>791</xdr:row>
      <xdr:rowOff>61208</xdr:rowOff>
    </xdr:from>
    <xdr:to>
      <xdr:col>0</xdr:col>
      <xdr:colOff>1886188</xdr:colOff>
      <xdr:row>791</xdr:row>
      <xdr:rowOff>1097052</xdr:rowOff>
    </xdr:to>
    <xdr:pic>
      <xdr:nvPicPr>
        <xdr:cNvPr id="1583" name="Picture 1582" descr="Insight Picture 1582">
          <a:extLst>
            <a:ext uri="{FF2B5EF4-FFF2-40B4-BE49-F238E27FC236}">
              <a16:creationId xmlns:a16="http://schemas.microsoft.com/office/drawing/2014/main" id="{C45F2DA8-E8E2-091A-26BA-746571809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>
          <a:off x="750332" y="673722548"/>
          <a:ext cx="1135856" cy="1035844"/>
        </a:xfrm>
        <a:prstGeom prst="rect">
          <a:avLst/>
        </a:prstGeom>
      </xdr:spPr>
    </xdr:pic>
    <xdr:clientData/>
  </xdr:twoCellAnchor>
  <xdr:twoCellAnchor editAs="oneCell">
    <xdr:from>
      <xdr:col>0</xdr:col>
      <xdr:colOff>775335</xdr:colOff>
      <xdr:row>792</xdr:row>
      <xdr:rowOff>60256</xdr:rowOff>
    </xdr:from>
    <xdr:to>
      <xdr:col>0</xdr:col>
      <xdr:colOff>1861185</xdr:colOff>
      <xdr:row>792</xdr:row>
      <xdr:rowOff>838925</xdr:rowOff>
    </xdr:to>
    <xdr:pic>
      <xdr:nvPicPr>
        <xdr:cNvPr id="1585" name="Picture 1584" descr="Insight Picture 1584">
          <a:extLst>
            <a:ext uri="{FF2B5EF4-FFF2-40B4-BE49-F238E27FC236}">
              <a16:creationId xmlns:a16="http://schemas.microsoft.com/office/drawing/2014/main" id="{F0B2F97B-BD88-70CE-B0F6-73932A196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>
          <a:off x="775335" y="674879836"/>
          <a:ext cx="1085850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753903</xdr:colOff>
      <xdr:row>793</xdr:row>
      <xdr:rowOff>62151</xdr:rowOff>
    </xdr:from>
    <xdr:to>
      <xdr:col>0</xdr:col>
      <xdr:colOff>1882616</xdr:colOff>
      <xdr:row>793</xdr:row>
      <xdr:rowOff>897970</xdr:rowOff>
    </xdr:to>
    <xdr:pic>
      <xdr:nvPicPr>
        <xdr:cNvPr id="1587" name="Picture 1586" descr="Insight Picture 1586">
          <a:extLst>
            <a:ext uri="{FF2B5EF4-FFF2-40B4-BE49-F238E27FC236}">
              <a16:creationId xmlns:a16="http://schemas.microsoft.com/office/drawing/2014/main" id="{10EC7366-F9E7-4A72-B9D2-B9BF345F3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>
          <a:off x="753903" y="675780891"/>
          <a:ext cx="1128713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621745</xdr:colOff>
      <xdr:row>794</xdr:row>
      <xdr:rowOff>63361</xdr:rowOff>
    </xdr:from>
    <xdr:to>
      <xdr:col>0</xdr:col>
      <xdr:colOff>2014776</xdr:colOff>
      <xdr:row>794</xdr:row>
      <xdr:rowOff>934899</xdr:rowOff>
    </xdr:to>
    <xdr:pic>
      <xdr:nvPicPr>
        <xdr:cNvPr id="1589" name="Picture 1588" descr="Insight Picture 1588">
          <a:extLst>
            <a:ext uri="{FF2B5EF4-FFF2-40B4-BE49-F238E27FC236}">
              <a16:creationId xmlns:a16="http://schemas.microsoft.com/office/drawing/2014/main" id="{33576972-023C-E6EE-093F-21470ED8D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>
          <a:off x="621745" y="676742221"/>
          <a:ext cx="1393031" cy="871538"/>
        </a:xfrm>
        <a:prstGeom prst="rect">
          <a:avLst/>
        </a:prstGeom>
      </xdr:spPr>
    </xdr:pic>
    <xdr:clientData/>
  </xdr:twoCellAnchor>
  <xdr:twoCellAnchor editAs="oneCell">
    <xdr:from>
      <xdr:col>0</xdr:col>
      <xdr:colOff>657463</xdr:colOff>
      <xdr:row>795</xdr:row>
      <xdr:rowOff>63331</xdr:rowOff>
    </xdr:from>
    <xdr:to>
      <xdr:col>0</xdr:col>
      <xdr:colOff>1979057</xdr:colOff>
      <xdr:row>795</xdr:row>
      <xdr:rowOff>934869</xdr:rowOff>
    </xdr:to>
    <xdr:pic>
      <xdr:nvPicPr>
        <xdr:cNvPr id="1591" name="Picture 1590" descr="Insight Picture 1590">
          <a:extLst>
            <a:ext uri="{FF2B5EF4-FFF2-40B4-BE49-F238E27FC236}">
              <a16:creationId xmlns:a16="http://schemas.microsoft.com/office/drawing/2014/main" id="{4C9572BB-23CA-B4F1-9C34-8A8500FEE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>
          <a:off x="657463" y="677740411"/>
          <a:ext cx="1321594" cy="871538"/>
        </a:xfrm>
        <a:prstGeom prst="rect">
          <a:avLst/>
        </a:prstGeom>
      </xdr:spPr>
    </xdr:pic>
    <xdr:clientData/>
  </xdr:twoCellAnchor>
  <xdr:twoCellAnchor editAs="oneCell">
    <xdr:from>
      <xdr:col>0</xdr:col>
      <xdr:colOff>553878</xdr:colOff>
      <xdr:row>796</xdr:row>
      <xdr:rowOff>60722</xdr:rowOff>
    </xdr:from>
    <xdr:to>
      <xdr:col>0</xdr:col>
      <xdr:colOff>2082641</xdr:colOff>
      <xdr:row>796</xdr:row>
      <xdr:rowOff>1082278</xdr:rowOff>
    </xdr:to>
    <xdr:pic>
      <xdr:nvPicPr>
        <xdr:cNvPr id="1593" name="Picture 1592" descr="Insight Picture 1592">
          <a:extLst>
            <a:ext uri="{FF2B5EF4-FFF2-40B4-BE49-F238E27FC236}">
              <a16:creationId xmlns:a16="http://schemas.microsoft.com/office/drawing/2014/main" id="{05C087DF-2D90-8FCD-ABB6-86EB821D0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>
          <a:off x="553878" y="678736022"/>
          <a:ext cx="1528763" cy="1021556"/>
        </a:xfrm>
        <a:prstGeom prst="rect">
          <a:avLst/>
        </a:prstGeom>
      </xdr:spPr>
    </xdr:pic>
    <xdr:clientData/>
  </xdr:twoCellAnchor>
  <xdr:twoCellAnchor editAs="oneCell">
    <xdr:from>
      <xdr:col>0</xdr:col>
      <xdr:colOff>703897</xdr:colOff>
      <xdr:row>797</xdr:row>
      <xdr:rowOff>61913</xdr:rowOff>
    </xdr:from>
    <xdr:to>
      <xdr:col>0</xdr:col>
      <xdr:colOff>1932622</xdr:colOff>
      <xdr:row>797</xdr:row>
      <xdr:rowOff>890588</xdr:rowOff>
    </xdr:to>
    <xdr:pic>
      <xdr:nvPicPr>
        <xdr:cNvPr id="1595" name="Picture 1594" descr="Insight Picture 1594">
          <a:extLst>
            <a:ext uri="{FF2B5EF4-FFF2-40B4-BE49-F238E27FC236}">
              <a16:creationId xmlns:a16="http://schemas.microsoft.com/office/drawing/2014/main" id="{F6297B1B-EC33-22CC-ACBA-F0DDBE1CC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>
          <a:off x="703897" y="679880213"/>
          <a:ext cx="1228725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621745</xdr:colOff>
      <xdr:row>798</xdr:row>
      <xdr:rowOff>61913</xdr:rowOff>
    </xdr:from>
    <xdr:to>
      <xdr:col>0</xdr:col>
      <xdr:colOff>2014776</xdr:colOff>
      <xdr:row>798</xdr:row>
      <xdr:rowOff>890588</xdr:rowOff>
    </xdr:to>
    <xdr:pic>
      <xdr:nvPicPr>
        <xdr:cNvPr id="1597" name="Picture 1596" descr="Insight Picture 1596">
          <a:extLst>
            <a:ext uri="{FF2B5EF4-FFF2-40B4-BE49-F238E27FC236}">
              <a16:creationId xmlns:a16="http://schemas.microsoft.com/office/drawing/2014/main" id="{FB277413-40D8-ECCC-1AF3-3903B9BCA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>
          <a:off x="621745" y="680832713"/>
          <a:ext cx="1393031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718185</xdr:colOff>
      <xdr:row>799</xdr:row>
      <xdr:rowOff>63103</xdr:rowOff>
    </xdr:from>
    <xdr:to>
      <xdr:col>0</xdr:col>
      <xdr:colOff>1918335</xdr:colOff>
      <xdr:row>799</xdr:row>
      <xdr:rowOff>1041797</xdr:rowOff>
    </xdr:to>
    <xdr:pic>
      <xdr:nvPicPr>
        <xdr:cNvPr id="1599" name="Picture 1598" descr="Insight Picture 1598">
          <a:extLst>
            <a:ext uri="{FF2B5EF4-FFF2-40B4-BE49-F238E27FC236}">
              <a16:creationId xmlns:a16="http://schemas.microsoft.com/office/drawing/2014/main" id="{372E3794-C7FC-9E4A-3FCA-5406FDE43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>
          <a:off x="718185" y="681786403"/>
          <a:ext cx="1200150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718185</xdr:colOff>
      <xdr:row>800</xdr:row>
      <xdr:rowOff>60226</xdr:rowOff>
    </xdr:from>
    <xdr:to>
      <xdr:col>0</xdr:col>
      <xdr:colOff>1918335</xdr:colOff>
      <xdr:row>800</xdr:row>
      <xdr:rowOff>838895</xdr:rowOff>
    </xdr:to>
    <xdr:pic>
      <xdr:nvPicPr>
        <xdr:cNvPr id="1601" name="Picture 1600" descr="Insight Picture 1600">
          <a:extLst>
            <a:ext uri="{FF2B5EF4-FFF2-40B4-BE49-F238E27FC236}">
              <a16:creationId xmlns:a16="http://schemas.microsoft.com/office/drawing/2014/main" id="{48E6CF98-CBEE-A1B0-6616-4373FA1F3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>
          <a:off x="718185" y="682888426"/>
          <a:ext cx="1200150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725328</xdr:colOff>
      <xdr:row>801</xdr:row>
      <xdr:rowOff>63808</xdr:rowOff>
    </xdr:from>
    <xdr:to>
      <xdr:col>0</xdr:col>
      <xdr:colOff>1911191</xdr:colOff>
      <xdr:row>801</xdr:row>
      <xdr:rowOff>606733</xdr:rowOff>
    </xdr:to>
    <xdr:pic>
      <xdr:nvPicPr>
        <xdr:cNvPr id="1603" name="Picture 1602" descr="Insight Picture 1602">
          <a:extLst>
            <a:ext uri="{FF2B5EF4-FFF2-40B4-BE49-F238E27FC236}">
              <a16:creationId xmlns:a16="http://schemas.microsoft.com/office/drawing/2014/main" id="{18886C50-A258-332D-EB69-BA85399FE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>
          <a:off x="725328" y="683791168"/>
          <a:ext cx="1185863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725328</xdr:colOff>
      <xdr:row>802</xdr:row>
      <xdr:rowOff>61436</xdr:rowOff>
    </xdr:from>
    <xdr:to>
      <xdr:col>0</xdr:col>
      <xdr:colOff>1911191</xdr:colOff>
      <xdr:row>802</xdr:row>
      <xdr:rowOff>647224</xdr:rowOff>
    </xdr:to>
    <xdr:pic>
      <xdr:nvPicPr>
        <xdr:cNvPr id="1605" name="Picture 1604" descr="Insight Picture 1604">
          <a:extLst>
            <a:ext uri="{FF2B5EF4-FFF2-40B4-BE49-F238E27FC236}">
              <a16:creationId xmlns:a16="http://schemas.microsoft.com/office/drawing/2014/main" id="{9FF1BAD3-A0E7-42DB-1B5D-D08EF863E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>
          <a:off x="725328" y="684459356"/>
          <a:ext cx="1185863" cy="585788"/>
        </a:xfrm>
        <a:prstGeom prst="rect">
          <a:avLst/>
        </a:prstGeom>
      </xdr:spPr>
    </xdr:pic>
    <xdr:clientData/>
  </xdr:twoCellAnchor>
  <xdr:twoCellAnchor editAs="oneCell">
    <xdr:from>
      <xdr:col>0</xdr:col>
      <xdr:colOff>346710</xdr:colOff>
      <xdr:row>803</xdr:row>
      <xdr:rowOff>63827</xdr:rowOff>
    </xdr:from>
    <xdr:to>
      <xdr:col>0</xdr:col>
      <xdr:colOff>2289810</xdr:colOff>
      <xdr:row>803</xdr:row>
      <xdr:rowOff>721052</xdr:rowOff>
    </xdr:to>
    <xdr:pic>
      <xdr:nvPicPr>
        <xdr:cNvPr id="1607" name="Picture 1606" descr="Insight Picture 1606">
          <a:extLst>
            <a:ext uri="{FF2B5EF4-FFF2-40B4-BE49-F238E27FC236}">
              <a16:creationId xmlns:a16="http://schemas.microsoft.com/office/drawing/2014/main" id="{63CCAB76-5F34-C264-64D3-45C79515B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>
          <a:off x="346710" y="685170407"/>
          <a:ext cx="1943100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650320</xdr:colOff>
      <xdr:row>804</xdr:row>
      <xdr:rowOff>60464</xdr:rowOff>
    </xdr:from>
    <xdr:to>
      <xdr:col>0</xdr:col>
      <xdr:colOff>1986201</xdr:colOff>
      <xdr:row>804</xdr:row>
      <xdr:rowOff>731977</xdr:rowOff>
    </xdr:to>
    <xdr:pic>
      <xdr:nvPicPr>
        <xdr:cNvPr id="1609" name="Picture 1608" descr="Insight Picture 1608">
          <a:extLst>
            <a:ext uri="{FF2B5EF4-FFF2-40B4-BE49-F238E27FC236}">
              <a16:creationId xmlns:a16="http://schemas.microsoft.com/office/drawing/2014/main" id="{100B9BD6-A8F7-D31E-270C-B8FB0B33E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>
          <a:off x="650320" y="685951904"/>
          <a:ext cx="1335881" cy="671513"/>
        </a:xfrm>
        <a:prstGeom prst="rect">
          <a:avLst/>
        </a:prstGeom>
      </xdr:spPr>
    </xdr:pic>
    <xdr:clientData/>
  </xdr:twoCellAnchor>
  <xdr:twoCellAnchor editAs="oneCell">
    <xdr:from>
      <xdr:col>0</xdr:col>
      <xdr:colOff>689610</xdr:colOff>
      <xdr:row>805</xdr:row>
      <xdr:rowOff>62875</xdr:rowOff>
    </xdr:from>
    <xdr:to>
      <xdr:col>0</xdr:col>
      <xdr:colOff>1946910</xdr:colOff>
      <xdr:row>805</xdr:row>
      <xdr:rowOff>805825</xdr:rowOff>
    </xdr:to>
    <xdr:pic>
      <xdr:nvPicPr>
        <xdr:cNvPr id="1611" name="Picture 1610" descr="Insight Picture 1610">
          <a:extLst>
            <a:ext uri="{FF2B5EF4-FFF2-40B4-BE49-F238E27FC236}">
              <a16:creationId xmlns:a16="http://schemas.microsoft.com/office/drawing/2014/main" id="{CBA8C22E-98D4-B62D-60B9-FBB2BD4FF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>
          <a:off x="689610" y="686746795"/>
          <a:ext cx="125730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728900</xdr:colOff>
      <xdr:row>806</xdr:row>
      <xdr:rowOff>63798</xdr:rowOff>
    </xdr:from>
    <xdr:to>
      <xdr:col>0</xdr:col>
      <xdr:colOff>1907619</xdr:colOff>
      <xdr:row>806</xdr:row>
      <xdr:rowOff>721023</xdr:rowOff>
    </xdr:to>
    <xdr:pic>
      <xdr:nvPicPr>
        <xdr:cNvPr id="1613" name="Picture 1612" descr="Insight Picture 1612">
          <a:extLst>
            <a:ext uri="{FF2B5EF4-FFF2-40B4-BE49-F238E27FC236}">
              <a16:creationId xmlns:a16="http://schemas.microsoft.com/office/drawing/2014/main" id="{213BB744-A665-F640-221B-F81C10D47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>
          <a:off x="728900" y="687616398"/>
          <a:ext cx="1178719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589597</xdr:colOff>
      <xdr:row>807</xdr:row>
      <xdr:rowOff>60236</xdr:rowOff>
    </xdr:from>
    <xdr:to>
      <xdr:col>0</xdr:col>
      <xdr:colOff>2046922</xdr:colOff>
      <xdr:row>807</xdr:row>
      <xdr:rowOff>838905</xdr:rowOff>
    </xdr:to>
    <xdr:pic>
      <xdr:nvPicPr>
        <xdr:cNvPr id="1615" name="Picture 1614" descr="Insight Picture 1614">
          <a:extLst>
            <a:ext uri="{FF2B5EF4-FFF2-40B4-BE49-F238E27FC236}">
              <a16:creationId xmlns:a16="http://schemas.microsoft.com/office/drawing/2014/main" id="{1F0145EA-33A4-F1A0-0069-E1867C2D7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>
          <a:off x="589597" y="688397696"/>
          <a:ext cx="1457325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836057</xdr:colOff>
      <xdr:row>808</xdr:row>
      <xdr:rowOff>60940</xdr:rowOff>
    </xdr:from>
    <xdr:to>
      <xdr:col>0</xdr:col>
      <xdr:colOff>1800463</xdr:colOff>
      <xdr:row>808</xdr:row>
      <xdr:rowOff>1089640</xdr:rowOff>
    </xdr:to>
    <xdr:pic>
      <xdr:nvPicPr>
        <xdr:cNvPr id="1617" name="Picture 1616" descr="Insight Picture 1616">
          <a:extLst>
            <a:ext uri="{FF2B5EF4-FFF2-40B4-BE49-F238E27FC236}">
              <a16:creationId xmlns:a16="http://schemas.microsoft.com/office/drawing/2014/main" id="{C90DEFF4-3EAC-ADFD-3913-EB5FD7886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>
          <a:off x="836057" y="689297560"/>
          <a:ext cx="964406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725328</xdr:colOff>
      <xdr:row>809</xdr:row>
      <xdr:rowOff>61456</xdr:rowOff>
    </xdr:from>
    <xdr:to>
      <xdr:col>0</xdr:col>
      <xdr:colOff>1911191</xdr:colOff>
      <xdr:row>809</xdr:row>
      <xdr:rowOff>761544</xdr:rowOff>
    </xdr:to>
    <xdr:pic>
      <xdr:nvPicPr>
        <xdr:cNvPr id="1619" name="Picture 1618" descr="Insight Picture 1618">
          <a:extLst>
            <a:ext uri="{FF2B5EF4-FFF2-40B4-BE49-F238E27FC236}">
              <a16:creationId xmlns:a16="http://schemas.microsoft.com/office/drawing/2014/main" id="{9D686206-C123-1504-3D56-9A74F2FCD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>
          <a:off x="725328" y="690448696"/>
          <a:ext cx="1185863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568166</xdr:colOff>
      <xdr:row>810</xdr:row>
      <xdr:rowOff>60722</xdr:rowOff>
    </xdr:from>
    <xdr:to>
      <xdr:col>0</xdr:col>
      <xdr:colOff>2068354</xdr:colOff>
      <xdr:row>810</xdr:row>
      <xdr:rowOff>739378</xdr:rowOff>
    </xdr:to>
    <xdr:pic>
      <xdr:nvPicPr>
        <xdr:cNvPr id="1621" name="Picture 1620" descr="Insight Picture 1620">
          <a:extLst>
            <a:ext uri="{FF2B5EF4-FFF2-40B4-BE49-F238E27FC236}">
              <a16:creationId xmlns:a16="http://schemas.microsoft.com/office/drawing/2014/main" id="{38F59397-A187-9CE9-82D7-93F345FAB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>
          <a:off x="568166" y="691270922"/>
          <a:ext cx="1500188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621745</xdr:colOff>
      <xdr:row>811</xdr:row>
      <xdr:rowOff>63798</xdr:rowOff>
    </xdr:from>
    <xdr:to>
      <xdr:col>0</xdr:col>
      <xdr:colOff>2014776</xdr:colOff>
      <xdr:row>811</xdr:row>
      <xdr:rowOff>721023</xdr:rowOff>
    </xdr:to>
    <xdr:pic>
      <xdr:nvPicPr>
        <xdr:cNvPr id="1623" name="Picture 1622" descr="Insight Picture 1622">
          <a:extLst>
            <a:ext uri="{FF2B5EF4-FFF2-40B4-BE49-F238E27FC236}">
              <a16:creationId xmlns:a16="http://schemas.microsoft.com/office/drawing/2014/main" id="{1C2D41A4-6B72-3791-1C51-223C42358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>
          <a:off x="621745" y="692074098"/>
          <a:ext cx="1393031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721757</xdr:colOff>
      <xdr:row>812</xdr:row>
      <xdr:rowOff>63808</xdr:rowOff>
    </xdr:from>
    <xdr:to>
      <xdr:col>0</xdr:col>
      <xdr:colOff>1914763</xdr:colOff>
      <xdr:row>812</xdr:row>
      <xdr:rowOff>721033</xdr:rowOff>
    </xdr:to>
    <xdr:pic>
      <xdr:nvPicPr>
        <xdr:cNvPr id="1625" name="Picture 1624" descr="Insight Picture 1624">
          <a:extLst>
            <a:ext uri="{FF2B5EF4-FFF2-40B4-BE49-F238E27FC236}">
              <a16:creationId xmlns:a16="http://schemas.microsoft.com/office/drawing/2014/main" id="{A3CCABD1-1E25-8B67-C0FC-B56B5C2F3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>
          <a:off x="721757" y="692858968"/>
          <a:ext cx="1193006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764620</xdr:colOff>
      <xdr:row>813</xdr:row>
      <xdr:rowOff>60742</xdr:rowOff>
    </xdr:from>
    <xdr:to>
      <xdr:col>0</xdr:col>
      <xdr:colOff>1871901</xdr:colOff>
      <xdr:row>813</xdr:row>
      <xdr:rowOff>739398</xdr:rowOff>
    </xdr:to>
    <xdr:pic>
      <xdr:nvPicPr>
        <xdr:cNvPr id="1627" name="Picture 1626" descr="Insight Picture 1626">
          <a:extLst>
            <a:ext uri="{FF2B5EF4-FFF2-40B4-BE49-F238E27FC236}">
              <a16:creationId xmlns:a16="http://schemas.microsoft.com/office/drawing/2014/main" id="{47A9EA5D-0C45-4FEF-D960-6EC55000F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>
          <a:off x="764620" y="693640762"/>
          <a:ext cx="1107281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671750</xdr:colOff>
      <xdr:row>814</xdr:row>
      <xdr:rowOff>63321</xdr:rowOff>
    </xdr:from>
    <xdr:to>
      <xdr:col>0</xdr:col>
      <xdr:colOff>1964769</xdr:colOff>
      <xdr:row>814</xdr:row>
      <xdr:rowOff>591959</xdr:rowOff>
    </xdr:to>
    <xdr:pic>
      <xdr:nvPicPr>
        <xdr:cNvPr id="1629" name="Picture 1628" descr="Insight Picture 1628">
          <a:extLst>
            <a:ext uri="{FF2B5EF4-FFF2-40B4-BE49-F238E27FC236}">
              <a16:creationId xmlns:a16="http://schemas.microsoft.com/office/drawing/2014/main" id="{B2B07080-D476-6508-0916-FC8F0A65C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>
          <a:off x="671750" y="694443441"/>
          <a:ext cx="1293019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707470</xdr:colOff>
      <xdr:row>815</xdr:row>
      <xdr:rowOff>62647</xdr:rowOff>
    </xdr:from>
    <xdr:to>
      <xdr:col>0</xdr:col>
      <xdr:colOff>1929051</xdr:colOff>
      <xdr:row>815</xdr:row>
      <xdr:rowOff>798453</xdr:rowOff>
    </xdr:to>
    <xdr:pic>
      <xdr:nvPicPr>
        <xdr:cNvPr id="1631" name="Picture 1630" descr="Insight Picture 1630">
          <a:extLst>
            <a:ext uri="{FF2B5EF4-FFF2-40B4-BE49-F238E27FC236}">
              <a16:creationId xmlns:a16="http://schemas.microsoft.com/office/drawing/2014/main" id="{35E0686A-BA49-9C1C-D6AA-5D3E8BE72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>
          <a:off x="707470" y="695098087"/>
          <a:ext cx="1221581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643175</xdr:colOff>
      <xdr:row>816</xdr:row>
      <xdr:rowOff>62607</xdr:rowOff>
    </xdr:from>
    <xdr:to>
      <xdr:col>0</xdr:col>
      <xdr:colOff>1993344</xdr:colOff>
      <xdr:row>816</xdr:row>
      <xdr:rowOff>798413</xdr:rowOff>
    </xdr:to>
    <xdr:pic>
      <xdr:nvPicPr>
        <xdr:cNvPr id="1633" name="Picture 1632" descr="Insight Picture 1632">
          <a:extLst>
            <a:ext uri="{FF2B5EF4-FFF2-40B4-BE49-F238E27FC236}">
              <a16:creationId xmlns:a16="http://schemas.microsoft.com/office/drawing/2014/main" id="{3E189E56-E59B-D2F7-5D49-6FB5EB098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>
          <a:off x="643175" y="695959107"/>
          <a:ext cx="1350169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753903</xdr:colOff>
      <xdr:row>817</xdr:row>
      <xdr:rowOff>62617</xdr:rowOff>
    </xdr:from>
    <xdr:to>
      <xdr:col>0</xdr:col>
      <xdr:colOff>1882616</xdr:colOff>
      <xdr:row>817</xdr:row>
      <xdr:rowOff>798423</xdr:rowOff>
    </xdr:to>
    <xdr:pic>
      <xdr:nvPicPr>
        <xdr:cNvPr id="1635" name="Picture 1634" descr="Insight Picture 1634">
          <a:extLst>
            <a:ext uri="{FF2B5EF4-FFF2-40B4-BE49-F238E27FC236}">
              <a16:creationId xmlns:a16="http://schemas.microsoft.com/office/drawing/2014/main" id="{221491B2-CF41-6C39-A884-EB144F78A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>
          <a:off x="753903" y="696820177"/>
          <a:ext cx="1128713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632460</xdr:colOff>
      <xdr:row>818</xdr:row>
      <xdr:rowOff>63818</xdr:rowOff>
    </xdr:from>
    <xdr:to>
      <xdr:col>0</xdr:col>
      <xdr:colOff>2004060</xdr:colOff>
      <xdr:row>818</xdr:row>
      <xdr:rowOff>721043</xdr:rowOff>
    </xdr:to>
    <xdr:pic>
      <xdr:nvPicPr>
        <xdr:cNvPr id="1637" name="Picture 1636" descr="Insight Picture 1636">
          <a:extLst>
            <a:ext uri="{FF2B5EF4-FFF2-40B4-BE49-F238E27FC236}">
              <a16:creationId xmlns:a16="http://schemas.microsoft.com/office/drawing/2014/main" id="{0B27684A-5669-FDB2-6444-5EAEBDC6F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>
          <a:off x="632460" y="697682438"/>
          <a:ext cx="1371600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625316</xdr:colOff>
      <xdr:row>819</xdr:row>
      <xdr:rowOff>63827</xdr:rowOff>
    </xdr:from>
    <xdr:to>
      <xdr:col>0</xdr:col>
      <xdr:colOff>2011204</xdr:colOff>
      <xdr:row>819</xdr:row>
      <xdr:rowOff>721052</xdr:rowOff>
    </xdr:to>
    <xdr:pic>
      <xdr:nvPicPr>
        <xdr:cNvPr id="1639" name="Picture 1638" descr="Insight Picture 1638">
          <a:extLst>
            <a:ext uri="{FF2B5EF4-FFF2-40B4-BE49-F238E27FC236}">
              <a16:creationId xmlns:a16="http://schemas.microsoft.com/office/drawing/2014/main" id="{3150B3DD-A25D-54D4-967D-4A3863BDF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>
          <a:off x="625316" y="698467307"/>
          <a:ext cx="1385888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621745</xdr:colOff>
      <xdr:row>820</xdr:row>
      <xdr:rowOff>60960</xdr:rowOff>
    </xdr:from>
    <xdr:to>
      <xdr:col>0</xdr:col>
      <xdr:colOff>2014776</xdr:colOff>
      <xdr:row>820</xdr:row>
      <xdr:rowOff>861060</xdr:rowOff>
    </xdr:to>
    <xdr:pic>
      <xdr:nvPicPr>
        <xdr:cNvPr id="1641" name="Picture 1640" descr="Insight Picture 1640">
          <a:extLst>
            <a:ext uri="{FF2B5EF4-FFF2-40B4-BE49-F238E27FC236}">
              <a16:creationId xmlns:a16="http://schemas.microsoft.com/office/drawing/2014/main" id="{743E5CDC-029F-3E45-A419-C268B9237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>
          <a:off x="621745" y="699249300"/>
          <a:ext cx="1393031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889635</xdr:colOff>
      <xdr:row>821</xdr:row>
      <xdr:rowOff>60980</xdr:rowOff>
    </xdr:from>
    <xdr:to>
      <xdr:col>0</xdr:col>
      <xdr:colOff>1746885</xdr:colOff>
      <xdr:row>821</xdr:row>
      <xdr:rowOff>1089680</xdr:rowOff>
    </xdr:to>
    <xdr:pic>
      <xdr:nvPicPr>
        <xdr:cNvPr id="1643" name="Picture 1642" descr="Insight Picture 1642">
          <a:extLst>
            <a:ext uri="{FF2B5EF4-FFF2-40B4-BE49-F238E27FC236}">
              <a16:creationId xmlns:a16="http://schemas.microsoft.com/office/drawing/2014/main" id="{31752FDF-6BEB-71F0-C9DC-863B15BE1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>
          <a:off x="889635" y="700171340"/>
          <a:ext cx="85725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775335</xdr:colOff>
      <xdr:row>822</xdr:row>
      <xdr:rowOff>60256</xdr:rowOff>
    </xdr:from>
    <xdr:to>
      <xdr:col>0</xdr:col>
      <xdr:colOff>1861185</xdr:colOff>
      <xdr:row>822</xdr:row>
      <xdr:rowOff>838925</xdr:rowOff>
    </xdr:to>
    <xdr:pic>
      <xdr:nvPicPr>
        <xdr:cNvPr id="1645" name="Picture 1644" descr="Insight Picture 1644">
          <a:extLst>
            <a:ext uri="{FF2B5EF4-FFF2-40B4-BE49-F238E27FC236}">
              <a16:creationId xmlns:a16="http://schemas.microsoft.com/office/drawing/2014/main" id="{A91C7EA4-CA46-E8B4-6176-C8694833D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>
          <a:off x="775335" y="701321236"/>
          <a:ext cx="1085850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578882</xdr:colOff>
      <xdr:row>823</xdr:row>
      <xdr:rowOff>62151</xdr:rowOff>
    </xdr:from>
    <xdr:to>
      <xdr:col>0</xdr:col>
      <xdr:colOff>2057638</xdr:colOff>
      <xdr:row>823</xdr:row>
      <xdr:rowOff>669370</xdr:rowOff>
    </xdr:to>
    <xdr:pic>
      <xdr:nvPicPr>
        <xdr:cNvPr id="1647" name="Picture 1646" descr="Insight Picture 1646">
          <a:extLst>
            <a:ext uri="{FF2B5EF4-FFF2-40B4-BE49-F238E27FC236}">
              <a16:creationId xmlns:a16="http://schemas.microsoft.com/office/drawing/2014/main" id="{41F1F3FE-DC0A-CCFC-9A3D-9FA6D0CF5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>
          <a:off x="578882" y="702222291"/>
          <a:ext cx="1478756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607457</xdr:colOff>
      <xdr:row>824</xdr:row>
      <xdr:rowOff>61178</xdr:rowOff>
    </xdr:from>
    <xdr:to>
      <xdr:col>0</xdr:col>
      <xdr:colOff>2029063</xdr:colOff>
      <xdr:row>824</xdr:row>
      <xdr:rowOff>982722</xdr:rowOff>
    </xdr:to>
    <xdr:pic>
      <xdr:nvPicPr>
        <xdr:cNvPr id="1649" name="Picture 1648" descr="Insight Picture 1648">
          <a:extLst>
            <a:ext uri="{FF2B5EF4-FFF2-40B4-BE49-F238E27FC236}">
              <a16:creationId xmlns:a16="http://schemas.microsoft.com/office/drawing/2014/main" id="{99A2D7ED-6CD3-CFAF-451B-A37D27E5C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>
          <a:off x="607457" y="702952838"/>
          <a:ext cx="1421606" cy="921544"/>
        </a:xfrm>
        <a:prstGeom prst="rect">
          <a:avLst/>
        </a:prstGeom>
      </xdr:spPr>
    </xdr:pic>
    <xdr:clientData/>
  </xdr:twoCellAnchor>
  <xdr:twoCellAnchor editAs="oneCell">
    <xdr:from>
      <xdr:col>0</xdr:col>
      <xdr:colOff>711041</xdr:colOff>
      <xdr:row>825</xdr:row>
      <xdr:rowOff>63798</xdr:rowOff>
    </xdr:from>
    <xdr:to>
      <xdr:col>0</xdr:col>
      <xdr:colOff>1925479</xdr:colOff>
      <xdr:row>825</xdr:row>
      <xdr:rowOff>721023</xdr:rowOff>
    </xdr:to>
    <xdr:pic>
      <xdr:nvPicPr>
        <xdr:cNvPr id="1651" name="Picture 1650" descr="Insight Picture 1650">
          <a:extLst>
            <a:ext uri="{FF2B5EF4-FFF2-40B4-BE49-F238E27FC236}">
              <a16:creationId xmlns:a16="http://schemas.microsoft.com/office/drawing/2014/main" id="{1D2BC899-7522-2D03-1575-A12E5C36D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>
          <a:off x="711041" y="703999398"/>
          <a:ext cx="1214438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607457</xdr:colOff>
      <xdr:row>826</xdr:row>
      <xdr:rowOff>61178</xdr:rowOff>
    </xdr:from>
    <xdr:to>
      <xdr:col>0</xdr:col>
      <xdr:colOff>2029063</xdr:colOff>
      <xdr:row>826</xdr:row>
      <xdr:rowOff>1097022</xdr:rowOff>
    </xdr:to>
    <xdr:pic>
      <xdr:nvPicPr>
        <xdr:cNvPr id="1653" name="Picture 1652" descr="Insight Picture 1652">
          <a:extLst>
            <a:ext uri="{FF2B5EF4-FFF2-40B4-BE49-F238E27FC236}">
              <a16:creationId xmlns:a16="http://schemas.microsoft.com/office/drawing/2014/main" id="{E7EF1E7A-9B94-6C43-D5D7-48C7F4873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>
          <a:off x="607457" y="704781638"/>
          <a:ext cx="1421606" cy="1035844"/>
        </a:xfrm>
        <a:prstGeom prst="rect">
          <a:avLst/>
        </a:prstGeom>
      </xdr:spPr>
    </xdr:pic>
    <xdr:clientData/>
  </xdr:twoCellAnchor>
  <xdr:twoCellAnchor editAs="oneCell">
    <xdr:from>
      <xdr:col>0</xdr:col>
      <xdr:colOff>818198</xdr:colOff>
      <xdr:row>827</xdr:row>
      <xdr:rowOff>62607</xdr:rowOff>
    </xdr:from>
    <xdr:to>
      <xdr:col>0</xdr:col>
      <xdr:colOff>1818323</xdr:colOff>
      <xdr:row>827</xdr:row>
      <xdr:rowOff>1027013</xdr:rowOff>
    </xdr:to>
    <xdr:pic>
      <xdr:nvPicPr>
        <xdr:cNvPr id="1655" name="Picture 1654" descr="Insight Picture 1654">
          <a:extLst>
            <a:ext uri="{FF2B5EF4-FFF2-40B4-BE49-F238E27FC236}">
              <a16:creationId xmlns:a16="http://schemas.microsoft.com/office/drawing/2014/main" id="{D6453130-6545-169E-53B2-7BE942E30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>
          <a:off x="818198" y="705941307"/>
          <a:ext cx="1000125" cy="964406"/>
        </a:xfrm>
        <a:prstGeom prst="rect">
          <a:avLst/>
        </a:prstGeom>
      </xdr:spPr>
    </xdr:pic>
    <xdr:clientData/>
  </xdr:twoCellAnchor>
  <xdr:twoCellAnchor editAs="oneCell">
    <xdr:from>
      <xdr:col>0</xdr:col>
      <xdr:colOff>736045</xdr:colOff>
      <xdr:row>828</xdr:row>
      <xdr:rowOff>62617</xdr:rowOff>
    </xdr:from>
    <xdr:to>
      <xdr:col>0</xdr:col>
      <xdr:colOff>1900476</xdr:colOff>
      <xdr:row>828</xdr:row>
      <xdr:rowOff>798423</xdr:rowOff>
    </xdr:to>
    <xdr:pic>
      <xdr:nvPicPr>
        <xdr:cNvPr id="1657" name="Picture 1656" descr="Insight Picture 1656">
          <a:extLst>
            <a:ext uri="{FF2B5EF4-FFF2-40B4-BE49-F238E27FC236}">
              <a16:creationId xmlns:a16="http://schemas.microsoft.com/office/drawing/2014/main" id="{1CA12660-8C65-48DA-2671-757B229AD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>
          <a:off x="736045" y="707030977"/>
          <a:ext cx="1164431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628888</xdr:colOff>
      <xdr:row>829</xdr:row>
      <xdr:rowOff>62131</xdr:rowOff>
    </xdr:from>
    <xdr:to>
      <xdr:col>0</xdr:col>
      <xdr:colOff>2007632</xdr:colOff>
      <xdr:row>829</xdr:row>
      <xdr:rowOff>669350</xdr:rowOff>
    </xdr:to>
    <xdr:pic>
      <xdr:nvPicPr>
        <xdr:cNvPr id="1659" name="Picture 1658" descr="Insight Picture 1658">
          <a:extLst>
            <a:ext uri="{FF2B5EF4-FFF2-40B4-BE49-F238E27FC236}">
              <a16:creationId xmlns:a16="http://schemas.microsoft.com/office/drawing/2014/main" id="{94600270-207F-2D43-0F7C-016383145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>
          <a:off x="628888" y="707891551"/>
          <a:ext cx="1378744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618172</xdr:colOff>
      <xdr:row>830</xdr:row>
      <xdr:rowOff>61456</xdr:rowOff>
    </xdr:from>
    <xdr:to>
      <xdr:col>0</xdr:col>
      <xdr:colOff>2018347</xdr:colOff>
      <xdr:row>830</xdr:row>
      <xdr:rowOff>647244</xdr:rowOff>
    </xdr:to>
    <xdr:pic>
      <xdr:nvPicPr>
        <xdr:cNvPr id="1661" name="Picture 1660" descr="Insight Picture 1660">
          <a:extLst>
            <a:ext uri="{FF2B5EF4-FFF2-40B4-BE49-F238E27FC236}">
              <a16:creationId xmlns:a16="http://schemas.microsoft.com/office/drawing/2014/main" id="{25B0E8F7-6BD5-AAAD-23DC-989694869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>
          <a:off x="618172" y="708622396"/>
          <a:ext cx="1400175" cy="585788"/>
        </a:xfrm>
        <a:prstGeom prst="rect">
          <a:avLst/>
        </a:prstGeom>
      </xdr:spPr>
    </xdr:pic>
    <xdr:clientData/>
  </xdr:twoCellAnchor>
  <xdr:twoCellAnchor editAs="oneCell">
    <xdr:from>
      <xdr:col>0</xdr:col>
      <xdr:colOff>553878</xdr:colOff>
      <xdr:row>831</xdr:row>
      <xdr:rowOff>61416</xdr:rowOff>
    </xdr:from>
    <xdr:to>
      <xdr:col>0</xdr:col>
      <xdr:colOff>2082641</xdr:colOff>
      <xdr:row>831</xdr:row>
      <xdr:rowOff>647204</xdr:rowOff>
    </xdr:to>
    <xdr:pic>
      <xdr:nvPicPr>
        <xdr:cNvPr id="1663" name="Picture 1662" descr="Insight Picture 1662">
          <a:extLst>
            <a:ext uri="{FF2B5EF4-FFF2-40B4-BE49-F238E27FC236}">
              <a16:creationId xmlns:a16="http://schemas.microsoft.com/office/drawing/2014/main" id="{B86311F1-8787-A33B-3F72-F4CFA5251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>
          <a:off x="553878" y="709331016"/>
          <a:ext cx="1528763" cy="585788"/>
        </a:xfrm>
        <a:prstGeom prst="rect">
          <a:avLst/>
        </a:prstGeom>
      </xdr:spPr>
    </xdr:pic>
    <xdr:clientData/>
  </xdr:twoCellAnchor>
  <xdr:twoCellAnchor editAs="oneCell">
    <xdr:from>
      <xdr:col>0</xdr:col>
      <xdr:colOff>775335</xdr:colOff>
      <xdr:row>832</xdr:row>
      <xdr:rowOff>62170</xdr:rowOff>
    </xdr:from>
    <xdr:to>
      <xdr:col>0</xdr:col>
      <xdr:colOff>1861185</xdr:colOff>
      <xdr:row>832</xdr:row>
      <xdr:rowOff>897989</xdr:rowOff>
    </xdr:to>
    <xdr:pic>
      <xdr:nvPicPr>
        <xdr:cNvPr id="1665" name="Picture 1664" descr="Insight Picture 1664">
          <a:extLst>
            <a:ext uri="{FF2B5EF4-FFF2-40B4-BE49-F238E27FC236}">
              <a16:creationId xmlns:a16="http://schemas.microsoft.com/office/drawing/2014/main" id="{AAE910E1-12A6-12F8-F00E-C88105F7F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>
          <a:off x="775335" y="710040430"/>
          <a:ext cx="1085850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775335</xdr:colOff>
      <xdr:row>833</xdr:row>
      <xdr:rowOff>63579</xdr:rowOff>
    </xdr:from>
    <xdr:to>
      <xdr:col>0</xdr:col>
      <xdr:colOff>1861185</xdr:colOff>
      <xdr:row>833</xdr:row>
      <xdr:rowOff>827960</xdr:rowOff>
    </xdr:to>
    <xdr:pic>
      <xdr:nvPicPr>
        <xdr:cNvPr id="1667" name="Picture 1666" descr="Insight Picture 1666">
          <a:extLst>
            <a:ext uri="{FF2B5EF4-FFF2-40B4-BE49-F238E27FC236}">
              <a16:creationId xmlns:a16="http://schemas.microsoft.com/office/drawing/2014/main" id="{25783A40-F6D2-1A23-22E7-101DD7753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>
          <a:off x="775335" y="711001959"/>
          <a:ext cx="1085850" cy="764381"/>
        </a:xfrm>
        <a:prstGeom prst="rect">
          <a:avLst/>
        </a:prstGeom>
      </xdr:spPr>
    </xdr:pic>
    <xdr:clientData/>
  </xdr:twoCellAnchor>
  <xdr:twoCellAnchor editAs="oneCell">
    <xdr:from>
      <xdr:col>0</xdr:col>
      <xdr:colOff>643175</xdr:colOff>
      <xdr:row>834</xdr:row>
      <xdr:rowOff>62131</xdr:rowOff>
    </xdr:from>
    <xdr:to>
      <xdr:col>0</xdr:col>
      <xdr:colOff>1993344</xdr:colOff>
      <xdr:row>834</xdr:row>
      <xdr:rowOff>669350</xdr:rowOff>
    </xdr:to>
    <xdr:pic>
      <xdr:nvPicPr>
        <xdr:cNvPr id="1669" name="Picture 1668" descr="Insight Picture 1668">
          <a:extLst>
            <a:ext uri="{FF2B5EF4-FFF2-40B4-BE49-F238E27FC236}">
              <a16:creationId xmlns:a16="http://schemas.microsoft.com/office/drawing/2014/main" id="{655C71D5-EA71-5E5C-1797-0DDAD047C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>
          <a:off x="643175" y="711892051"/>
          <a:ext cx="1350169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1021795</xdr:colOff>
      <xdr:row>835</xdr:row>
      <xdr:rowOff>63341</xdr:rowOff>
    </xdr:from>
    <xdr:to>
      <xdr:col>0</xdr:col>
      <xdr:colOff>1614726</xdr:colOff>
      <xdr:row>835</xdr:row>
      <xdr:rowOff>591979</xdr:rowOff>
    </xdr:to>
    <xdr:pic>
      <xdr:nvPicPr>
        <xdr:cNvPr id="1671" name="Picture 1670" descr="Insight Picture 1670">
          <a:extLst>
            <a:ext uri="{FF2B5EF4-FFF2-40B4-BE49-F238E27FC236}">
              <a16:creationId xmlns:a16="http://schemas.microsoft.com/office/drawing/2014/main" id="{279D8D58-5881-07A4-EC78-90A63943B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>
          <a:off x="1021795" y="712624781"/>
          <a:ext cx="592931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700325</xdr:colOff>
      <xdr:row>836</xdr:row>
      <xdr:rowOff>63560</xdr:rowOff>
    </xdr:from>
    <xdr:to>
      <xdr:col>0</xdr:col>
      <xdr:colOff>1936194</xdr:colOff>
      <xdr:row>836</xdr:row>
      <xdr:rowOff>485041</xdr:rowOff>
    </xdr:to>
    <xdr:pic>
      <xdr:nvPicPr>
        <xdr:cNvPr id="1673" name="Picture 1672" descr="Insight Picture 1672">
          <a:extLst>
            <a:ext uri="{FF2B5EF4-FFF2-40B4-BE49-F238E27FC236}">
              <a16:creationId xmlns:a16="http://schemas.microsoft.com/office/drawing/2014/main" id="{BA36BCCC-25B6-1CB5-30AD-A414B42B5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>
          <a:off x="700325" y="713280320"/>
          <a:ext cx="1235869" cy="421481"/>
        </a:xfrm>
        <a:prstGeom prst="rect">
          <a:avLst/>
        </a:prstGeom>
      </xdr:spPr>
    </xdr:pic>
    <xdr:clientData/>
  </xdr:twoCellAnchor>
  <xdr:twoCellAnchor editAs="oneCell">
    <xdr:from>
      <xdr:col>0</xdr:col>
      <xdr:colOff>618172</xdr:colOff>
      <xdr:row>837</xdr:row>
      <xdr:rowOff>62855</xdr:rowOff>
    </xdr:from>
    <xdr:to>
      <xdr:col>0</xdr:col>
      <xdr:colOff>2018347</xdr:colOff>
      <xdr:row>837</xdr:row>
      <xdr:rowOff>691505</xdr:rowOff>
    </xdr:to>
    <xdr:pic>
      <xdr:nvPicPr>
        <xdr:cNvPr id="1675" name="Picture 1674" descr="Insight Picture 1674">
          <a:extLst>
            <a:ext uri="{FF2B5EF4-FFF2-40B4-BE49-F238E27FC236}">
              <a16:creationId xmlns:a16="http://schemas.microsoft.com/office/drawing/2014/main" id="{A30C7486-D5C1-BBA9-E41C-7D1EF67C1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>
          <a:off x="618172" y="713828255"/>
          <a:ext cx="1400175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725328</xdr:colOff>
      <xdr:row>838</xdr:row>
      <xdr:rowOff>63579</xdr:rowOff>
    </xdr:from>
    <xdr:to>
      <xdr:col>0</xdr:col>
      <xdr:colOff>1911191</xdr:colOff>
      <xdr:row>838</xdr:row>
      <xdr:rowOff>942260</xdr:rowOff>
    </xdr:to>
    <xdr:pic>
      <xdr:nvPicPr>
        <xdr:cNvPr id="1677" name="Picture 1676" descr="Insight Picture 1676">
          <a:extLst>
            <a:ext uri="{FF2B5EF4-FFF2-40B4-BE49-F238E27FC236}">
              <a16:creationId xmlns:a16="http://schemas.microsoft.com/office/drawing/2014/main" id="{1F4AA98F-6772-2BD3-C308-B3DE82D50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>
          <a:off x="725328" y="714583359"/>
          <a:ext cx="1185863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636032</xdr:colOff>
      <xdr:row>839</xdr:row>
      <xdr:rowOff>60742</xdr:rowOff>
    </xdr:from>
    <xdr:to>
      <xdr:col>0</xdr:col>
      <xdr:colOff>2000488</xdr:colOff>
      <xdr:row>839</xdr:row>
      <xdr:rowOff>967998</xdr:rowOff>
    </xdr:to>
    <xdr:pic>
      <xdr:nvPicPr>
        <xdr:cNvPr id="1679" name="Picture 1678" descr="Insight Picture 1678">
          <a:extLst>
            <a:ext uri="{FF2B5EF4-FFF2-40B4-BE49-F238E27FC236}">
              <a16:creationId xmlns:a16="http://schemas.microsoft.com/office/drawing/2014/main" id="{D4322760-DE5A-125D-EA9E-9A15B4AB4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>
          <a:off x="636032" y="715586362"/>
          <a:ext cx="1364456" cy="907256"/>
        </a:xfrm>
        <a:prstGeom prst="rect">
          <a:avLst/>
        </a:prstGeom>
      </xdr:spPr>
    </xdr:pic>
    <xdr:clientData/>
  </xdr:twoCellAnchor>
  <xdr:twoCellAnchor editAs="oneCell">
    <xdr:from>
      <xdr:col>0</xdr:col>
      <xdr:colOff>693182</xdr:colOff>
      <xdr:row>840</xdr:row>
      <xdr:rowOff>60494</xdr:rowOff>
    </xdr:from>
    <xdr:to>
      <xdr:col>0</xdr:col>
      <xdr:colOff>1943338</xdr:colOff>
      <xdr:row>840</xdr:row>
      <xdr:rowOff>617707</xdr:rowOff>
    </xdr:to>
    <xdr:pic>
      <xdr:nvPicPr>
        <xdr:cNvPr id="1681" name="Picture 1680" descr="Insight Picture 1680">
          <a:extLst>
            <a:ext uri="{FF2B5EF4-FFF2-40B4-BE49-F238E27FC236}">
              <a16:creationId xmlns:a16="http://schemas.microsoft.com/office/drawing/2014/main" id="{2602FEC5-257B-D497-7C1D-29D5AD653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>
          <a:off x="693182" y="716614814"/>
          <a:ext cx="1250156" cy="557213"/>
        </a:xfrm>
        <a:prstGeom prst="rect">
          <a:avLst/>
        </a:prstGeom>
      </xdr:spPr>
    </xdr:pic>
    <xdr:clientData/>
  </xdr:twoCellAnchor>
  <xdr:twoCellAnchor editAs="oneCell">
    <xdr:from>
      <xdr:col>0</xdr:col>
      <xdr:colOff>861060</xdr:colOff>
      <xdr:row>841</xdr:row>
      <xdr:rowOff>61218</xdr:rowOff>
    </xdr:from>
    <xdr:to>
      <xdr:col>0</xdr:col>
      <xdr:colOff>1775460</xdr:colOff>
      <xdr:row>841</xdr:row>
      <xdr:rowOff>1097062</xdr:rowOff>
    </xdr:to>
    <xdr:pic>
      <xdr:nvPicPr>
        <xdr:cNvPr id="1683" name="Picture 1682" descr="Insight Picture 1682">
          <a:extLst>
            <a:ext uri="{FF2B5EF4-FFF2-40B4-BE49-F238E27FC236}">
              <a16:creationId xmlns:a16="http://schemas.microsoft.com/office/drawing/2014/main" id="{D2D2EBD1-C8CB-B4B6-0595-CBB0E5919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>
          <a:off x="861060" y="717293718"/>
          <a:ext cx="914400" cy="1035844"/>
        </a:xfrm>
        <a:prstGeom prst="rect">
          <a:avLst/>
        </a:prstGeom>
      </xdr:spPr>
    </xdr:pic>
    <xdr:clientData/>
  </xdr:twoCellAnchor>
  <xdr:twoCellAnchor editAs="oneCell">
    <xdr:from>
      <xdr:col>0</xdr:col>
      <xdr:colOff>686038</xdr:colOff>
      <xdr:row>842</xdr:row>
      <xdr:rowOff>61456</xdr:rowOff>
    </xdr:from>
    <xdr:to>
      <xdr:col>0</xdr:col>
      <xdr:colOff>1950482</xdr:colOff>
      <xdr:row>842</xdr:row>
      <xdr:rowOff>761544</xdr:rowOff>
    </xdr:to>
    <xdr:pic>
      <xdr:nvPicPr>
        <xdr:cNvPr id="1685" name="Picture 1684" descr="Insight Picture 1684">
          <a:extLst>
            <a:ext uri="{FF2B5EF4-FFF2-40B4-BE49-F238E27FC236}">
              <a16:creationId xmlns:a16="http://schemas.microsoft.com/office/drawing/2014/main" id="{252CBBEF-51CC-A930-A8D3-C9107C484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>
          <a:off x="686038" y="718452196"/>
          <a:ext cx="1264444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771763</xdr:colOff>
      <xdr:row>843</xdr:row>
      <xdr:rowOff>61416</xdr:rowOff>
    </xdr:from>
    <xdr:to>
      <xdr:col>0</xdr:col>
      <xdr:colOff>1864757</xdr:colOff>
      <xdr:row>843</xdr:row>
      <xdr:rowOff>761504</xdr:rowOff>
    </xdr:to>
    <xdr:pic>
      <xdr:nvPicPr>
        <xdr:cNvPr id="1687" name="Picture 1686" descr="Insight Picture 1686">
          <a:extLst>
            <a:ext uri="{FF2B5EF4-FFF2-40B4-BE49-F238E27FC236}">
              <a16:creationId xmlns:a16="http://schemas.microsoft.com/office/drawing/2014/main" id="{C18E43A8-9E1F-4208-9B5D-38EF2BA70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>
          <a:off x="771763" y="719275116"/>
          <a:ext cx="1092994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839628</xdr:colOff>
      <xdr:row>844</xdr:row>
      <xdr:rowOff>60732</xdr:rowOff>
    </xdr:from>
    <xdr:to>
      <xdr:col>0</xdr:col>
      <xdr:colOff>1796891</xdr:colOff>
      <xdr:row>844</xdr:row>
      <xdr:rowOff>853688</xdr:rowOff>
    </xdr:to>
    <xdr:pic>
      <xdr:nvPicPr>
        <xdr:cNvPr id="1689" name="Picture 1688" descr="Insight Picture 1688">
          <a:extLst>
            <a:ext uri="{FF2B5EF4-FFF2-40B4-BE49-F238E27FC236}">
              <a16:creationId xmlns:a16="http://schemas.microsoft.com/office/drawing/2014/main" id="{C145B843-B607-33BB-C7D5-5E2E36834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>
          <a:off x="839628" y="720097392"/>
          <a:ext cx="957263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718185</xdr:colOff>
      <xdr:row>845</xdr:row>
      <xdr:rowOff>62617</xdr:rowOff>
    </xdr:from>
    <xdr:to>
      <xdr:col>0</xdr:col>
      <xdr:colOff>1918335</xdr:colOff>
      <xdr:row>845</xdr:row>
      <xdr:rowOff>798423</xdr:rowOff>
    </xdr:to>
    <xdr:pic>
      <xdr:nvPicPr>
        <xdr:cNvPr id="1691" name="Picture 1690" descr="Insight Picture 1690">
          <a:extLst>
            <a:ext uri="{FF2B5EF4-FFF2-40B4-BE49-F238E27FC236}">
              <a16:creationId xmlns:a16="http://schemas.microsoft.com/office/drawing/2014/main" id="{C8E99141-F128-CE81-56E4-D23188AE1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>
          <a:off x="718185" y="721013677"/>
          <a:ext cx="1200150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578882</xdr:colOff>
      <xdr:row>846</xdr:row>
      <xdr:rowOff>60742</xdr:rowOff>
    </xdr:from>
    <xdr:to>
      <xdr:col>0</xdr:col>
      <xdr:colOff>2057638</xdr:colOff>
      <xdr:row>846</xdr:row>
      <xdr:rowOff>625098</xdr:rowOff>
    </xdr:to>
    <xdr:pic>
      <xdr:nvPicPr>
        <xdr:cNvPr id="1693" name="Picture 1692" descr="Insight Picture 1692">
          <a:extLst>
            <a:ext uri="{FF2B5EF4-FFF2-40B4-BE49-F238E27FC236}">
              <a16:creationId xmlns:a16="http://schemas.microsoft.com/office/drawing/2014/main" id="{444975F9-7DD1-D127-6D20-4D9D4B133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>
          <a:off x="578882" y="721872862"/>
          <a:ext cx="1478756" cy="564356"/>
        </a:xfrm>
        <a:prstGeom prst="rect">
          <a:avLst/>
        </a:prstGeom>
      </xdr:spPr>
    </xdr:pic>
    <xdr:clientData/>
  </xdr:twoCellAnchor>
  <xdr:twoCellAnchor editAs="oneCell">
    <xdr:from>
      <xdr:col>0</xdr:col>
      <xdr:colOff>700325</xdr:colOff>
      <xdr:row>847</xdr:row>
      <xdr:rowOff>61684</xdr:rowOff>
    </xdr:from>
    <xdr:to>
      <xdr:col>0</xdr:col>
      <xdr:colOff>1936194</xdr:colOff>
      <xdr:row>847</xdr:row>
      <xdr:rowOff>997515</xdr:rowOff>
    </xdr:to>
    <xdr:pic>
      <xdr:nvPicPr>
        <xdr:cNvPr id="1695" name="Picture 1694" descr="Insight Picture 1694">
          <a:extLst>
            <a:ext uri="{FF2B5EF4-FFF2-40B4-BE49-F238E27FC236}">
              <a16:creationId xmlns:a16="http://schemas.microsoft.com/office/drawing/2014/main" id="{406A97D7-9193-A78A-95A8-627BBF245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>
          <a:off x="700325" y="722559604"/>
          <a:ext cx="1235869" cy="935831"/>
        </a:xfrm>
        <a:prstGeom prst="rect">
          <a:avLst/>
        </a:prstGeom>
      </xdr:spPr>
    </xdr:pic>
    <xdr:clientData/>
  </xdr:twoCellAnchor>
  <xdr:twoCellAnchor editAs="oneCell">
    <xdr:from>
      <xdr:col>0</xdr:col>
      <xdr:colOff>571738</xdr:colOff>
      <xdr:row>848</xdr:row>
      <xdr:rowOff>61218</xdr:rowOff>
    </xdr:from>
    <xdr:to>
      <xdr:col>0</xdr:col>
      <xdr:colOff>2064782</xdr:colOff>
      <xdr:row>848</xdr:row>
      <xdr:rowOff>639862</xdr:rowOff>
    </xdr:to>
    <xdr:pic>
      <xdr:nvPicPr>
        <xdr:cNvPr id="1697" name="Picture 1696" descr="Insight Picture 1696">
          <a:extLst>
            <a:ext uri="{FF2B5EF4-FFF2-40B4-BE49-F238E27FC236}">
              <a16:creationId xmlns:a16="http://schemas.microsoft.com/office/drawing/2014/main" id="{AF50431C-629F-2075-439B-A0A70D3EE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>
          <a:off x="571738" y="723618318"/>
          <a:ext cx="1493044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546735</xdr:colOff>
      <xdr:row>849</xdr:row>
      <xdr:rowOff>61208</xdr:rowOff>
    </xdr:from>
    <xdr:to>
      <xdr:col>0</xdr:col>
      <xdr:colOff>2089785</xdr:colOff>
      <xdr:row>849</xdr:row>
      <xdr:rowOff>639852</xdr:rowOff>
    </xdr:to>
    <xdr:pic>
      <xdr:nvPicPr>
        <xdr:cNvPr id="1699" name="Picture 1698" descr="Insight Picture 1698">
          <a:extLst>
            <a:ext uri="{FF2B5EF4-FFF2-40B4-BE49-F238E27FC236}">
              <a16:creationId xmlns:a16="http://schemas.microsoft.com/office/drawing/2014/main" id="{F96E6FB1-36C3-1E8E-7AEC-48CC0FBB3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>
          <a:off x="546735" y="724319348"/>
          <a:ext cx="1543050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718185</xdr:colOff>
      <xdr:row>850</xdr:row>
      <xdr:rowOff>63083</xdr:rowOff>
    </xdr:from>
    <xdr:to>
      <xdr:col>0</xdr:col>
      <xdr:colOff>1918335</xdr:colOff>
      <xdr:row>850</xdr:row>
      <xdr:rowOff>1041777</xdr:rowOff>
    </xdr:to>
    <xdr:pic>
      <xdr:nvPicPr>
        <xdr:cNvPr id="1701" name="Picture 1700" descr="Insight Picture 1700">
          <a:extLst>
            <a:ext uri="{FF2B5EF4-FFF2-40B4-BE49-F238E27FC236}">
              <a16:creationId xmlns:a16="http://schemas.microsoft.com/office/drawing/2014/main" id="{43E2BBB9-01EF-9B79-D471-07EEC3532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>
          <a:off x="718185" y="725022263"/>
          <a:ext cx="1200150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732472</xdr:colOff>
      <xdr:row>851</xdr:row>
      <xdr:rowOff>61198</xdr:rowOff>
    </xdr:from>
    <xdr:to>
      <xdr:col>0</xdr:col>
      <xdr:colOff>1904047</xdr:colOff>
      <xdr:row>851</xdr:row>
      <xdr:rowOff>1097042</xdr:rowOff>
    </xdr:to>
    <xdr:pic>
      <xdr:nvPicPr>
        <xdr:cNvPr id="1703" name="Picture 1702" descr="Insight Picture 1702">
          <a:extLst>
            <a:ext uri="{FF2B5EF4-FFF2-40B4-BE49-F238E27FC236}">
              <a16:creationId xmlns:a16="http://schemas.microsoft.com/office/drawing/2014/main" id="{779FB588-CC91-3357-E4CA-D42E4595C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>
          <a:off x="732472" y="726125278"/>
          <a:ext cx="1171575" cy="1035844"/>
        </a:xfrm>
        <a:prstGeom prst="rect">
          <a:avLst/>
        </a:prstGeom>
      </xdr:spPr>
    </xdr:pic>
    <xdr:clientData/>
  </xdr:twoCellAnchor>
  <xdr:twoCellAnchor editAs="oneCell">
    <xdr:from>
      <xdr:col>0</xdr:col>
      <xdr:colOff>753903</xdr:colOff>
      <xdr:row>852</xdr:row>
      <xdr:rowOff>62131</xdr:rowOff>
    </xdr:from>
    <xdr:to>
      <xdr:col>0</xdr:col>
      <xdr:colOff>1882616</xdr:colOff>
      <xdr:row>852</xdr:row>
      <xdr:rowOff>669350</xdr:rowOff>
    </xdr:to>
    <xdr:pic>
      <xdr:nvPicPr>
        <xdr:cNvPr id="1705" name="Picture 1704" descr="Insight Picture 1704">
          <a:extLst>
            <a:ext uri="{FF2B5EF4-FFF2-40B4-BE49-F238E27FC236}">
              <a16:creationId xmlns:a16="http://schemas.microsoft.com/office/drawing/2014/main" id="{08024692-F7E7-387B-53B5-A97BB1AFA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>
          <a:off x="753903" y="727284451"/>
          <a:ext cx="1128713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600313</xdr:colOff>
      <xdr:row>853</xdr:row>
      <xdr:rowOff>61208</xdr:rowOff>
    </xdr:from>
    <xdr:to>
      <xdr:col>0</xdr:col>
      <xdr:colOff>2036207</xdr:colOff>
      <xdr:row>853</xdr:row>
      <xdr:rowOff>639852</xdr:rowOff>
    </xdr:to>
    <xdr:pic>
      <xdr:nvPicPr>
        <xdr:cNvPr id="1707" name="Picture 1706" descr="Insight Picture 1706">
          <a:extLst>
            <a:ext uri="{FF2B5EF4-FFF2-40B4-BE49-F238E27FC236}">
              <a16:creationId xmlns:a16="http://schemas.microsoft.com/office/drawing/2014/main" id="{A9E76146-2C8D-DEA2-1042-B17687A3C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>
          <a:off x="600313" y="728015048"/>
          <a:ext cx="1435894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639603</xdr:colOff>
      <xdr:row>854</xdr:row>
      <xdr:rowOff>61694</xdr:rowOff>
    </xdr:from>
    <xdr:to>
      <xdr:col>0</xdr:col>
      <xdr:colOff>1996916</xdr:colOff>
      <xdr:row>854</xdr:row>
      <xdr:rowOff>768925</xdr:rowOff>
    </xdr:to>
    <xdr:pic>
      <xdr:nvPicPr>
        <xdr:cNvPr id="1709" name="Picture 1708" descr="Insight Picture 1708">
          <a:extLst>
            <a:ext uri="{FF2B5EF4-FFF2-40B4-BE49-F238E27FC236}">
              <a16:creationId xmlns:a16="http://schemas.microsoft.com/office/drawing/2014/main" id="{A2E3B104-51D5-9FED-C06F-3C2709852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>
          <a:off x="639603" y="728716574"/>
          <a:ext cx="1357313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903923</xdr:colOff>
      <xdr:row>855</xdr:row>
      <xdr:rowOff>62170</xdr:rowOff>
    </xdr:from>
    <xdr:to>
      <xdr:col>0</xdr:col>
      <xdr:colOff>1732598</xdr:colOff>
      <xdr:row>855</xdr:row>
      <xdr:rowOff>555089</xdr:rowOff>
    </xdr:to>
    <xdr:pic>
      <xdr:nvPicPr>
        <xdr:cNvPr id="1711" name="Picture 1710" descr="Insight Picture 1710">
          <a:extLst>
            <a:ext uri="{FF2B5EF4-FFF2-40B4-BE49-F238E27FC236}">
              <a16:creationId xmlns:a16="http://schemas.microsoft.com/office/drawing/2014/main" id="{53922325-E16F-0B9D-9503-E70833DE9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>
          <a:off x="903923" y="729547630"/>
          <a:ext cx="828675" cy="492919"/>
        </a:xfrm>
        <a:prstGeom prst="rect">
          <a:avLst/>
        </a:prstGeom>
      </xdr:spPr>
    </xdr:pic>
    <xdr:clientData/>
  </xdr:twoCellAnchor>
  <xdr:twoCellAnchor editAs="oneCell">
    <xdr:from>
      <xdr:col>0</xdr:col>
      <xdr:colOff>543163</xdr:colOff>
      <xdr:row>856</xdr:row>
      <xdr:rowOff>62141</xdr:rowOff>
    </xdr:from>
    <xdr:to>
      <xdr:col>0</xdr:col>
      <xdr:colOff>2093357</xdr:colOff>
      <xdr:row>856</xdr:row>
      <xdr:rowOff>669360</xdr:rowOff>
    </xdr:to>
    <xdr:pic>
      <xdr:nvPicPr>
        <xdr:cNvPr id="1713" name="Picture 1712" descr="Insight Picture 1712">
          <a:extLst>
            <a:ext uri="{FF2B5EF4-FFF2-40B4-BE49-F238E27FC236}">
              <a16:creationId xmlns:a16="http://schemas.microsoft.com/office/drawing/2014/main" id="{9CEC9B75-C5F0-0F50-A54B-009FDD5D0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>
          <a:off x="543163" y="730164821"/>
          <a:ext cx="1550194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403860</xdr:colOff>
      <xdr:row>857</xdr:row>
      <xdr:rowOff>62409</xdr:rowOff>
    </xdr:from>
    <xdr:to>
      <xdr:col>0</xdr:col>
      <xdr:colOff>2232660</xdr:colOff>
      <xdr:row>857</xdr:row>
      <xdr:rowOff>791072</xdr:rowOff>
    </xdr:to>
    <xdr:pic>
      <xdr:nvPicPr>
        <xdr:cNvPr id="1715" name="Picture 1714" descr="Insight Picture 1714">
          <a:extLst>
            <a:ext uri="{FF2B5EF4-FFF2-40B4-BE49-F238E27FC236}">
              <a16:creationId xmlns:a16="http://schemas.microsoft.com/office/drawing/2014/main" id="{3CD808E8-C398-4DE4-71BC-184D27FD8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>
          <a:off x="403860" y="730896609"/>
          <a:ext cx="1828800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811053</xdr:colOff>
      <xdr:row>858</xdr:row>
      <xdr:rowOff>61655</xdr:rowOff>
    </xdr:from>
    <xdr:to>
      <xdr:col>0</xdr:col>
      <xdr:colOff>1825466</xdr:colOff>
      <xdr:row>858</xdr:row>
      <xdr:rowOff>540286</xdr:rowOff>
    </xdr:to>
    <xdr:pic>
      <xdr:nvPicPr>
        <xdr:cNvPr id="1717" name="Picture 1716" descr="Insight Picture 1716">
          <a:extLst>
            <a:ext uri="{FF2B5EF4-FFF2-40B4-BE49-F238E27FC236}">
              <a16:creationId xmlns:a16="http://schemas.microsoft.com/office/drawing/2014/main" id="{F8104FD2-E919-3CF5-85F4-C2CF213AF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>
          <a:off x="811053" y="731749295"/>
          <a:ext cx="1014413" cy="478631"/>
        </a:xfrm>
        <a:prstGeom prst="rect">
          <a:avLst/>
        </a:prstGeom>
      </xdr:spPr>
    </xdr:pic>
    <xdr:clientData/>
  </xdr:twoCellAnchor>
  <xdr:twoCellAnchor editAs="oneCell">
    <xdr:from>
      <xdr:col>0</xdr:col>
      <xdr:colOff>686038</xdr:colOff>
      <xdr:row>859</xdr:row>
      <xdr:rowOff>63569</xdr:rowOff>
    </xdr:from>
    <xdr:to>
      <xdr:col>0</xdr:col>
      <xdr:colOff>1950482</xdr:colOff>
      <xdr:row>859</xdr:row>
      <xdr:rowOff>942250</xdr:rowOff>
    </xdr:to>
    <xdr:pic>
      <xdr:nvPicPr>
        <xdr:cNvPr id="1719" name="Picture 1718" descr="Insight Picture 1718">
          <a:extLst>
            <a:ext uri="{FF2B5EF4-FFF2-40B4-BE49-F238E27FC236}">
              <a16:creationId xmlns:a16="http://schemas.microsoft.com/office/drawing/2014/main" id="{00C8E3F7-759F-8CC0-73CF-7BE4792EE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>
          <a:off x="686038" y="732353189"/>
          <a:ext cx="1264444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800338</xdr:colOff>
      <xdr:row>860</xdr:row>
      <xdr:rowOff>63560</xdr:rowOff>
    </xdr:from>
    <xdr:to>
      <xdr:col>0</xdr:col>
      <xdr:colOff>1836182</xdr:colOff>
      <xdr:row>860</xdr:row>
      <xdr:rowOff>599341</xdr:rowOff>
    </xdr:to>
    <xdr:pic>
      <xdr:nvPicPr>
        <xdr:cNvPr id="1721" name="Picture 1720" descr="Insight Picture 1720">
          <a:extLst>
            <a:ext uri="{FF2B5EF4-FFF2-40B4-BE49-F238E27FC236}">
              <a16:creationId xmlns:a16="http://schemas.microsoft.com/office/drawing/2014/main" id="{DBF6840F-CB33-E0C2-3452-0EA8CD988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>
          <a:off x="800338" y="733359020"/>
          <a:ext cx="1035844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682466</xdr:colOff>
      <xdr:row>861</xdr:row>
      <xdr:rowOff>62409</xdr:rowOff>
    </xdr:from>
    <xdr:to>
      <xdr:col>0</xdr:col>
      <xdr:colOff>1954054</xdr:colOff>
      <xdr:row>861</xdr:row>
      <xdr:rowOff>562472</xdr:rowOff>
    </xdr:to>
    <xdr:pic>
      <xdr:nvPicPr>
        <xdr:cNvPr id="1723" name="Picture 1722" descr="Insight Picture 1722">
          <a:extLst>
            <a:ext uri="{FF2B5EF4-FFF2-40B4-BE49-F238E27FC236}">
              <a16:creationId xmlns:a16="http://schemas.microsoft.com/office/drawing/2014/main" id="{FA6BEEA7-DCBC-3530-6A64-679FD0B0B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>
          <a:off x="682466" y="734020809"/>
          <a:ext cx="1271588" cy="500063"/>
        </a:xfrm>
        <a:prstGeom prst="rect">
          <a:avLst/>
        </a:prstGeom>
      </xdr:spPr>
    </xdr:pic>
    <xdr:clientData/>
  </xdr:twoCellAnchor>
  <xdr:twoCellAnchor editAs="oneCell">
    <xdr:from>
      <xdr:col>0</xdr:col>
      <xdr:colOff>603885</xdr:colOff>
      <xdr:row>862</xdr:row>
      <xdr:rowOff>61456</xdr:rowOff>
    </xdr:from>
    <xdr:to>
      <xdr:col>0</xdr:col>
      <xdr:colOff>2032635</xdr:colOff>
      <xdr:row>862</xdr:row>
      <xdr:rowOff>761544</xdr:rowOff>
    </xdr:to>
    <xdr:pic>
      <xdr:nvPicPr>
        <xdr:cNvPr id="1725" name="Picture 1724" descr="Insight Picture 1724">
          <a:extLst>
            <a:ext uri="{FF2B5EF4-FFF2-40B4-BE49-F238E27FC236}">
              <a16:creationId xmlns:a16="http://schemas.microsoft.com/office/drawing/2014/main" id="{8552130D-B822-3CCA-A1E6-B096C58A4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>
          <a:off x="603885" y="734644696"/>
          <a:ext cx="1428750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471726</xdr:colOff>
      <xdr:row>863</xdr:row>
      <xdr:rowOff>60722</xdr:rowOff>
    </xdr:from>
    <xdr:to>
      <xdr:col>0</xdr:col>
      <xdr:colOff>2164795</xdr:colOff>
      <xdr:row>863</xdr:row>
      <xdr:rowOff>853678</xdr:rowOff>
    </xdr:to>
    <xdr:pic>
      <xdr:nvPicPr>
        <xdr:cNvPr id="1727" name="Picture 1726" descr="Insight Picture 1726">
          <a:extLst>
            <a:ext uri="{FF2B5EF4-FFF2-40B4-BE49-F238E27FC236}">
              <a16:creationId xmlns:a16="http://schemas.microsoft.com/office/drawing/2014/main" id="{56570CE3-D93D-6E12-F22F-B83305E9A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>
          <a:off x="471726" y="735466922"/>
          <a:ext cx="1693069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671750</xdr:colOff>
      <xdr:row>864</xdr:row>
      <xdr:rowOff>63351</xdr:rowOff>
    </xdr:from>
    <xdr:to>
      <xdr:col>0</xdr:col>
      <xdr:colOff>1964769</xdr:colOff>
      <xdr:row>864</xdr:row>
      <xdr:rowOff>934889</xdr:rowOff>
    </xdr:to>
    <xdr:pic>
      <xdr:nvPicPr>
        <xdr:cNvPr id="1729" name="Picture 1728" descr="Insight Picture 1728">
          <a:extLst>
            <a:ext uri="{FF2B5EF4-FFF2-40B4-BE49-F238E27FC236}">
              <a16:creationId xmlns:a16="http://schemas.microsoft.com/office/drawing/2014/main" id="{395DE3CF-3BB2-E8E8-DD52-96A5C672B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>
          <a:off x="671750" y="736383951"/>
          <a:ext cx="1293019" cy="871538"/>
        </a:xfrm>
        <a:prstGeom prst="rect">
          <a:avLst/>
        </a:prstGeom>
      </xdr:spPr>
    </xdr:pic>
    <xdr:clientData/>
  </xdr:twoCellAnchor>
  <xdr:twoCellAnchor editAs="oneCell">
    <xdr:from>
      <xdr:col>0</xdr:col>
      <xdr:colOff>589597</xdr:colOff>
      <xdr:row>865</xdr:row>
      <xdr:rowOff>62379</xdr:rowOff>
    </xdr:from>
    <xdr:to>
      <xdr:col>0</xdr:col>
      <xdr:colOff>2046922</xdr:colOff>
      <xdr:row>865</xdr:row>
      <xdr:rowOff>905342</xdr:rowOff>
    </xdr:to>
    <xdr:pic>
      <xdr:nvPicPr>
        <xdr:cNvPr id="1731" name="Picture 1730" descr="Insight Picture 1730">
          <a:extLst>
            <a:ext uri="{FF2B5EF4-FFF2-40B4-BE49-F238E27FC236}">
              <a16:creationId xmlns:a16="http://schemas.microsoft.com/office/drawing/2014/main" id="{1EFAA1FB-55C3-136C-C8A2-69512792B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>
          <a:off x="589597" y="737381199"/>
          <a:ext cx="1457325" cy="842963"/>
        </a:xfrm>
        <a:prstGeom prst="rect">
          <a:avLst/>
        </a:prstGeom>
      </xdr:spPr>
    </xdr:pic>
    <xdr:clientData/>
  </xdr:twoCellAnchor>
  <xdr:twoCellAnchor editAs="oneCell">
    <xdr:from>
      <xdr:col>0</xdr:col>
      <xdr:colOff>582453</xdr:colOff>
      <xdr:row>866</xdr:row>
      <xdr:rowOff>63808</xdr:rowOff>
    </xdr:from>
    <xdr:to>
      <xdr:col>0</xdr:col>
      <xdr:colOff>2054066</xdr:colOff>
      <xdr:row>866</xdr:row>
      <xdr:rowOff>721033</xdr:rowOff>
    </xdr:to>
    <xdr:pic>
      <xdr:nvPicPr>
        <xdr:cNvPr id="1733" name="Picture 1732" descr="Insight Picture 1732">
          <a:extLst>
            <a:ext uri="{FF2B5EF4-FFF2-40B4-BE49-F238E27FC236}">
              <a16:creationId xmlns:a16="http://schemas.microsoft.com/office/drawing/2014/main" id="{410EC4C3-AD50-9615-2FA3-0F5604F8B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>
          <a:off x="582453" y="738350368"/>
          <a:ext cx="1471613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646747</xdr:colOff>
      <xdr:row>867</xdr:row>
      <xdr:rowOff>63818</xdr:rowOff>
    </xdr:from>
    <xdr:to>
      <xdr:col>0</xdr:col>
      <xdr:colOff>1989772</xdr:colOff>
      <xdr:row>867</xdr:row>
      <xdr:rowOff>835343</xdr:rowOff>
    </xdr:to>
    <xdr:pic>
      <xdr:nvPicPr>
        <xdr:cNvPr id="1735" name="Picture 1734" descr="Insight Picture 1734">
          <a:extLst>
            <a:ext uri="{FF2B5EF4-FFF2-40B4-BE49-F238E27FC236}">
              <a16:creationId xmlns:a16="http://schemas.microsoft.com/office/drawing/2014/main" id="{F3FD6314-FDAA-61B2-7115-5E0CE3729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>
          <a:off x="646747" y="739135238"/>
          <a:ext cx="1343025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568166</xdr:colOff>
      <xdr:row>868</xdr:row>
      <xdr:rowOff>61694</xdr:rowOff>
    </xdr:from>
    <xdr:to>
      <xdr:col>0</xdr:col>
      <xdr:colOff>2068354</xdr:colOff>
      <xdr:row>868</xdr:row>
      <xdr:rowOff>883225</xdr:rowOff>
    </xdr:to>
    <xdr:pic>
      <xdr:nvPicPr>
        <xdr:cNvPr id="1737" name="Picture 1736" descr="Insight Picture 1736">
          <a:extLst>
            <a:ext uri="{FF2B5EF4-FFF2-40B4-BE49-F238E27FC236}">
              <a16:creationId xmlns:a16="http://schemas.microsoft.com/office/drawing/2014/main" id="{1A839E4A-F9EB-7584-4690-93D050350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>
          <a:off x="568166" y="740032274"/>
          <a:ext cx="1500188" cy="821531"/>
        </a:xfrm>
        <a:prstGeom prst="rect">
          <a:avLst/>
        </a:prstGeom>
      </xdr:spPr>
    </xdr:pic>
    <xdr:clientData/>
  </xdr:twoCellAnchor>
  <xdr:twoCellAnchor editAs="oneCell">
    <xdr:from>
      <xdr:col>0</xdr:col>
      <xdr:colOff>646747</xdr:colOff>
      <xdr:row>869</xdr:row>
      <xdr:rowOff>63808</xdr:rowOff>
    </xdr:from>
    <xdr:to>
      <xdr:col>0</xdr:col>
      <xdr:colOff>1989772</xdr:colOff>
      <xdr:row>869</xdr:row>
      <xdr:rowOff>835333</xdr:rowOff>
    </xdr:to>
    <xdr:pic>
      <xdr:nvPicPr>
        <xdr:cNvPr id="1739" name="Picture 1738" descr="Insight Picture 1738">
          <a:extLst>
            <a:ext uri="{FF2B5EF4-FFF2-40B4-BE49-F238E27FC236}">
              <a16:creationId xmlns:a16="http://schemas.microsoft.com/office/drawing/2014/main" id="{488C3672-1E3F-25B7-D15B-47516E743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>
          <a:off x="646747" y="740979268"/>
          <a:ext cx="1343025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718185</xdr:colOff>
      <xdr:row>870</xdr:row>
      <xdr:rowOff>61932</xdr:rowOff>
    </xdr:from>
    <xdr:to>
      <xdr:col>0</xdr:col>
      <xdr:colOff>1918335</xdr:colOff>
      <xdr:row>870</xdr:row>
      <xdr:rowOff>890607</xdr:rowOff>
    </xdr:to>
    <xdr:pic>
      <xdr:nvPicPr>
        <xdr:cNvPr id="1741" name="Picture 1740" descr="Insight Picture 1740">
          <a:extLst>
            <a:ext uri="{FF2B5EF4-FFF2-40B4-BE49-F238E27FC236}">
              <a16:creationId xmlns:a16="http://schemas.microsoft.com/office/drawing/2014/main" id="{6B7A9F5A-6C93-1264-3A16-3CFF89953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>
          <a:off x="718185" y="741876552"/>
          <a:ext cx="120015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600313</xdr:colOff>
      <xdr:row>871</xdr:row>
      <xdr:rowOff>61932</xdr:rowOff>
    </xdr:from>
    <xdr:to>
      <xdr:col>0</xdr:col>
      <xdr:colOff>2036207</xdr:colOff>
      <xdr:row>871</xdr:row>
      <xdr:rowOff>776307</xdr:rowOff>
    </xdr:to>
    <xdr:pic>
      <xdr:nvPicPr>
        <xdr:cNvPr id="1743" name="Picture 1742" descr="Insight Picture 1742">
          <a:extLst>
            <a:ext uri="{FF2B5EF4-FFF2-40B4-BE49-F238E27FC236}">
              <a16:creationId xmlns:a16="http://schemas.microsoft.com/office/drawing/2014/main" id="{9D8F71A3-4456-65FC-8707-6DEBEE9D6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>
          <a:off x="600313" y="742829052"/>
          <a:ext cx="1435894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593170</xdr:colOff>
      <xdr:row>872</xdr:row>
      <xdr:rowOff>62875</xdr:rowOff>
    </xdr:from>
    <xdr:to>
      <xdr:col>0</xdr:col>
      <xdr:colOff>2043351</xdr:colOff>
      <xdr:row>872</xdr:row>
      <xdr:rowOff>691525</xdr:rowOff>
    </xdr:to>
    <xdr:pic>
      <xdr:nvPicPr>
        <xdr:cNvPr id="1745" name="Picture 1744" descr="Insight Picture 1744">
          <a:extLst>
            <a:ext uri="{FF2B5EF4-FFF2-40B4-BE49-F238E27FC236}">
              <a16:creationId xmlns:a16="http://schemas.microsoft.com/office/drawing/2014/main" id="{BC830D99-FC75-135F-C516-C74D4D16F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>
          <a:off x="593170" y="743668195"/>
          <a:ext cx="1450181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757475</xdr:colOff>
      <xdr:row>873</xdr:row>
      <xdr:rowOff>61664</xdr:rowOff>
    </xdr:from>
    <xdr:to>
      <xdr:col>0</xdr:col>
      <xdr:colOff>1879044</xdr:colOff>
      <xdr:row>873</xdr:row>
      <xdr:rowOff>883195</xdr:rowOff>
    </xdr:to>
    <xdr:pic>
      <xdr:nvPicPr>
        <xdr:cNvPr id="1747" name="Picture 1746" descr="Insight Picture 1746">
          <a:extLst>
            <a:ext uri="{FF2B5EF4-FFF2-40B4-BE49-F238E27FC236}">
              <a16:creationId xmlns:a16="http://schemas.microsoft.com/office/drawing/2014/main" id="{BD10E177-E188-0781-688E-22300F3EB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>
          <a:off x="757475" y="744421364"/>
          <a:ext cx="1121569" cy="821531"/>
        </a:xfrm>
        <a:prstGeom prst="rect">
          <a:avLst/>
        </a:prstGeom>
      </xdr:spPr>
    </xdr:pic>
    <xdr:clientData/>
  </xdr:twoCellAnchor>
  <xdr:twoCellAnchor editAs="oneCell">
    <xdr:from>
      <xdr:col>0</xdr:col>
      <xdr:colOff>775335</xdr:colOff>
      <xdr:row>874</xdr:row>
      <xdr:rowOff>61198</xdr:rowOff>
    </xdr:from>
    <xdr:to>
      <xdr:col>0</xdr:col>
      <xdr:colOff>1861185</xdr:colOff>
      <xdr:row>874</xdr:row>
      <xdr:rowOff>1097042</xdr:rowOff>
    </xdr:to>
    <xdr:pic>
      <xdr:nvPicPr>
        <xdr:cNvPr id="1749" name="Picture 1748" descr="Insight Picture 1748">
          <a:extLst>
            <a:ext uri="{FF2B5EF4-FFF2-40B4-BE49-F238E27FC236}">
              <a16:creationId xmlns:a16="http://schemas.microsoft.com/office/drawing/2014/main" id="{C1C7A9E4-BC7F-BA7E-84DE-C8360471C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>
          <a:off x="775335" y="745365778"/>
          <a:ext cx="1085850" cy="1035844"/>
        </a:xfrm>
        <a:prstGeom prst="rect">
          <a:avLst/>
        </a:prstGeom>
      </xdr:spPr>
    </xdr:pic>
    <xdr:clientData/>
  </xdr:twoCellAnchor>
  <xdr:twoCellAnchor editAs="oneCell">
    <xdr:from>
      <xdr:col>0</xdr:col>
      <xdr:colOff>825341</xdr:colOff>
      <xdr:row>875</xdr:row>
      <xdr:rowOff>63569</xdr:rowOff>
    </xdr:from>
    <xdr:to>
      <xdr:col>0</xdr:col>
      <xdr:colOff>1811179</xdr:colOff>
      <xdr:row>875</xdr:row>
      <xdr:rowOff>942250</xdr:rowOff>
    </xdr:to>
    <xdr:pic>
      <xdr:nvPicPr>
        <xdr:cNvPr id="1751" name="Picture 1750" descr="Insight Picture 1750">
          <a:extLst>
            <a:ext uri="{FF2B5EF4-FFF2-40B4-BE49-F238E27FC236}">
              <a16:creationId xmlns:a16="http://schemas.microsoft.com/office/drawing/2014/main" id="{C7207508-4C92-EC00-4786-2FE8745BC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>
          <a:off x="825341" y="746526389"/>
          <a:ext cx="985838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546735</xdr:colOff>
      <xdr:row>876</xdr:row>
      <xdr:rowOff>63808</xdr:rowOff>
    </xdr:from>
    <xdr:to>
      <xdr:col>0</xdr:col>
      <xdr:colOff>2089785</xdr:colOff>
      <xdr:row>876</xdr:row>
      <xdr:rowOff>721033</xdr:rowOff>
    </xdr:to>
    <xdr:pic>
      <xdr:nvPicPr>
        <xdr:cNvPr id="1753" name="Picture 1752" descr="Insight Picture 1752">
          <a:extLst>
            <a:ext uri="{FF2B5EF4-FFF2-40B4-BE49-F238E27FC236}">
              <a16:creationId xmlns:a16="http://schemas.microsoft.com/office/drawing/2014/main" id="{63BBFA93-18B4-C747-8126-20AFCC8DF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>
          <a:off x="546735" y="747532468"/>
          <a:ext cx="1543050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603885</xdr:colOff>
      <xdr:row>877</xdr:row>
      <xdr:rowOff>63569</xdr:rowOff>
    </xdr:from>
    <xdr:to>
      <xdr:col>0</xdr:col>
      <xdr:colOff>2032635</xdr:colOff>
      <xdr:row>877</xdr:row>
      <xdr:rowOff>827950</xdr:rowOff>
    </xdr:to>
    <xdr:pic>
      <xdr:nvPicPr>
        <xdr:cNvPr id="1755" name="Picture 1754" descr="Insight Picture 1754">
          <a:extLst>
            <a:ext uri="{FF2B5EF4-FFF2-40B4-BE49-F238E27FC236}">
              <a16:creationId xmlns:a16="http://schemas.microsoft.com/office/drawing/2014/main" id="{EB45F682-DFFD-7183-C7CE-6F4BDBC15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>
          <a:off x="603885" y="748317089"/>
          <a:ext cx="1428750" cy="764381"/>
        </a:xfrm>
        <a:prstGeom prst="rect">
          <a:avLst/>
        </a:prstGeom>
      </xdr:spPr>
    </xdr:pic>
    <xdr:clientData/>
  </xdr:twoCellAnchor>
  <xdr:twoCellAnchor editAs="oneCell">
    <xdr:from>
      <xdr:col>0</xdr:col>
      <xdr:colOff>536020</xdr:colOff>
      <xdr:row>878</xdr:row>
      <xdr:rowOff>63560</xdr:rowOff>
    </xdr:from>
    <xdr:to>
      <xdr:col>0</xdr:col>
      <xdr:colOff>2100501</xdr:colOff>
      <xdr:row>878</xdr:row>
      <xdr:rowOff>713641</xdr:rowOff>
    </xdr:to>
    <xdr:pic>
      <xdr:nvPicPr>
        <xdr:cNvPr id="1757" name="Picture 1756" descr="Insight Picture 1756">
          <a:extLst>
            <a:ext uri="{FF2B5EF4-FFF2-40B4-BE49-F238E27FC236}">
              <a16:creationId xmlns:a16="http://schemas.microsoft.com/office/drawing/2014/main" id="{074F979D-CA7C-A36C-38A1-BE6430DCF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>
          <a:off x="536020" y="749208620"/>
          <a:ext cx="1564481" cy="650081"/>
        </a:xfrm>
        <a:prstGeom prst="rect">
          <a:avLst/>
        </a:prstGeom>
      </xdr:spPr>
    </xdr:pic>
    <xdr:clientData/>
  </xdr:twoCellAnchor>
  <xdr:twoCellAnchor editAs="oneCell">
    <xdr:from>
      <xdr:col>0</xdr:col>
      <xdr:colOff>828913</xdr:colOff>
      <xdr:row>879</xdr:row>
      <xdr:rowOff>61913</xdr:rowOff>
    </xdr:from>
    <xdr:to>
      <xdr:col>0</xdr:col>
      <xdr:colOff>1807607</xdr:colOff>
      <xdr:row>879</xdr:row>
      <xdr:rowOff>890588</xdr:rowOff>
    </xdr:to>
    <xdr:pic>
      <xdr:nvPicPr>
        <xdr:cNvPr id="1759" name="Picture 1758" descr="Insight Picture 1758">
          <a:extLst>
            <a:ext uri="{FF2B5EF4-FFF2-40B4-BE49-F238E27FC236}">
              <a16:creationId xmlns:a16="http://schemas.microsoft.com/office/drawing/2014/main" id="{E5715BEC-74D2-3DC3-41F7-676183207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>
          <a:off x="828913" y="749984213"/>
          <a:ext cx="978694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678895</xdr:colOff>
      <xdr:row>880</xdr:row>
      <xdr:rowOff>63798</xdr:rowOff>
    </xdr:from>
    <xdr:to>
      <xdr:col>0</xdr:col>
      <xdr:colOff>1957626</xdr:colOff>
      <xdr:row>880</xdr:row>
      <xdr:rowOff>835323</xdr:rowOff>
    </xdr:to>
    <xdr:pic>
      <xdr:nvPicPr>
        <xdr:cNvPr id="1761" name="Picture 1760" descr="Insight Picture 1760">
          <a:extLst>
            <a:ext uri="{FF2B5EF4-FFF2-40B4-BE49-F238E27FC236}">
              <a16:creationId xmlns:a16="http://schemas.microsoft.com/office/drawing/2014/main" id="{58273F56-DFA5-A842-096E-2C4D43EC7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>
          <a:off x="678895" y="750938598"/>
          <a:ext cx="1278731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632460</xdr:colOff>
      <xdr:row>881</xdr:row>
      <xdr:rowOff>62369</xdr:rowOff>
    </xdr:from>
    <xdr:to>
      <xdr:col>0</xdr:col>
      <xdr:colOff>2004060</xdr:colOff>
      <xdr:row>881</xdr:row>
      <xdr:rowOff>905332</xdr:rowOff>
    </xdr:to>
    <xdr:pic>
      <xdr:nvPicPr>
        <xdr:cNvPr id="1763" name="Picture 1762" descr="Insight Picture 1762">
          <a:extLst>
            <a:ext uri="{FF2B5EF4-FFF2-40B4-BE49-F238E27FC236}">
              <a16:creationId xmlns:a16="http://schemas.microsoft.com/office/drawing/2014/main" id="{3BDE2482-A011-E615-8299-F3C108E71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>
          <a:off x="632460" y="751836329"/>
          <a:ext cx="1371600" cy="842963"/>
        </a:xfrm>
        <a:prstGeom prst="rect">
          <a:avLst/>
        </a:prstGeom>
      </xdr:spPr>
    </xdr:pic>
    <xdr:clientData/>
  </xdr:twoCellAnchor>
  <xdr:twoCellAnchor editAs="oneCell">
    <xdr:from>
      <xdr:col>0</xdr:col>
      <xdr:colOff>568166</xdr:colOff>
      <xdr:row>882</xdr:row>
      <xdr:rowOff>60226</xdr:rowOff>
    </xdr:from>
    <xdr:to>
      <xdr:col>0</xdr:col>
      <xdr:colOff>2068354</xdr:colOff>
      <xdr:row>882</xdr:row>
      <xdr:rowOff>838895</xdr:rowOff>
    </xdr:to>
    <xdr:pic>
      <xdr:nvPicPr>
        <xdr:cNvPr id="1765" name="Picture 1764" descr="Insight Picture 1764">
          <a:extLst>
            <a:ext uri="{FF2B5EF4-FFF2-40B4-BE49-F238E27FC236}">
              <a16:creationId xmlns:a16="http://schemas.microsoft.com/office/drawing/2014/main" id="{0E2913C4-4FC1-DD80-029A-6ABD348BD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>
          <a:off x="568166" y="752801926"/>
          <a:ext cx="1500188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650320</xdr:colOff>
      <xdr:row>883</xdr:row>
      <xdr:rowOff>61178</xdr:rowOff>
    </xdr:from>
    <xdr:to>
      <xdr:col>0</xdr:col>
      <xdr:colOff>1986201</xdr:colOff>
      <xdr:row>883</xdr:row>
      <xdr:rowOff>754122</xdr:rowOff>
    </xdr:to>
    <xdr:pic>
      <xdr:nvPicPr>
        <xdr:cNvPr id="1767" name="Picture 1766" descr="Insight Picture 1766">
          <a:extLst>
            <a:ext uri="{FF2B5EF4-FFF2-40B4-BE49-F238E27FC236}">
              <a16:creationId xmlns:a16="http://schemas.microsoft.com/office/drawing/2014/main" id="{952D7859-DBF7-38A9-1555-08632877E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>
          <a:off x="650320" y="753702038"/>
          <a:ext cx="1335881" cy="692944"/>
        </a:xfrm>
        <a:prstGeom prst="rect">
          <a:avLst/>
        </a:prstGeom>
      </xdr:spPr>
    </xdr:pic>
    <xdr:clientData/>
  </xdr:twoCellAnchor>
  <xdr:twoCellAnchor editAs="oneCell">
    <xdr:from>
      <xdr:col>0</xdr:col>
      <xdr:colOff>639603</xdr:colOff>
      <xdr:row>884</xdr:row>
      <xdr:rowOff>62855</xdr:rowOff>
    </xdr:from>
    <xdr:to>
      <xdr:col>0</xdr:col>
      <xdr:colOff>1996916</xdr:colOff>
      <xdr:row>884</xdr:row>
      <xdr:rowOff>691505</xdr:rowOff>
    </xdr:to>
    <xdr:pic>
      <xdr:nvPicPr>
        <xdr:cNvPr id="1769" name="Picture 1768" descr="Insight Picture 1768">
          <a:extLst>
            <a:ext uri="{FF2B5EF4-FFF2-40B4-BE49-F238E27FC236}">
              <a16:creationId xmlns:a16="http://schemas.microsoft.com/office/drawing/2014/main" id="{EEA495DF-346B-9595-1496-E7DD1B7D3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>
          <a:off x="639603" y="754519055"/>
          <a:ext cx="1357313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600313</xdr:colOff>
      <xdr:row>885</xdr:row>
      <xdr:rowOff>62885</xdr:rowOff>
    </xdr:from>
    <xdr:to>
      <xdr:col>0</xdr:col>
      <xdr:colOff>2036207</xdr:colOff>
      <xdr:row>885</xdr:row>
      <xdr:rowOff>691535</xdr:rowOff>
    </xdr:to>
    <xdr:pic>
      <xdr:nvPicPr>
        <xdr:cNvPr id="1771" name="Picture 1770" descr="Insight Picture 1770">
          <a:extLst>
            <a:ext uri="{FF2B5EF4-FFF2-40B4-BE49-F238E27FC236}">
              <a16:creationId xmlns:a16="http://schemas.microsoft.com/office/drawing/2014/main" id="{FCBFEECB-24C8-4373-CA7B-CDC4A6B54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>
          <a:off x="600313" y="755273465"/>
          <a:ext cx="1435894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664607</xdr:colOff>
      <xdr:row>886</xdr:row>
      <xdr:rowOff>62170</xdr:rowOff>
    </xdr:from>
    <xdr:to>
      <xdr:col>0</xdr:col>
      <xdr:colOff>1971913</xdr:colOff>
      <xdr:row>886</xdr:row>
      <xdr:rowOff>669389</xdr:rowOff>
    </xdr:to>
    <xdr:pic>
      <xdr:nvPicPr>
        <xdr:cNvPr id="1773" name="Picture 1772" descr="Insight Picture 1772">
          <a:extLst>
            <a:ext uri="{FF2B5EF4-FFF2-40B4-BE49-F238E27FC236}">
              <a16:creationId xmlns:a16="http://schemas.microsoft.com/office/drawing/2014/main" id="{1841D836-5862-805F-5550-B7CEE82FF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>
          <a:off x="664607" y="756027130"/>
          <a:ext cx="1307306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593170</xdr:colOff>
      <xdr:row>887</xdr:row>
      <xdr:rowOff>63579</xdr:rowOff>
    </xdr:from>
    <xdr:to>
      <xdr:col>0</xdr:col>
      <xdr:colOff>2043351</xdr:colOff>
      <xdr:row>887</xdr:row>
      <xdr:rowOff>599360</xdr:rowOff>
    </xdr:to>
    <xdr:pic>
      <xdr:nvPicPr>
        <xdr:cNvPr id="1775" name="Picture 1774" descr="Insight Picture 1774">
          <a:extLst>
            <a:ext uri="{FF2B5EF4-FFF2-40B4-BE49-F238E27FC236}">
              <a16:creationId xmlns:a16="http://schemas.microsoft.com/office/drawing/2014/main" id="{C5F716B1-103E-F313-41BD-5FE77BB21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>
          <a:off x="593170" y="756760059"/>
          <a:ext cx="1450181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675322</xdr:colOff>
      <xdr:row>888</xdr:row>
      <xdr:rowOff>63569</xdr:rowOff>
    </xdr:from>
    <xdr:to>
      <xdr:col>0</xdr:col>
      <xdr:colOff>1961197</xdr:colOff>
      <xdr:row>888</xdr:row>
      <xdr:rowOff>827950</xdr:rowOff>
    </xdr:to>
    <xdr:pic>
      <xdr:nvPicPr>
        <xdr:cNvPr id="1777" name="Picture 1776" descr="Insight Picture 1776">
          <a:extLst>
            <a:ext uri="{FF2B5EF4-FFF2-40B4-BE49-F238E27FC236}">
              <a16:creationId xmlns:a16="http://schemas.microsoft.com/office/drawing/2014/main" id="{2F6F295A-3ACB-69FE-5AB3-D4BB47016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>
          <a:off x="675322" y="757422989"/>
          <a:ext cx="1285875" cy="764381"/>
        </a:xfrm>
        <a:prstGeom prst="rect">
          <a:avLst/>
        </a:prstGeom>
      </xdr:spPr>
    </xdr:pic>
    <xdr:clientData/>
  </xdr:twoCellAnchor>
  <xdr:twoCellAnchor editAs="oneCell">
    <xdr:from>
      <xdr:col>0</xdr:col>
      <xdr:colOff>646747</xdr:colOff>
      <xdr:row>889</xdr:row>
      <xdr:rowOff>61922</xdr:rowOff>
    </xdr:from>
    <xdr:to>
      <xdr:col>0</xdr:col>
      <xdr:colOff>1989772</xdr:colOff>
      <xdr:row>889</xdr:row>
      <xdr:rowOff>890597</xdr:rowOff>
    </xdr:to>
    <xdr:pic>
      <xdr:nvPicPr>
        <xdr:cNvPr id="1779" name="Picture 1778" descr="Insight Picture 1778">
          <a:extLst>
            <a:ext uri="{FF2B5EF4-FFF2-40B4-BE49-F238E27FC236}">
              <a16:creationId xmlns:a16="http://schemas.microsoft.com/office/drawing/2014/main" id="{14A0152D-70DF-D524-6EA1-CE9AEA290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>
          <a:off x="646747" y="758312882"/>
          <a:ext cx="1343025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611028</xdr:colOff>
      <xdr:row>890</xdr:row>
      <xdr:rowOff>62865</xdr:rowOff>
    </xdr:from>
    <xdr:to>
      <xdr:col>0</xdr:col>
      <xdr:colOff>2025491</xdr:colOff>
      <xdr:row>890</xdr:row>
      <xdr:rowOff>920115</xdr:rowOff>
    </xdr:to>
    <xdr:pic>
      <xdr:nvPicPr>
        <xdr:cNvPr id="1781" name="Picture 1780" descr="Insight Picture 1780">
          <a:extLst>
            <a:ext uri="{FF2B5EF4-FFF2-40B4-BE49-F238E27FC236}">
              <a16:creationId xmlns:a16="http://schemas.microsoft.com/office/drawing/2014/main" id="{18227613-B0B6-3B88-2ACB-49F64080F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>
          <a:off x="611028" y="759266325"/>
          <a:ext cx="1414463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568166</xdr:colOff>
      <xdr:row>891</xdr:row>
      <xdr:rowOff>63093</xdr:rowOff>
    </xdr:from>
    <xdr:to>
      <xdr:col>0</xdr:col>
      <xdr:colOff>2068354</xdr:colOff>
      <xdr:row>891</xdr:row>
      <xdr:rowOff>927487</xdr:rowOff>
    </xdr:to>
    <xdr:pic>
      <xdr:nvPicPr>
        <xdr:cNvPr id="1783" name="Picture 1782" descr="Insight Picture 1782">
          <a:extLst>
            <a:ext uri="{FF2B5EF4-FFF2-40B4-BE49-F238E27FC236}">
              <a16:creationId xmlns:a16="http://schemas.microsoft.com/office/drawing/2014/main" id="{24BFBB1F-43A8-4E3A-9B6F-B2C77FEDB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>
          <a:off x="568166" y="760249533"/>
          <a:ext cx="1500188" cy="864394"/>
        </a:xfrm>
        <a:prstGeom prst="rect">
          <a:avLst/>
        </a:prstGeom>
      </xdr:spPr>
    </xdr:pic>
    <xdr:clientData/>
  </xdr:twoCellAnchor>
  <xdr:twoCellAnchor editAs="oneCell">
    <xdr:from>
      <xdr:col>0</xdr:col>
      <xdr:colOff>546735</xdr:colOff>
      <xdr:row>892</xdr:row>
      <xdr:rowOff>61655</xdr:rowOff>
    </xdr:from>
    <xdr:to>
      <xdr:col>0</xdr:col>
      <xdr:colOff>2089785</xdr:colOff>
      <xdr:row>892</xdr:row>
      <xdr:rowOff>883186</xdr:rowOff>
    </xdr:to>
    <xdr:pic>
      <xdr:nvPicPr>
        <xdr:cNvPr id="1785" name="Picture 1784" descr="Insight Picture 1784">
          <a:extLst>
            <a:ext uri="{FF2B5EF4-FFF2-40B4-BE49-F238E27FC236}">
              <a16:creationId xmlns:a16="http://schemas.microsoft.com/office/drawing/2014/main" id="{B5627361-C8C6-3AEA-0C97-4ED668EF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>
          <a:off x="546735" y="761238695"/>
          <a:ext cx="1543050" cy="821531"/>
        </a:xfrm>
        <a:prstGeom prst="rect">
          <a:avLst/>
        </a:prstGeom>
      </xdr:spPr>
    </xdr:pic>
    <xdr:clientData/>
  </xdr:twoCellAnchor>
  <xdr:twoCellAnchor editAs="oneCell">
    <xdr:from>
      <xdr:col>0</xdr:col>
      <xdr:colOff>871775</xdr:colOff>
      <xdr:row>893</xdr:row>
      <xdr:rowOff>61436</xdr:rowOff>
    </xdr:from>
    <xdr:to>
      <xdr:col>0</xdr:col>
      <xdr:colOff>1764744</xdr:colOff>
      <xdr:row>893</xdr:row>
      <xdr:rowOff>647224</xdr:rowOff>
    </xdr:to>
    <xdr:pic>
      <xdr:nvPicPr>
        <xdr:cNvPr id="1787" name="Picture 1786" descr="Insight Picture 1786">
          <a:extLst>
            <a:ext uri="{FF2B5EF4-FFF2-40B4-BE49-F238E27FC236}">
              <a16:creationId xmlns:a16="http://schemas.microsoft.com/office/drawing/2014/main" id="{2D6FBFD6-B8F0-0BD9-2C6B-5D3852E61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>
          <a:off x="871775" y="762183356"/>
          <a:ext cx="892969" cy="585788"/>
        </a:xfrm>
        <a:prstGeom prst="rect">
          <a:avLst/>
        </a:prstGeom>
      </xdr:spPr>
    </xdr:pic>
    <xdr:clientData/>
  </xdr:twoCellAnchor>
  <xdr:twoCellAnchor editAs="oneCell">
    <xdr:from>
      <xdr:col>0</xdr:col>
      <xdr:colOff>793195</xdr:colOff>
      <xdr:row>894</xdr:row>
      <xdr:rowOff>62389</xdr:rowOff>
    </xdr:from>
    <xdr:to>
      <xdr:col>0</xdr:col>
      <xdr:colOff>1843326</xdr:colOff>
      <xdr:row>894</xdr:row>
      <xdr:rowOff>562452</xdr:rowOff>
    </xdr:to>
    <xdr:pic>
      <xdr:nvPicPr>
        <xdr:cNvPr id="1789" name="Picture 1788" descr="Insight Picture 1788">
          <a:extLst>
            <a:ext uri="{FF2B5EF4-FFF2-40B4-BE49-F238E27FC236}">
              <a16:creationId xmlns:a16="http://schemas.microsoft.com/office/drawing/2014/main" id="{9F3D1C6B-4880-6B53-9229-15820D258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>
          <a:off x="793195" y="762892969"/>
          <a:ext cx="1050131" cy="500063"/>
        </a:xfrm>
        <a:prstGeom prst="rect">
          <a:avLst/>
        </a:prstGeom>
      </xdr:spPr>
    </xdr:pic>
    <xdr:clientData/>
  </xdr:twoCellAnchor>
  <xdr:twoCellAnchor editAs="oneCell">
    <xdr:from>
      <xdr:col>0</xdr:col>
      <xdr:colOff>689610</xdr:colOff>
      <xdr:row>895</xdr:row>
      <xdr:rowOff>63569</xdr:rowOff>
    </xdr:from>
    <xdr:to>
      <xdr:col>0</xdr:col>
      <xdr:colOff>1946910</xdr:colOff>
      <xdr:row>895</xdr:row>
      <xdr:rowOff>942250</xdr:rowOff>
    </xdr:to>
    <xdr:pic>
      <xdr:nvPicPr>
        <xdr:cNvPr id="1791" name="Picture 1790" descr="Insight Picture 1790">
          <a:extLst>
            <a:ext uri="{FF2B5EF4-FFF2-40B4-BE49-F238E27FC236}">
              <a16:creationId xmlns:a16="http://schemas.microsoft.com/office/drawing/2014/main" id="{0F139167-9E3F-059E-83DE-A10ECCDB0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>
          <a:off x="689610" y="763518989"/>
          <a:ext cx="1257300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825341</xdr:colOff>
      <xdr:row>896</xdr:row>
      <xdr:rowOff>63560</xdr:rowOff>
    </xdr:from>
    <xdr:to>
      <xdr:col>0</xdr:col>
      <xdr:colOff>1811179</xdr:colOff>
      <xdr:row>896</xdr:row>
      <xdr:rowOff>942241</xdr:rowOff>
    </xdr:to>
    <xdr:pic>
      <xdr:nvPicPr>
        <xdr:cNvPr id="1793" name="Picture 1792" descr="Insight Picture 1792">
          <a:extLst>
            <a:ext uri="{FF2B5EF4-FFF2-40B4-BE49-F238E27FC236}">
              <a16:creationId xmlns:a16="http://schemas.microsoft.com/office/drawing/2014/main" id="{A001B4B2-255E-6C7A-CB12-361F5FB2B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>
          <a:off x="825341" y="764524820"/>
          <a:ext cx="985838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578882</xdr:colOff>
      <xdr:row>897</xdr:row>
      <xdr:rowOff>62607</xdr:rowOff>
    </xdr:from>
    <xdr:to>
      <xdr:col>0</xdr:col>
      <xdr:colOff>2057638</xdr:colOff>
      <xdr:row>897</xdr:row>
      <xdr:rowOff>798413</xdr:rowOff>
    </xdr:to>
    <xdr:pic>
      <xdr:nvPicPr>
        <xdr:cNvPr id="1795" name="Picture 1794" descr="Insight Picture 1794">
          <a:extLst>
            <a:ext uri="{FF2B5EF4-FFF2-40B4-BE49-F238E27FC236}">
              <a16:creationId xmlns:a16="http://schemas.microsoft.com/office/drawing/2014/main" id="{54673B98-9C09-7C03-1230-693866F60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>
          <a:off x="578882" y="765529707"/>
          <a:ext cx="1478756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461010</xdr:colOff>
      <xdr:row>898</xdr:row>
      <xdr:rowOff>60732</xdr:rowOff>
    </xdr:from>
    <xdr:to>
      <xdr:col>0</xdr:col>
      <xdr:colOff>2175510</xdr:colOff>
      <xdr:row>898</xdr:row>
      <xdr:rowOff>853688</xdr:rowOff>
    </xdr:to>
    <xdr:pic>
      <xdr:nvPicPr>
        <xdr:cNvPr id="1797" name="Picture 1796" descr="Insight Picture 1796">
          <a:extLst>
            <a:ext uri="{FF2B5EF4-FFF2-40B4-BE49-F238E27FC236}">
              <a16:creationId xmlns:a16="http://schemas.microsoft.com/office/drawing/2014/main" id="{542B8416-E694-6A08-1759-4D29EFA18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>
          <a:off x="461010" y="766388892"/>
          <a:ext cx="1714500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589597</xdr:colOff>
      <xdr:row>899</xdr:row>
      <xdr:rowOff>62369</xdr:rowOff>
    </xdr:from>
    <xdr:to>
      <xdr:col>0</xdr:col>
      <xdr:colOff>2046922</xdr:colOff>
      <xdr:row>899</xdr:row>
      <xdr:rowOff>905332</xdr:rowOff>
    </xdr:to>
    <xdr:pic>
      <xdr:nvPicPr>
        <xdr:cNvPr id="1799" name="Picture 1798" descr="Insight Picture 1798">
          <a:extLst>
            <a:ext uri="{FF2B5EF4-FFF2-40B4-BE49-F238E27FC236}">
              <a16:creationId xmlns:a16="http://schemas.microsoft.com/office/drawing/2014/main" id="{E7FE53B7-5B4A-1523-E3C6-C49E30069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>
          <a:off x="589597" y="767304929"/>
          <a:ext cx="1457325" cy="842963"/>
        </a:xfrm>
        <a:prstGeom prst="rect">
          <a:avLst/>
        </a:prstGeom>
      </xdr:spPr>
    </xdr:pic>
    <xdr:clientData/>
  </xdr:twoCellAnchor>
  <xdr:twoCellAnchor editAs="oneCell">
    <xdr:from>
      <xdr:col>0</xdr:col>
      <xdr:colOff>678895</xdr:colOff>
      <xdr:row>900</xdr:row>
      <xdr:rowOff>61664</xdr:rowOff>
    </xdr:from>
    <xdr:to>
      <xdr:col>0</xdr:col>
      <xdr:colOff>1957626</xdr:colOff>
      <xdr:row>900</xdr:row>
      <xdr:rowOff>883195</xdr:rowOff>
    </xdr:to>
    <xdr:pic>
      <xdr:nvPicPr>
        <xdr:cNvPr id="1801" name="Picture 1800" descr="Insight Picture 1800">
          <a:extLst>
            <a:ext uri="{FF2B5EF4-FFF2-40B4-BE49-F238E27FC236}">
              <a16:creationId xmlns:a16="http://schemas.microsoft.com/office/drawing/2014/main" id="{A08ADDCA-47BF-3B1F-0239-0B29309F0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>
          <a:off x="678895" y="768271964"/>
          <a:ext cx="1278731" cy="821531"/>
        </a:xfrm>
        <a:prstGeom prst="rect">
          <a:avLst/>
        </a:prstGeom>
      </xdr:spPr>
    </xdr:pic>
    <xdr:clientData/>
  </xdr:twoCellAnchor>
  <xdr:twoCellAnchor editAs="oneCell">
    <xdr:from>
      <xdr:col>0</xdr:col>
      <xdr:colOff>496728</xdr:colOff>
      <xdr:row>901</xdr:row>
      <xdr:rowOff>62637</xdr:rowOff>
    </xdr:from>
    <xdr:to>
      <xdr:col>0</xdr:col>
      <xdr:colOff>2139791</xdr:colOff>
      <xdr:row>901</xdr:row>
      <xdr:rowOff>798443</xdr:rowOff>
    </xdr:to>
    <xdr:pic>
      <xdr:nvPicPr>
        <xdr:cNvPr id="1803" name="Picture 1802" descr="Insight Picture 1802">
          <a:extLst>
            <a:ext uri="{FF2B5EF4-FFF2-40B4-BE49-F238E27FC236}">
              <a16:creationId xmlns:a16="http://schemas.microsoft.com/office/drawing/2014/main" id="{E87B7FDB-AB9C-07D1-8FE1-EE38700FF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>
          <a:off x="496728" y="769217817"/>
          <a:ext cx="1643063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736045</xdr:colOff>
      <xdr:row>902</xdr:row>
      <xdr:rowOff>61208</xdr:rowOff>
    </xdr:from>
    <xdr:to>
      <xdr:col>0</xdr:col>
      <xdr:colOff>1900476</xdr:colOff>
      <xdr:row>902</xdr:row>
      <xdr:rowOff>754152</xdr:rowOff>
    </xdr:to>
    <xdr:pic>
      <xdr:nvPicPr>
        <xdr:cNvPr id="1805" name="Picture 1804" descr="Insight Picture 1804">
          <a:extLst>
            <a:ext uri="{FF2B5EF4-FFF2-40B4-BE49-F238E27FC236}">
              <a16:creationId xmlns:a16="http://schemas.microsoft.com/office/drawing/2014/main" id="{A60E772B-B453-BE62-F8FF-8CCCA34E8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>
          <a:off x="736045" y="770077448"/>
          <a:ext cx="1164431" cy="692944"/>
        </a:xfrm>
        <a:prstGeom prst="rect">
          <a:avLst/>
        </a:prstGeom>
      </xdr:spPr>
    </xdr:pic>
    <xdr:clientData/>
  </xdr:twoCellAnchor>
  <xdr:twoCellAnchor editAs="oneCell">
    <xdr:from>
      <xdr:col>0</xdr:col>
      <xdr:colOff>882491</xdr:colOff>
      <xdr:row>903</xdr:row>
      <xdr:rowOff>63579</xdr:rowOff>
    </xdr:from>
    <xdr:to>
      <xdr:col>0</xdr:col>
      <xdr:colOff>1754029</xdr:colOff>
      <xdr:row>903</xdr:row>
      <xdr:rowOff>599360</xdr:rowOff>
    </xdr:to>
    <xdr:pic>
      <xdr:nvPicPr>
        <xdr:cNvPr id="1807" name="Picture 1806" descr="Insight Picture 1806">
          <a:extLst>
            <a:ext uri="{FF2B5EF4-FFF2-40B4-BE49-F238E27FC236}">
              <a16:creationId xmlns:a16="http://schemas.microsoft.com/office/drawing/2014/main" id="{AA41CB42-49D5-A803-EF08-BADD8D810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>
          <a:off x="882491" y="770895159"/>
          <a:ext cx="871538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382428</xdr:colOff>
      <xdr:row>904</xdr:row>
      <xdr:rowOff>60246</xdr:rowOff>
    </xdr:from>
    <xdr:to>
      <xdr:col>0</xdr:col>
      <xdr:colOff>2254091</xdr:colOff>
      <xdr:row>904</xdr:row>
      <xdr:rowOff>838915</xdr:rowOff>
    </xdr:to>
    <xdr:pic>
      <xdr:nvPicPr>
        <xdr:cNvPr id="1809" name="Picture 1808" descr="Insight Picture 1808">
          <a:extLst>
            <a:ext uri="{FF2B5EF4-FFF2-40B4-BE49-F238E27FC236}">
              <a16:creationId xmlns:a16="http://schemas.microsoft.com/office/drawing/2014/main" id="{36CE4F18-17FE-D7A6-E3E0-9D71A3DB1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>
          <a:off x="382428" y="771554766"/>
          <a:ext cx="1871663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382428</xdr:colOff>
      <xdr:row>905</xdr:row>
      <xdr:rowOff>60256</xdr:rowOff>
    </xdr:from>
    <xdr:to>
      <xdr:col>0</xdr:col>
      <xdr:colOff>2254091</xdr:colOff>
      <xdr:row>905</xdr:row>
      <xdr:rowOff>838925</xdr:rowOff>
    </xdr:to>
    <xdr:pic>
      <xdr:nvPicPr>
        <xdr:cNvPr id="1811" name="Picture 1810" descr="Insight Picture 1810">
          <a:extLst>
            <a:ext uri="{FF2B5EF4-FFF2-40B4-BE49-F238E27FC236}">
              <a16:creationId xmlns:a16="http://schemas.microsoft.com/office/drawing/2014/main" id="{159226F1-5786-2B95-8923-395346E36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>
          <a:off x="382428" y="772453936"/>
          <a:ext cx="1871663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411003</xdr:colOff>
      <xdr:row>906</xdr:row>
      <xdr:rowOff>63589</xdr:rowOff>
    </xdr:from>
    <xdr:to>
      <xdr:col>0</xdr:col>
      <xdr:colOff>2225516</xdr:colOff>
      <xdr:row>906</xdr:row>
      <xdr:rowOff>599370</xdr:rowOff>
    </xdr:to>
    <xdr:pic>
      <xdr:nvPicPr>
        <xdr:cNvPr id="1813" name="Picture 1812" descr="Insight Picture 1812">
          <a:extLst>
            <a:ext uri="{FF2B5EF4-FFF2-40B4-BE49-F238E27FC236}">
              <a16:creationId xmlns:a16="http://schemas.microsoft.com/office/drawing/2014/main" id="{6DDB1B50-D3DC-48A4-34AE-4ACEE8A65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>
          <a:off x="411003" y="773356429"/>
          <a:ext cx="1814513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578882</xdr:colOff>
      <xdr:row>907</xdr:row>
      <xdr:rowOff>62637</xdr:rowOff>
    </xdr:from>
    <xdr:to>
      <xdr:col>0</xdr:col>
      <xdr:colOff>2057638</xdr:colOff>
      <xdr:row>907</xdr:row>
      <xdr:rowOff>798443</xdr:rowOff>
    </xdr:to>
    <xdr:pic>
      <xdr:nvPicPr>
        <xdr:cNvPr id="1815" name="Picture 1814" descr="Insight Picture 1814">
          <a:extLst>
            <a:ext uri="{FF2B5EF4-FFF2-40B4-BE49-F238E27FC236}">
              <a16:creationId xmlns:a16="http://schemas.microsoft.com/office/drawing/2014/main" id="{507FD9DD-B19B-7F43-26E4-05A956A6F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>
          <a:off x="578882" y="774018417"/>
          <a:ext cx="1478756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578882</xdr:colOff>
      <xdr:row>908</xdr:row>
      <xdr:rowOff>62647</xdr:rowOff>
    </xdr:from>
    <xdr:to>
      <xdr:col>0</xdr:col>
      <xdr:colOff>2057638</xdr:colOff>
      <xdr:row>908</xdr:row>
      <xdr:rowOff>798453</xdr:rowOff>
    </xdr:to>
    <xdr:pic>
      <xdr:nvPicPr>
        <xdr:cNvPr id="1817" name="Picture 1816" descr="Insight Picture 1816">
          <a:extLst>
            <a:ext uri="{FF2B5EF4-FFF2-40B4-BE49-F238E27FC236}">
              <a16:creationId xmlns:a16="http://schemas.microsoft.com/office/drawing/2014/main" id="{B0B8EC2B-A570-88E3-9A96-D7DEAE617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>
          <a:off x="578882" y="774879487"/>
          <a:ext cx="1478756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621745</xdr:colOff>
      <xdr:row>909</xdr:row>
      <xdr:rowOff>61416</xdr:rowOff>
    </xdr:from>
    <xdr:to>
      <xdr:col>0</xdr:col>
      <xdr:colOff>2014776</xdr:colOff>
      <xdr:row>909</xdr:row>
      <xdr:rowOff>761504</xdr:rowOff>
    </xdr:to>
    <xdr:pic>
      <xdr:nvPicPr>
        <xdr:cNvPr id="1819" name="Picture 1818" descr="Insight Picture 1818">
          <a:extLst>
            <a:ext uri="{FF2B5EF4-FFF2-40B4-BE49-F238E27FC236}">
              <a16:creationId xmlns:a16="http://schemas.microsoft.com/office/drawing/2014/main" id="{3D9C72D1-6335-4227-47CF-84725F9E9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>
          <a:off x="621745" y="775739316"/>
          <a:ext cx="1393031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578882</xdr:colOff>
      <xdr:row>910</xdr:row>
      <xdr:rowOff>62617</xdr:rowOff>
    </xdr:from>
    <xdr:to>
      <xdr:col>0</xdr:col>
      <xdr:colOff>2057638</xdr:colOff>
      <xdr:row>910</xdr:row>
      <xdr:rowOff>798423</xdr:rowOff>
    </xdr:to>
    <xdr:pic>
      <xdr:nvPicPr>
        <xdr:cNvPr id="1821" name="Picture 1820" descr="Insight Picture 1820">
          <a:extLst>
            <a:ext uri="{FF2B5EF4-FFF2-40B4-BE49-F238E27FC236}">
              <a16:creationId xmlns:a16="http://schemas.microsoft.com/office/drawing/2014/main" id="{69D820DA-5447-0250-6C37-CD0B23509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>
          <a:off x="578882" y="776563477"/>
          <a:ext cx="1478756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625316</xdr:colOff>
      <xdr:row>911</xdr:row>
      <xdr:rowOff>63818</xdr:rowOff>
    </xdr:from>
    <xdr:to>
      <xdr:col>0</xdr:col>
      <xdr:colOff>2011204</xdr:colOff>
      <xdr:row>911</xdr:row>
      <xdr:rowOff>835343</xdr:rowOff>
    </xdr:to>
    <xdr:pic>
      <xdr:nvPicPr>
        <xdr:cNvPr id="1823" name="Picture 1822" descr="Insight Picture 1822">
          <a:extLst>
            <a:ext uri="{FF2B5EF4-FFF2-40B4-BE49-F238E27FC236}">
              <a16:creationId xmlns:a16="http://schemas.microsoft.com/office/drawing/2014/main" id="{DF5391A7-C859-4070-B974-6F5D78647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>
          <a:off x="625316" y="777425738"/>
          <a:ext cx="1385888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675322</xdr:colOff>
      <xdr:row>912</xdr:row>
      <xdr:rowOff>63827</xdr:rowOff>
    </xdr:from>
    <xdr:to>
      <xdr:col>0</xdr:col>
      <xdr:colOff>1961197</xdr:colOff>
      <xdr:row>912</xdr:row>
      <xdr:rowOff>721052</xdr:rowOff>
    </xdr:to>
    <xdr:pic>
      <xdr:nvPicPr>
        <xdr:cNvPr id="1825" name="Picture 1824" descr="Insight Picture 1824">
          <a:extLst>
            <a:ext uri="{FF2B5EF4-FFF2-40B4-BE49-F238E27FC236}">
              <a16:creationId xmlns:a16="http://schemas.microsoft.com/office/drawing/2014/main" id="{25E6C10B-7F91-EAEE-C166-0689A115F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>
          <a:off x="675322" y="778324907"/>
          <a:ext cx="1285875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625316</xdr:colOff>
      <xdr:row>913</xdr:row>
      <xdr:rowOff>62399</xdr:rowOff>
    </xdr:from>
    <xdr:to>
      <xdr:col>0</xdr:col>
      <xdr:colOff>2011204</xdr:colOff>
      <xdr:row>913</xdr:row>
      <xdr:rowOff>791062</xdr:rowOff>
    </xdr:to>
    <xdr:pic>
      <xdr:nvPicPr>
        <xdr:cNvPr id="1827" name="Picture 1826" descr="Insight Picture 1826">
          <a:extLst>
            <a:ext uri="{FF2B5EF4-FFF2-40B4-BE49-F238E27FC236}">
              <a16:creationId xmlns:a16="http://schemas.microsoft.com/office/drawing/2014/main" id="{8614EA46-9327-A19C-92D9-6D7D904CA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>
          <a:off x="625316" y="779108339"/>
          <a:ext cx="1385888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646747</xdr:colOff>
      <xdr:row>914</xdr:row>
      <xdr:rowOff>63827</xdr:rowOff>
    </xdr:from>
    <xdr:to>
      <xdr:col>0</xdr:col>
      <xdr:colOff>1989772</xdr:colOff>
      <xdr:row>914</xdr:row>
      <xdr:rowOff>835352</xdr:rowOff>
    </xdr:to>
    <xdr:pic>
      <xdr:nvPicPr>
        <xdr:cNvPr id="1829" name="Picture 1828" descr="Insight Picture 1828">
          <a:extLst>
            <a:ext uri="{FF2B5EF4-FFF2-40B4-BE49-F238E27FC236}">
              <a16:creationId xmlns:a16="http://schemas.microsoft.com/office/drawing/2014/main" id="{A8738843-3D1A-0017-A024-D319968F5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>
          <a:off x="646747" y="779963207"/>
          <a:ext cx="1343025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482441</xdr:colOff>
      <xdr:row>915</xdr:row>
      <xdr:rowOff>61655</xdr:rowOff>
    </xdr:from>
    <xdr:to>
      <xdr:col>0</xdr:col>
      <xdr:colOff>2154079</xdr:colOff>
      <xdr:row>915</xdr:row>
      <xdr:rowOff>883186</xdr:rowOff>
    </xdr:to>
    <xdr:pic>
      <xdr:nvPicPr>
        <xdr:cNvPr id="1831" name="Picture 1830" descr="Insight Picture 1830">
          <a:extLst>
            <a:ext uri="{FF2B5EF4-FFF2-40B4-BE49-F238E27FC236}">
              <a16:creationId xmlns:a16="http://schemas.microsoft.com/office/drawing/2014/main" id="{26B68DDC-F645-469D-CDCE-DA743739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>
          <a:off x="482441" y="780860195"/>
          <a:ext cx="1671638" cy="821531"/>
        </a:xfrm>
        <a:prstGeom prst="rect">
          <a:avLst/>
        </a:prstGeom>
      </xdr:spPr>
    </xdr:pic>
    <xdr:clientData/>
  </xdr:twoCellAnchor>
  <xdr:twoCellAnchor editAs="oneCell">
    <xdr:from>
      <xdr:col>0</xdr:col>
      <xdr:colOff>646747</xdr:colOff>
      <xdr:row>916</xdr:row>
      <xdr:rowOff>61436</xdr:rowOff>
    </xdr:from>
    <xdr:to>
      <xdr:col>0</xdr:col>
      <xdr:colOff>1989772</xdr:colOff>
      <xdr:row>916</xdr:row>
      <xdr:rowOff>875824</xdr:rowOff>
    </xdr:to>
    <xdr:pic>
      <xdr:nvPicPr>
        <xdr:cNvPr id="1833" name="Picture 1832" descr="Insight Picture 1832">
          <a:extLst>
            <a:ext uri="{FF2B5EF4-FFF2-40B4-BE49-F238E27FC236}">
              <a16:creationId xmlns:a16="http://schemas.microsoft.com/office/drawing/2014/main" id="{91FDEA22-A3ED-5CE0-1D25-205B6A018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>
          <a:off x="646747" y="781804856"/>
          <a:ext cx="1343025" cy="814388"/>
        </a:xfrm>
        <a:prstGeom prst="rect">
          <a:avLst/>
        </a:prstGeom>
      </xdr:spPr>
    </xdr:pic>
    <xdr:clientData/>
  </xdr:twoCellAnchor>
  <xdr:twoCellAnchor editAs="oneCell">
    <xdr:from>
      <xdr:col>0</xdr:col>
      <xdr:colOff>586025</xdr:colOff>
      <xdr:row>917</xdr:row>
      <xdr:rowOff>60256</xdr:rowOff>
    </xdr:from>
    <xdr:to>
      <xdr:col>0</xdr:col>
      <xdr:colOff>2050494</xdr:colOff>
      <xdr:row>917</xdr:row>
      <xdr:rowOff>838925</xdr:rowOff>
    </xdr:to>
    <xdr:pic>
      <xdr:nvPicPr>
        <xdr:cNvPr id="1835" name="Picture 1834" descr="Insight Picture 1834">
          <a:extLst>
            <a:ext uri="{FF2B5EF4-FFF2-40B4-BE49-F238E27FC236}">
              <a16:creationId xmlns:a16="http://schemas.microsoft.com/office/drawing/2014/main" id="{74DF5C8A-2A88-E7C6-3273-355B5519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>
          <a:off x="586025" y="782740936"/>
          <a:ext cx="1464469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646747</xdr:colOff>
      <xdr:row>918</xdr:row>
      <xdr:rowOff>62399</xdr:rowOff>
    </xdr:from>
    <xdr:to>
      <xdr:col>0</xdr:col>
      <xdr:colOff>1989772</xdr:colOff>
      <xdr:row>918</xdr:row>
      <xdr:rowOff>791062</xdr:rowOff>
    </xdr:to>
    <xdr:pic>
      <xdr:nvPicPr>
        <xdr:cNvPr id="1837" name="Picture 1836" descr="Insight Picture 1836">
          <a:extLst>
            <a:ext uri="{FF2B5EF4-FFF2-40B4-BE49-F238E27FC236}">
              <a16:creationId xmlns:a16="http://schemas.microsoft.com/office/drawing/2014/main" id="{53E5D180-F149-8267-2731-D1C601126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>
          <a:off x="646747" y="783642239"/>
          <a:ext cx="1343025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564595</xdr:colOff>
      <xdr:row>919</xdr:row>
      <xdr:rowOff>60256</xdr:rowOff>
    </xdr:from>
    <xdr:to>
      <xdr:col>0</xdr:col>
      <xdr:colOff>2071926</xdr:colOff>
      <xdr:row>919</xdr:row>
      <xdr:rowOff>838925</xdr:rowOff>
    </xdr:to>
    <xdr:pic>
      <xdr:nvPicPr>
        <xdr:cNvPr id="1839" name="Picture 1838" descr="Insight Picture 1838">
          <a:extLst>
            <a:ext uri="{FF2B5EF4-FFF2-40B4-BE49-F238E27FC236}">
              <a16:creationId xmlns:a16="http://schemas.microsoft.com/office/drawing/2014/main" id="{789D076E-CCBF-8D6F-8402-70F3EA987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>
          <a:off x="564595" y="784493536"/>
          <a:ext cx="1507331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661035</xdr:colOff>
      <xdr:row>920</xdr:row>
      <xdr:rowOff>61655</xdr:rowOff>
    </xdr:from>
    <xdr:to>
      <xdr:col>0</xdr:col>
      <xdr:colOff>1975485</xdr:colOff>
      <xdr:row>920</xdr:row>
      <xdr:rowOff>997486</xdr:rowOff>
    </xdr:to>
    <xdr:pic>
      <xdr:nvPicPr>
        <xdr:cNvPr id="1841" name="Picture 1840" descr="Insight Picture 1840">
          <a:extLst>
            <a:ext uri="{FF2B5EF4-FFF2-40B4-BE49-F238E27FC236}">
              <a16:creationId xmlns:a16="http://schemas.microsoft.com/office/drawing/2014/main" id="{8FEFD6FA-859E-01B8-AC0D-22D66CC6A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>
          <a:off x="661035" y="785394095"/>
          <a:ext cx="1314450" cy="935831"/>
        </a:xfrm>
        <a:prstGeom prst="rect">
          <a:avLst/>
        </a:prstGeom>
      </xdr:spPr>
    </xdr:pic>
    <xdr:clientData/>
  </xdr:twoCellAnchor>
  <xdr:twoCellAnchor editAs="oneCell">
    <xdr:from>
      <xdr:col>0</xdr:col>
      <xdr:colOff>586025</xdr:colOff>
      <xdr:row>921</xdr:row>
      <xdr:rowOff>60246</xdr:rowOff>
    </xdr:from>
    <xdr:to>
      <xdr:col>0</xdr:col>
      <xdr:colOff>2050494</xdr:colOff>
      <xdr:row>921</xdr:row>
      <xdr:rowOff>838915</xdr:rowOff>
    </xdr:to>
    <xdr:pic>
      <xdr:nvPicPr>
        <xdr:cNvPr id="1843" name="Picture 1842" descr="Insight Picture 1842">
          <a:extLst>
            <a:ext uri="{FF2B5EF4-FFF2-40B4-BE49-F238E27FC236}">
              <a16:creationId xmlns:a16="http://schemas.microsoft.com/office/drawing/2014/main" id="{4B8DC5F5-722C-CDB7-2FE4-DD02F35FC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>
          <a:off x="586025" y="786451866"/>
          <a:ext cx="1464469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536020</xdr:colOff>
      <xdr:row>922</xdr:row>
      <xdr:rowOff>61446</xdr:rowOff>
    </xdr:from>
    <xdr:to>
      <xdr:col>0</xdr:col>
      <xdr:colOff>2100501</xdr:colOff>
      <xdr:row>922</xdr:row>
      <xdr:rowOff>875834</xdr:rowOff>
    </xdr:to>
    <xdr:pic>
      <xdr:nvPicPr>
        <xdr:cNvPr id="1845" name="Picture 1844" descr="Insight Picture 1844">
          <a:extLst>
            <a:ext uri="{FF2B5EF4-FFF2-40B4-BE49-F238E27FC236}">
              <a16:creationId xmlns:a16="http://schemas.microsoft.com/office/drawing/2014/main" id="{295F4169-2EB9-8B25-8F10-DA46659BC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>
          <a:off x="536020" y="787352226"/>
          <a:ext cx="1564481" cy="814388"/>
        </a:xfrm>
        <a:prstGeom prst="rect">
          <a:avLst/>
        </a:prstGeom>
      </xdr:spPr>
    </xdr:pic>
    <xdr:clientData/>
  </xdr:twoCellAnchor>
  <xdr:twoCellAnchor editAs="oneCell">
    <xdr:from>
      <xdr:col>0</xdr:col>
      <xdr:colOff>575310</xdr:colOff>
      <xdr:row>923</xdr:row>
      <xdr:rowOff>60712</xdr:rowOff>
    </xdr:from>
    <xdr:to>
      <xdr:col>0</xdr:col>
      <xdr:colOff>2061210</xdr:colOff>
      <xdr:row>923</xdr:row>
      <xdr:rowOff>739368</xdr:rowOff>
    </xdr:to>
    <xdr:pic>
      <xdr:nvPicPr>
        <xdr:cNvPr id="1847" name="Picture 1846" descr="Insight Picture 1846">
          <a:extLst>
            <a:ext uri="{FF2B5EF4-FFF2-40B4-BE49-F238E27FC236}">
              <a16:creationId xmlns:a16="http://schemas.microsoft.com/office/drawing/2014/main" id="{EECCB10C-83E0-35CD-D4C5-6FF5D811B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>
          <a:off x="575310" y="788288752"/>
          <a:ext cx="1485900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468153</xdr:colOff>
      <xdr:row>924</xdr:row>
      <xdr:rowOff>62151</xdr:rowOff>
    </xdr:from>
    <xdr:to>
      <xdr:col>0</xdr:col>
      <xdr:colOff>2168366</xdr:colOff>
      <xdr:row>924</xdr:row>
      <xdr:rowOff>783670</xdr:rowOff>
    </xdr:to>
    <xdr:pic>
      <xdr:nvPicPr>
        <xdr:cNvPr id="1849" name="Picture 1848" descr="Insight Picture 1848">
          <a:extLst>
            <a:ext uri="{FF2B5EF4-FFF2-40B4-BE49-F238E27FC236}">
              <a16:creationId xmlns:a16="http://schemas.microsoft.com/office/drawing/2014/main" id="{FBE7A61C-B8EA-EAA2-B0EB-D09CF6739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>
          <a:off x="468153" y="789090291"/>
          <a:ext cx="1700213" cy="721519"/>
        </a:xfrm>
        <a:prstGeom prst="rect">
          <a:avLst/>
        </a:prstGeom>
      </xdr:spPr>
    </xdr:pic>
    <xdr:clientData/>
  </xdr:twoCellAnchor>
  <xdr:twoCellAnchor editAs="oneCell">
    <xdr:from>
      <xdr:col>0</xdr:col>
      <xdr:colOff>396716</xdr:colOff>
      <xdr:row>925</xdr:row>
      <xdr:rowOff>62170</xdr:rowOff>
    </xdr:from>
    <xdr:to>
      <xdr:col>0</xdr:col>
      <xdr:colOff>2239804</xdr:colOff>
      <xdr:row>925</xdr:row>
      <xdr:rowOff>897989</xdr:rowOff>
    </xdr:to>
    <xdr:pic>
      <xdr:nvPicPr>
        <xdr:cNvPr id="1851" name="Picture 1850" descr="Insight Picture 1850">
          <a:extLst>
            <a:ext uri="{FF2B5EF4-FFF2-40B4-BE49-F238E27FC236}">
              <a16:creationId xmlns:a16="http://schemas.microsoft.com/office/drawing/2014/main" id="{5171E88E-534A-F5DC-D7C3-D7C428D0A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>
          <a:off x="396716" y="789936130"/>
          <a:ext cx="1843088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400288</xdr:colOff>
      <xdr:row>926</xdr:row>
      <xdr:rowOff>61446</xdr:rowOff>
    </xdr:from>
    <xdr:to>
      <xdr:col>0</xdr:col>
      <xdr:colOff>2236232</xdr:colOff>
      <xdr:row>926</xdr:row>
      <xdr:rowOff>761534</xdr:rowOff>
    </xdr:to>
    <xdr:pic>
      <xdr:nvPicPr>
        <xdr:cNvPr id="1853" name="Picture 1852" descr="Insight Picture 1852">
          <a:extLst>
            <a:ext uri="{FF2B5EF4-FFF2-40B4-BE49-F238E27FC236}">
              <a16:creationId xmlns:a16="http://schemas.microsoft.com/office/drawing/2014/main" id="{97B5B3A3-90F5-69BF-61FC-5606DC3CF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>
          <a:off x="400288" y="790895526"/>
          <a:ext cx="1835944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643175</xdr:colOff>
      <xdr:row>927</xdr:row>
      <xdr:rowOff>61208</xdr:rowOff>
    </xdr:from>
    <xdr:to>
      <xdr:col>0</xdr:col>
      <xdr:colOff>1993344</xdr:colOff>
      <xdr:row>927</xdr:row>
      <xdr:rowOff>639852</xdr:rowOff>
    </xdr:to>
    <xdr:pic>
      <xdr:nvPicPr>
        <xdr:cNvPr id="1855" name="Picture 1854" descr="Insight Picture 1854">
          <a:extLst>
            <a:ext uri="{FF2B5EF4-FFF2-40B4-BE49-F238E27FC236}">
              <a16:creationId xmlns:a16="http://schemas.microsoft.com/office/drawing/2014/main" id="{54529B88-958E-0E20-7074-07841224C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>
          <a:off x="643175" y="791718248"/>
          <a:ext cx="1350169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653891</xdr:colOff>
      <xdr:row>928</xdr:row>
      <xdr:rowOff>62389</xdr:rowOff>
    </xdr:from>
    <xdr:to>
      <xdr:col>0</xdr:col>
      <xdr:colOff>1982629</xdr:colOff>
      <xdr:row>928</xdr:row>
      <xdr:rowOff>905352</xdr:rowOff>
    </xdr:to>
    <xdr:pic>
      <xdr:nvPicPr>
        <xdr:cNvPr id="1857" name="Picture 1856" descr="Insight Picture 1856">
          <a:extLst>
            <a:ext uri="{FF2B5EF4-FFF2-40B4-BE49-F238E27FC236}">
              <a16:creationId xmlns:a16="http://schemas.microsoft.com/office/drawing/2014/main" id="{82301B52-B142-5206-B33F-95CEE1410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>
          <a:off x="653891" y="792420469"/>
          <a:ext cx="1328738" cy="842963"/>
        </a:xfrm>
        <a:prstGeom prst="rect">
          <a:avLst/>
        </a:prstGeom>
      </xdr:spPr>
    </xdr:pic>
    <xdr:clientData/>
  </xdr:twoCellAnchor>
  <xdr:twoCellAnchor editAs="oneCell">
    <xdr:from>
      <xdr:col>0</xdr:col>
      <xdr:colOff>736045</xdr:colOff>
      <xdr:row>929</xdr:row>
      <xdr:rowOff>62627</xdr:rowOff>
    </xdr:from>
    <xdr:to>
      <xdr:col>0</xdr:col>
      <xdr:colOff>1900476</xdr:colOff>
      <xdr:row>929</xdr:row>
      <xdr:rowOff>798433</xdr:rowOff>
    </xdr:to>
    <xdr:pic>
      <xdr:nvPicPr>
        <xdr:cNvPr id="1859" name="Picture 1858" descr="Insight Picture 1858">
          <a:extLst>
            <a:ext uri="{FF2B5EF4-FFF2-40B4-BE49-F238E27FC236}">
              <a16:creationId xmlns:a16="http://schemas.microsoft.com/office/drawing/2014/main" id="{CC93936F-C403-BF92-4FC6-D2B96C778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>
          <a:off x="736045" y="793388447"/>
          <a:ext cx="1164431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668178</xdr:colOff>
      <xdr:row>930</xdr:row>
      <xdr:rowOff>62885</xdr:rowOff>
    </xdr:from>
    <xdr:to>
      <xdr:col>0</xdr:col>
      <xdr:colOff>1968341</xdr:colOff>
      <xdr:row>930</xdr:row>
      <xdr:rowOff>691535</xdr:rowOff>
    </xdr:to>
    <xdr:pic>
      <xdr:nvPicPr>
        <xdr:cNvPr id="1861" name="Picture 1860" descr="Insight Picture 1860">
          <a:extLst>
            <a:ext uri="{FF2B5EF4-FFF2-40B4-BE49-F238E27FC236}">
              <a16:creationId xmlns:a16="http://schemas.microsoft.com/office/drawing/2014/main" id="{A7ADA4E9-640B-217E-2506-63160FF2B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>
          <a:off x="668178" y="794249765"/>
          <a:ext cx="1300163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503872</xdr:colOff>
      <xdr:row>931</xdr:row>
      <xdr:rowOff>62369</xdr:rowOff>
    </xdr:from>
    <xdr:to>
      <xdr:col>0</xdr:col>
      <xdr:colOff>2132647</xdr:colOff>
      <xdr:row>931</xdr:row>
      <xdr:rowOff>791032</xdr:rowOff>
    </xdr:to>
    <xdr:pic>
      <xdr:nvPicPr>
        <xdr:cNvPr id="1863" name="Picture 1862" descr="Insight Picture 1862">
          <a:extLst>
            <a:ext uri="{FF2B5EF4-FFF2-40B4-BE49-F238E27FC236}">
              <a16:creationId xmlns:a16="http://schemas.microsoft.com/office/drawing/2014/main" id="{825AA379-8C0F-1D31-7BD7-B66154AEC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>
          <a:off x="503872" y="795003629"/>
          <a:ext cx="1628775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678895</xdr:colOff>
      <xdr:row>932</xdr:row>
      <xdr:rowOff>62409</xdr:rowOff>
    </xdr:from>
    <xdr:to>
      <xdr:col>0</xdr:col>
      <xdr:colOff>1957626</xdr:colOff>
      <xdr:row>932</xdr:row>
      <xdr:rowOff>905372</xdr:rowOff>
    </xdr:to>
    <xdr:pic>
      <xdr:nvPicPr>
        <xdr:cNvPr id="1865" name="Picture 1864" descr="Insight Picture 1864">
          <a:extLst>
            <a:ext uri="{FF2B5EF4-FFF2-40B4-BE49-F238E27FC236}">
              <a16:creationId xmlns:a16="http://schemas.microsoft.com/office/drawing/2014/main" id="{D4714020-2844-68B8-096F-B4F799A1F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>
          <a:off x="678895" y="795857109"/>
          <a:ext cx="1278731" cy="842963"/>
        </a:xfrm>
        <a:prstGeom prst="rect">
          <a:avLst/>
        </a:prstGeom>
      </xdr:spPr>
    </xdr:pic>
    <xdr:clientData/>
  </xdr:twoCellAnchor>
  <xdr:twoCellAnchor editAs="oneCell">
    <xdr:from>
      <xdr:col>0</xdr:col>
      <xdr:colOff>957500</xdr:colOff>
      <xdr:row>933</xdr:row>
      <xdr:rowOff>62845</xdr:rowOff>
    </xdr:from>
    <xdr:to>
      <xdr:col>0</xdr:col>
      <xdr:colOff>1679019</xdr:colOff>
      <xdr:row>933</xdr:row>
      <xdr:rowOff>805795</xdr:rowOff>
    </xdr:to>
    <xdr:pic>
      <xdr:nvPicPr>
        <xdr:cNvPr id="1867" name="Picture 1866" descr="Insight Picture 1866">
          <a:extLst>
            <a:ext uri="{FF2B5EF4-FFF2-40B4-BE49-F238E27FC236}">
              <a16:creationId xmlns:a16="http://schemas.microsoft.com/office/drawing/2014/main" id="{B7DC1B74-3EB8-B4E2-0AB9-E2BB059C3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>
          <a:off x="957500" y="796825285"/>
          <a:ext cx="721519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446722</xdr:colOff>
      <xdr:row>934</xdr:row>
      <xdr:rowOff>62131</xdr:rowOff>
    </xdr:from>
    <xdr:to>
      <xdr:col>0</xdr:col>
      <xdr:colOff>2189797</xdr:colOff>
      <xdr:row>934</xdr:row>
      <xdr:rowOff>783650</xdr:rowOff>
    </xdr:to>
    <xdr:pic>
      <xdr:nvPicPr>
        <xdr:cNvPr id="1869" name="Picture 1868" descr="Insight Picture 1868">
          <a:extLst>
            <a:ext uri="{FF2B5EF4-FFF2-40B4-BE49-F238E27FC236}">
              <a16:creationId xmlns:a16="http://schemas.microsoft.com/office/drawing/2014/main" id="{B3BBD4FB-9E9D-C960-14AA-674470700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>
          <a:off x="446722" y="797693251"/>
          <a:ext cx="1743075" cy="721519"/>
        </a:xfrm>
        <a:prstGeom prst="rect">
          <a:avLst/>
        </a:prstGeom>
      </xdr:spPr>
    </xdr:pic>
    <xdr:clientData/>
  </xdr:twoCellAnchor>
  <xdr:twoCellAnchor editAs="oneCell">
    <xdr:from>
      <xdr:col>0</xdr:col>
      <xdr:colOff>393144</xdr:colOff>
      <xdr:row>935</xdr:row>
      <xdr:rowOff>61903</xdr:rowOff>
    </xdr:from>
    <xdr:to>
      <xdr:col>0</xdr:col>
      <xdr:colOff>2243375</xdr:colOff>
      <xdr:row>935</xdr:row>
      <xdr:rowOff>890578</xdr:rowOff>
    </xdr:to>
    <xdr:pic>
      <xdr:nvPicPr>
        <xdr:cNvPr id="1871" name="Picture 1870" descr="Insight Picture 1870">
          <a:extLst>
            <a:ext uri="{FF2B5EF4-FFF2-40B4-BE49-F238E27FC236}">
              <a16:creationId xmlns:a16="http://schemas.microsoft.com/office/drawing/2014/main" id="{4ED8FB11-B4B8-A666-6A06-789A160C0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>
          <a:off x="393144" y="798538843"/>
          <a:ext cx="1850231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461010</xdr:colOff>
      <xdr:row>936</xdr:row>
      <xdr:rowOff>61655</xdr:rowOff>
    </xdr:from>
    <xdr:to>
      <xdr:col>0</xdr:col>
      <xdr:colOff>2175510</xdr:colOff>
      <xdr:row>936</xdr:row>
      <xdr:rowOff>768886</xdr:rowOff>
    </xdr:to>
    <xdr:pic>
      <xdr:nvPicPr>
        <xdr:cNvPr id="1873" name="Picture 1872" descr="Insight Picture 1872">
          <a:extLst>
            <a:ext uri="{FF2B5EF4-FFF2-40B4-BE49-F238E27FC236}">
              <a16:creationId xmlns:a16="http://schemas.microsoft.com/office/drawing/2014/main" id="{1C76F597-3714-C171-523F-293A82A38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>
          <a:off x="461010" y="799491095"/>
          <a:ext cx="1714500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603885</xdr:colOff>
      <xdr:row>937</xdr:row>
      <xdr:rowOff>62875</xdr:rowOff>
    </xdr:from>
    <xdr:to>
      <xdr:col>0</xdr:col>
      <xdr:colOff>2032635</xdr:colOff>
      <xdr:row>937</xdr:row>
      <xdr:rowOff>691525</xdr:rowOff>
    </xdr:to>
    <xdr:pic>
      <xdr:nvPicPr>
        <xdr:cNvPr id="1875" name="Picture 1874" descr="Insight Picture 1874">
          <a:extLst>
            <a:ext uri="{FF2B5EF4-FFF2-40B4-BE49-F238E27FC236}">
              <a16:creationId xmlns:a16="http://schemas.microsoft.com/office/drawing/2014/main" id="{E6B31A5A-ED65-2C79-1FB2-437F962E8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>
          <a:off x="603885" y="800322895"/>
          <a:ext cx="1428750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468153</xdr:colOff>
      <xdr:row>938</xdr:row>
      <xdr:rowOff>61913</xdr:rowOff>
    </xdr:from>
    <xdr:to>
      <xdr:col>0</xdr:col>
      <xdr:colOff>2168366</xdr:colOff>
      <xdr:row>938</xdr:row>
      <xdr:rowOff>890588</xdr:rowOff>
    </xdr:to>
    <xdr:pic>
      <xdr:nvPicPr>
        <xdr:cNvPr id="1877" name="Picture 1876" descr="Insight Picture 1876">
          <a:extLst>
            <a:ext uri="{FF2B5EF4-FFF2-40B4-BE49-F238E27FC236}">
              <a16:creationId xmlns:a16="http://schemas.microsoft.com/office/drawing/2014/main" id="{4D94784B-2DF2-D088-B167-01EF9A728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>
          <a:off x="468153" y="801076313"/>
          <a:ext cx="1700213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721757</xdr:colOff>
      <xdr:row>939</xdr:row>
      <xdr:rowOff>60722</xdr:rowOff>
    </xdr:from>
    <xdr:to>
      <xdr:col>0</xdr:col>
      <xdr:colOff>1914763</xdr:colOff>
      <xdr:row>939</xdr:row>
      <xdr:rowOff>739378</xdr:rowOff>
    </xdr:to>
    <xdr:pic>
      <xdr:nvPicPr>
        <xdr:cNvPr id="1879" name="Picture 1878" descr="Insight Picture 1878">
          <a:extLst>
            <a:ext uri="{FF2B5EF4-FFF2-40B4-BE49-F238E27FC236}">
              <a16:creationId xmlns:a16="http://schemas.microsoft.com/office/drawing/2014/main" id="{0ADF0975-F1C9-4A88-BB5D-E5185B3D7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>
          <a:off x="721757" y="802027622"/>
          <a:ext cx="1193006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721757</xdr:colOff>
      <xdr:row>940</xdr:row>
      <xdr:rowOff>60722</xdr:rowOff>
    </xdr:from>
    <xdr:to>
      <xdr:col>0</xdr:col>
      <xdr:colOff>1914763</xdr:colOff>
      <xdr:row>940</xdr:row>
      <xdr:rowOff>739378</xdr:rowOff>
    </xdr:to>
    <xdr:pic>
      <xdr:nvPicPr>
        <xdr:cNvPr id="1881" name="Picture 1880" descr="Insight Picture 1880">
          <a:extLst>
            <a:ext uri="{FF2B5EF4-FFF2-40B4-BE49-F238E27FC236}">
              <a16:creationId xmlns:a16="http://schemas.microsoft.com/office/drawing/2014/main" id="{B95268DE-1F9B-CC48-4365-965F2B93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>
          <a:off x="721757" y="802827722"/>
          <a:ext cx="1193006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621745</xdr:colOff>
      <xdr:row>941</xdr:row>
      <xdr:rowOff>60226</xdr:rowOff>
    </xdr:from>
    <xdr:to>
      <xdr:col>0</xdr:col>
      <xdr:colOff>2014776</xdr:colOff>
      <xdr:row>941</xdr:row>
      <xdr:rowOff>724595</xdr:rowOff>
    </xdr:to>
    <xdr:pic>
      <xdr:nvPicPr>
        <xdr:cNvPr id="1883" name="Picture 1882" descr="Insight Picture 1882">
          <a:extLst>
            <a:ext uri="{FF2B5EF4-FFF2-40B4-BE49-F238E27FC236}">
              <a16:creationId xmlns:a16="http://schemas.microsoft.com/office/drawing/2014/main" id="{F0DEBEAA-077B-C92F-275C-E22769A3E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>
          <a:off x="621745" y="803627326"/>
          <a:ext cx="1393031" cy="664369"/>
        </a:xfrm>
        <a:prstGeom prst="rect">
          <a:avLst/>
        </a:prstGeom>
      </xdr:spPr>
    </xdr:pic>
    <xdr:clientData/>
  </xdr:twoCellAnchor>
  <xdr:twoCellAnchor editAs="oneCell">
    <xdr:from>
      <xdr:col>0</xdr:col>
      <xdr:colOff>578882</xdr:colOff>
      <xdr:row>942</xdr:row>
      <xdr:rowOff>60732</xdr:rowOff>
    </xdr:from>
    <xdr:to>
      <xdr:col>0</xdr:col>
      <xdr:colOff>2057638</xdr:colOff>
      <xdr:row>942</xdr:row>
      <xdr:rowOff>739388</xdr:rowOff>
    </xdr:to>
    <xdr:pic>
      <xdr:nvPicPr>
        <xdr:cNvPr id="1885" name="Picture 1884" descr="Insight Picture 1884">
          <a:extLst>
            <a:ext uri="{FF2B5EF4-FFF2-40B4-BE49-F238E27FC236}">
              <a16:creationId xmlns:a16="http://schemas.microsoft.com/office/drawing/2014/main" id="{27B0CD31-E19E-CA1F-EE3E-0A56DC2D5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>
          <a:off x="578882" y="804412692"/>
          <a:ext cx="1478756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721757</xdr:colOff>
      <xdr:row>943</xdr:row>
      <xdr:rowOff>60732</xdr:rowOff>
    </xdr:from>
    <xdr:to>
      <xdr:col>0</xdr:col>
      <xdr:colOff>1914763</xdr:colOff>
      <xdr:row>943</xdr:row>
      <xdr:rowOff>739388</xdr:rowOff>
    </xdr:to>
    <xdr:pic>
      <xdr:nvPicPr>
        <xdr:cNvPr id="1887" name="Picture 1886" descr="Insight Picture 1886">
          <a:extLst>
            <a:ext uri="{FF2B5EF4-FFF2-40B4-BE49-F238E27FC236}">
              <a16:creationId xmlns:a16="http://schemas.microsoft.com/office/drawing/2014/main" id="{5160AAC3-BF29-DBC0-DF3D-D1B2311F4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>
          <a:off x="721757" y="805212792"/>
          <a:ext cx="1193006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500301</xdr:colOff>
      <xdr:row>944</xdr:row>
      <xdr:rowOff>62369</xdr:rowOff>
    </xdr:from>
    <xdr:to>
      <xdr:col>0</xdr:col>
      <xdr:colOff>2136220</xdr:colOff>
      <xdr:row>944</xdr:row>
      <xdr:rowOff>791032</xdr:rowOff>
    </xdr:to>
    <xdr:pic>
      <xdr:nvPicPr>
        <xdr:cNvPr id="1889" name="Picture 1888" descr="Insight Picture 1888">
          <a:extLst>
            <a:ext uri="{FF2B5EF4-FFF2-40B4-BE49-F238E27FC236}">
              <a16:creationId xmlns:a16="http://schemas.microsoft.com/office/drawing/2014/main" id="{12424FDA-4E65-1671-40F5-B3CF38F57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>
          <a:off x="500301" y="806014529"/>
          <a:ext cx="1635919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721757</xdr:colOff>
      <xdr:row>945</xdr:row>
      <xdr:rowOff>61416</xdr:rowOff>
    </xdr:from>
    <xdr:to>
      <xdr:col>0</xdr:col>
      <xdr:colOff>1914763</xdr:colOff>
      <xdr:row>945</xdr:row>
      <xdr:rowOff>875804</xdr:rowOff>
    </xdr:to>
    <xdr:pic>
      <xdr:nvPicPr>
        <xdr:cNvPr id="1891" name="Picture 1890" descr="Insight Picture 1890">
          <a:extLst>
            <a:ext uri="{FF2B5EF4-FFF2-40B4-BE49-F238E27FC236}">
              <a16:creationId xmlns:a16="http://schemas.microsoft.com/office/drawing/2014/main" id="{4D7EFDB5-AA2E-B498-A71C-88695244B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>
          <a:off x="721757" y="806867016"/>
          <a:ext cx="1193006" cy="814388"/>
        </a:xfrm>
        <a:prstGeom prst="rect">
          <a:avLst/>
        </a:prstGeom>
      </xdr:spPr>
    </xdr:pic>
    <xdr:clientData/>
  </xdr:twoCellAnchor>
  <xdr:twoCellAnchor editAs="oneCell">
    <xdr:from>
      <xdr:col>0</xdr:col>
      <xdr:colOff>818198</xdr:colOff>
      <xdr:row>946</xdr:row>
      <xdr:rowOff>60980</xdr:rowOff>
    </xdr:from>
    <xdr:to>
      <xdr:col>0</xdr:col>
      <xdr:colOff>1818323</xdr:colOff>
      <xdr:row>946</xdr:row>
      <xdr:rowOff>1089680</xdr:rowOff>
    </xdr:to>
    <xdr:pic>
      <xdr:nvPicPr>
        <xdr:cNvPr id="1893" name="Picture 1892" descr="Insight Picture 1892">
          <a:extLst>
            <a:ext uri="{FF2B5EF4-FFF2-40B4-BE49-F238E27FC236}">
              <a16:creationId xmlns:a16="http://schemas.microsoft.com/office/drawing/2014/main" id="{D9200B68-9420-9A7E-5057-03B03C4AA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>
          <a:off x="818198" y="807803840"/>
          <a:ext cx="10001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803910</xdr:colOff>
      <xdr:row>947</xdr:row>
      <xdr:rowOff>60950</xdr:rowOff>
    </xdr:from>
    <xdr:to>
      <xdr:col>0</xdr:col>
      <xdr:colOff>1832610</xdr:colOff>
      <xdr:row>947</xdr:row>
      <xdr:rowOff>1089650</xdr:rowOff>
    </xdr:to>
    <xdr:pic>
      <xdr:nvPicPr>
        <xdr:cNvPr id="1895" name="Picture 1894" descr="Insight Picture 1894">
          <a:extLst>
            <a:ext uri="{FF2B5EF4-FFF2-40B4-BE49-F238E27FC236}">
              <a16:creationId xmlns:a16="http://schemas.microsoft.com/office/drawing/2014/main" id="{101FAE4E-9C99-7B17-1E27-4EBE5820B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>
          <a:off x="803910" y="808954430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836057</xdr:colOff>
      <xdr:row>948</xdr:row>
      <xdr:rowOff>63599</xdr:rowOff>
    </xdr:from>
    <xdr:to>
      <xdr:col>0</xdr:col>
      <xdr:colOff>1800463</xdr:colOff>
      <xdr:row>948</xdr:row>
      <xdr:rowOff>1285180</xdr:rowOff>
    </xdr:to>
    <xdr:pic>
      <xdr:nvPicPr>
        <xdr:cNvPr id="1897" name="Picture 1896" descr="Insight Picture 1896">
          <a:extLst>
            <a:ext uri="{FF2B5EF4-FFF2-40B4-BE49-F238E27FC236}">
              <a16:creationId xmlns:a16="http://schemas.microsoft.com/office/drawing/2014/main" id="{1555FF95-A15F-3903-677A-989961A30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>
          <a:off x="836057" y="810107699"/>
          <a:ext cx="964406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836057</xdr:colOff>
      <xdr:row>949</xdr:row>
      <xdr:rowOff>63589</xdr:rowOff>
    </xdr:from>
    <xdr:to>
      <xdr:col>0</xdr:col>
      <xdr:colOff>1800463</xdr:colOff>
      <xdr:row>949</xdr:row>
      <xdr:rowOff>1285170</xdr:rowOff>
    </xdr:to>
    <xdr:pic>
      <xdr:nvPicPr>
        <xdr:cNvPr id="1899" name="Picture 1898" descr="Insight Picture 1898">
          <a:extLst>
            <a:ext uri="{FF2B5EF4-FFF2-40B4-BE49-F238E27FC236}">
              <a16:creationId xmlns:a16="http://schemas.microsoft.com/office/drawing/2014/main" id="{48414CAE-6AF9-ABBC-34B8-89E8151B1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>
          <a:off x="836057" y="811456429"/>
          <a:ext cx="964406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614600</xdr:colOff>
      <xdr:row>950</xdr:row>
      <xdr:rowOff>63331</xdr:rowOff>
    </xdr:from>
    <xdr:to>
      <xdr:col>0</xdr:col>
      <xdr:colOff>2021919</xdr:colOff>
      <xdr:row>950</xdr:row>
      <xdr:rowOff>1049169</xdr:rowOff>
    </xdr:to>
    <xdr:pic>
      <xdr:nvPicPr>
        <xdr:cNvPr id="1901" name="Picture 1900" descr="Insight Picture 1900">
          <a:extLst>
            <a:ext uri="{FF2B5EF4-FFF2-40B4-BE49-F238E27FC236}">
              <a16:creationId xmlns:a16="http://schemas.microsoft.com/office/drawing/2014/main" id="{1042C298-D958-0B86-3023-946CAA2CF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>
          <a:off x="614600" y="812804911"/>
          <a:ext cx="1407319" cy="985838"/>
        </a:xfrm>
        <a:prstGeom prst="rect">
          <a:avLst/>
        </a:prstGeom>
      </xdr:spPr>
    </xdr:pic>
    <xdr:clientData/>
  </xdr:twoCellAnchor>
  <xdr:twoCellAnchor editAs="oneCell">
    <xdr:from>
      <xdr:col>0</xdr:col>
      <xdr:colOff>689610</xdr:colOff>
      <xdr:row>951</xdr:row>
      <xdr:rowOff>62607</xdr:rowOff>
    </xdr:from>
    <xdr:to>
      <xdr:col>0</xdr:col>
      <xdr:colOff>1946910</xdr:colOff>
      <xdr:row>951</xdr:row>
      <xdr:rowOff>1255613</xdr:rowOff>
    </xdr:to>
    <xdr:pic>
      <xdr:nvPicPr>
        <xdr:cNvPr id="1903" name="Picture 1902" descr="Insight Picture 1902">
          <a:extLst>
            <a:ext uri="{FF2B5EF4-FFF2-40B4-BE49-F238E27FC236}">
              <a16:creationId xmlns:a16="http://schemas.microsoft.com/office/drawing/2014/main" id="{E06721B2-7770-D65D-2699-399B56ED1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>
          <a:off x="689610" y="813916707"/>
          <a:ext cx="1257300" cy="1193006"/>
        </a:xfrm>
        <a:prstGeom prst="rect">
          <a:avLst/>
        </a:prstGeom>
      </xdr:spPr>
    </xdr:pic>
    <xdr:clientData/>
  </xdr:twoCellAnchor>
  <xdr:twoCellAnchor editAs="oneCell">
    <xdr:from>
      <xdr:col>0</xdr:col>
      <xdr:colOff>532447</xdr:colOff>
      <xdr:row>952</xdr:row>
      <xdr:rowOff>61426</xdr:rowOff>
    </xdr:from>
    <xdr:to>
      <xdr:col>0</xdr:col>
      <xdr:colOff>2104072</xdr:colOff>
      <xdr:row>952</xdr:row>
      <xdr:rowOff>875814</xdr:rowOff>
    </xdr:to>
    <xdr:pic>
      <xdr:nvPicPr>
        <xdr:cNvPr id="1905" name="Picture 1904" descr="Insight Picture 1904">
          <a:extLst>
            <a:ext uri="{FF2B5EF4-FFF2-40B4-BE49-F238E27FC236}">
              <a16:creationId xmlns:a16="http://schemas.microsoft.com/office/drawing/2014/main" id="{DFEAF854-FD00-6C68-37D4-9A06EBBF0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>
          <a:off x="532447" y="815233786"/>
          <a:ext cx="1571625" cy="814388"/>
        </a:xfrm>
        <a:prstGeom prst="rect">
          <a:avLst/>
        </a:prstGeom>
      </xdr:spPr>
    </xdr:pic>
    <xdr:clientData/>
  </xdr:twoCellAnchor>
  <xdr:twoCellAnchor editAs="oneCell">
    <xdr:from>
      <xdr:col>0</xdr:col>
      <xdr:colOff>414576</xdr:colOff>
      <xdr:row>953</xdr:row>
      <xdr:rowOff>61188</xdr:rowOff>
    </xdr:from>
    <xdr:to>
      <xdr:col>0</xdr:col>
      <xdr:colOff>2221945</xdr:colOff>
      <xdr:row>953</xdr:row>
      <xdr:rowOff>1211332</xdr:rowOff>
    </xdr:to>
    <xdr:pic>
      <xdr:nvPicPr>
        <xdr:cNvPr id="1907" name="Picture 1906" descr="Insight Picture 1906">
          <a:extLst>
            <a:ext uri="{FF2B5EF4-FFF2-40B4-BE49-F238E27FC236}">
              <a16:creationId xmlns:a16="http://schemas.microsoft.com/office/drawing/2014/main" id="{16AE3552-DE69-5C44-0C02-A1CD0E84A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>
          <a:off x="414576" y="816170808"/>
          <a:ext cx="1807369" cy="1150144"/>
        </a:xfrm>
        <a:prstGeom prst="rect">
          <a:avLst/>
        </a:prstGeom>
      </xdr:spPr>
    </xdr:pic>
    <xdr:clientData/>
  </xdr:twoCellAnchor>
  <xdr:twoCellAnchor editAs="oneCell">
    <xdr:from>
      <xdr:col>0</xdr:col>
      <xdr:colOff>921782</xdr:colOff>
      <xdr:row>954</xdr:row>
      <xdr:rowOff>60732</xdr:rowOff>
    </xdr:from>
    <xdr:to>
      <xdr:col>0</xdr:col>
      <xdr:colOff>1714738</xdr:colOff>
      <xdr:row>954</xdr:row>
      <xdr:rowOff>739388</xdr:rowOff>
    </xdr:to>
    <xdr:pic>
      <xdr:nvPicPr>
        <xdr:cNvPr id="1909" name="Picture 1908" descr="Insight Picture 1908">
          <a:extLst>
            <a:ext uri="{FF2B5EF4-FFF2-40B4-BE49-F238E27FC236}">
              <a16:creationId xmlns:a16="http://schemas.microsoft.com/office/drawing/2014/main" id="{DEC1601D-E5CE-A4AC-9B04-42D91250A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>
          <a:off x="921782" y="817442892"/>
          <a:ext cx="792956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725328</xdr:colOff>
      <xdr:row>955</xdr:row>
      <xdr:rowOff>63560</xdr:rowOff>
    </xdr:from>
    <xdr:to>
      <xdr:col>0</xdr:col>
      <xdr:colOff>1911191</xdr:colOff>
      <xdr:row>955</xdr:row>
      <xdr:rowOff>827941</xdr:rowOff>
    </xdr:to>
    <xdr:pic>
      <xdr:nvPicPr>
        <xdr:cNvPr id="1911" name="Picture 1910" descr="Insight Picture 1910">
          <a:extLst>
            <a:ext uri="{FF2B5EF4-FFF2-40B4-BE49-F238E27FC236}">
              <a16:creationId xmlns:a16="http://schemas.microsoft.com/office/drawing/2014/main" id="{A3815B1F-BC32-286A-3D5D-9351DE976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>
          <a:off x="725328" y="818245820"/>
          <a:ext cx="1185863" cy="764381"/>
        </a:xfrm>
        <a:prstGeom prst="rect">
          <a:avLst/>
        </a:prstGeom>
      </xdr:spPr>
    </xdr:pic>
    <xdr:clientData/>
  </xdr:twoCellAnchor>
  <xdr:twoCellAnchor editAs="oneCell">
    <xdr:from>
      <xdr:col>0</xdr:col>
      <xdr:colOff>578882</xdr:colOff>
      <xdr:row>956</xdr:row>
      <xdr:rowOff>63599</xdr:rowOff>
    </xdr:from>
    <xdr:to>
      <xdr:col>0</xdr:col>
      <xdr:colOff>2057638</xdr:colOff>
      <xdr:row>956</xdr:row>
      <xdr:rowOff>942280</xdr:rowOff>
    </xdr:to>
    <xdr:pic>
      <xdr:nvPicPr>
        <xdr:cNvPr id="1913" name="Picture 1912" descr="Insight Picture 1912">
          <a:extLst>
            <a:ext uri="{FF2B5EF4-FFF2-40B4-BE49-F238E27FC236}">
              <a16:creationId xmlns:a16="http://schemas.microsoft.com/office/drawing/2014/main" id="{831A6D7C-D99F-334A-0E27-BF6512673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>
          <a:off x="578882" y="819137399"/>
          <a:ext cx="1478756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803910</xdr:colOff>
      <xdr:row>957</xdr:row>
      <xdr:rowOff>63589</xdr:rowOff>
    </xdr:from>
    <xdr:to>
      <xdr:col>0</xdr:col>
      <xdr:colOff>1832610</xdr:colOff>
      <xdr:row>957</xdr:row>
      <xdr:rowOff>713670</xdr:rowOff>
    </xdr:to>
    <xdr:pic>
      <xdr:nvPicPr>
        <xdr:cNvPr id="1915" name="Picture 1914" descr="Insight Picture 1914">
          <a:extLst>
            <a:ext uri="{FF2B5EF4-FFF2-40B4-BE49-F238E27FC236}">
              <a16:creationId xmlns:a16="http://schemas.microsoft.com/office/drawing/2014/main" id="{09FD0512-FEB7-6EB4-0A04-2A05B4238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>
          <a:off x="803910" y="820143229"/>
          <a:ext cx="1028700" cy="650081"/>
        </a:xfrm>
        <a:prstGeom prst="rect">
          <a:avLst/>
        </a:prstGeom>
      </xdr:spPr>
    </xdr:pic>
    <xdr:clientData/>
  </xdr:twoCellAnchor>
  <xdr:twoCellAnchor editAs="oneCell">
    <xdr:from>
      <xdr:col>0</xdr:col>
      <xdr:colOff>818198</xdr:colOff>
      <xdr:row>958</xdr:row>
      <xdr:rowOff>60950</xdr:rowOff>
    </xdr:from>
    <xdr:to>
      <xdr:col>0</xdr:col>
      <xdr:colOff>1818323</xdr:colOff>
      <xdr:row>958</xdr:row>
      <xdr:rowOff>1089650</xdr:rowOff>
    </xdr:to>
    <xdr:pic>
      <xdr:nvPicPr>
        <xdr:cNvPr id="1917" name="Picture 1916" descr="Insight Picture 1916">
          <a:extLst>
            <a:ext uri="{FF2B5EF4-FFF2-40B4-BE49-F238E27FC236}">
              <a16:creationId xmlns:a16="http://schemas.microsoft.com/office/drawing/2014/main" id="{5A1AB123-8499-C184-C1F6-6C916817E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>
          <a:off x="818198" y="820917830"/>
          <a:ext cx="10001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789622</xdr:colOff>
      <xdr:row>959</xdr:row>
      <xdr:rowOff>61218</xdr:rowOff>
    </xdr:from>
    <xdr:to>
      <xdr:col>0</xdr:col>
      <xdr:colOff>1846897</xdr:colOff>
      <xdr:row>959</xdr:row>
      <xdr:rowOff>1211362</xdr:rowOff>
    </xdr:to>
    <xdr:pic>
      <xdr:nvPicPr>
        <xdr:cNvPr id="1919" name="Picture 1918" descr="Insight Picture 1918">
          <a:extLst>
            <a:ext uri="{FF2B5EF4-FFF2-40B4-BE49-F238E27FC236}">
              <a16:creationId xmlns:a16="http://schemas.microsoft.com/office/drawing/2014/main" id="{962311D0-6FF2-0207-6CD6-B4384DB3A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>
          <a:off x="789622" y="822068718"/>
          <a:ext cx="1057275" cy="1150144"/>
        </a:xfrm>
        <a:prstGeom prst="rect">
          <a:avLst/>
        </a:prstGeom>
      </xdr:spPr>
    </xdr:pic>
    <xdr:clientData/>
  </xdr:twoCellAnchor>
  <xdr:twoCellAnchor editAs="oneCell">
    <xdr:from>
      <xdr:col>0</xdr:col>
      <xdr:colOff>621745</xdr:colOff>
      <xdr:row>960</xdr:row>
      <xdr:rowOff>60265</xdr:rowOff>
    </xdr:from>
    <xdr:to>
      <xdr:col>0</xdr:col>
      <xdr:colOff>2014776</xdr:colOff>
      <xdr:row>960</xdr:row>
      <xdr:rowOff>838934</xdr:rowOff>
    </xdr:to>
    <xdr:pic>
      <xdr:nvPicPr>
        <xdr:cNvPr id="1921" name="Picture 1920" descr="Insight Picture 1920">
          <a:extLst>
            <a:ext uri="{FF2B5EF4-FFF2-40B4-BE49-F238E27FC236}">
              <a16:creationId xmlns:a16="http://schemas.microsoft.com/office/drawing/2014/main" id="{10A69DC7-8CF9-4AC2-0929-B1533247E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>
          <a:off x="621745" y="823340305"/>
          <a:ext cx="1393031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889635</xdr:colOff>
      <xdr:row>961</xdr:row>
      <xdr:rowOff>61416</xdr:rowOff>
    </xdr:from>
    <xdr:to>
      <xdr:col>0</xdr:col>
      <xdr:colOff>1746885</xdr:colOff>
      <xdr:row>961</xdr:row>
      <xdr:rowOff>990104</xdr:rowOff>
    </xdr:to>
    <xdr:pic>
      <xdr:nvPicPr>
        <xdr:cNvPr id="1923" name="Picture 1922" descr="Insight Picture 1922">
          <a:extLst>
            <a:ext uri="{FF2B5EF4-FFF2-40B4-BE49-F238E27FC236}">
              <a16:creationId xmlns:a16="http://schemas.microsoft.com/office/drawing/2014/main" id="{E8BBEF86-B62B-A4B8-F9AB-925F16BE3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>
          <a:off x="889635" y="824240616"/>
          <a:ext cx="857250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482441</xdr:colOff>
      <xdr:row>962</xdr:row>
      <xdr:rowOff>60980</xdr:rowOff>
    </xdr:from>
    <xdr:to>
      <xdr:col>0</xdr:col>
      <xdr:colOff>2154079</xdr:colOff>
      <xdr:row>962</xdr:row>
      <xdr:rowOff>746780</xdr:rowOff>
    </xdr:to>
    <xdr:pic>
      <xdr:nvPicPr>
        <xdr:cNvPr id="1925" name="Picture 1924" descr="Insight Picture 1924">
          <a:extLst>
            <a:ext uri="{FF2B5EF4-FFF2-40B4-BE49-F238E27FC236}">
              <a16:creationId xmlns:a16="http://schemas.microsoft.com/office/drawing/2014/main" id="{6A483E5F-05E2-9F2F-E403-FA576F2E8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>
          <a:off x="482441" y="825291740"/>
          <a:ext cx="1671638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335994</xdr:colOff>
      <xdr:row>963</xdr:row>
      <xdr:rowOff>60950</xdr:rowOff>
    </xdr:from>
    <xdr:to>
      <xdr:col>0</xdr:col>
      <xdr:colOff>2300525</xdr:colOff>
      <xdr:row>963</xdr:row>
      <xdr:rowOff>746750</xdr:rowOff>
    </xdr:to>
    <xdr:pic>
      <xdr:nvPicPr>
        <xdr:cNvPr id="1927" name="Picture 1926" descr="Insight Picture 1926">
          <a:extLst>
            <a:ext uri="{FF2B5EF4-FFF2-40B4-BE49-F238E27FC236}">
              <a16:creationId xmlns:a16="http://schemas.microsoft.com/office/drawing/2014/main" id="{33E44839-829E-5979-DF77-26F547AF2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>
          <a:off x="335994" y="826099430"/>
          <a:ext cx="1964531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436007</xdr:colOff>
      <xdr:row>964</xdr:row>
      <xdr:rowOff>61664</xdr:rowOff>
    </xdr:from>
    <xdr:to>
      <xdr:col>0</xdr:col>
      <xdr:colOff>2200513</xdr:colOff>
      <xdr:row>964</xdr:row>
      <xdr:rowOff>1111795</xdr:rowOff>
    </xdr:to>
    <xdr:pic>
      <xdr:nvPicPr>
        <xdr:cNvPr id="1929" name="Picture 1928" descr="Insight Picture 1928">
          <a:extLst>
            <a:ext uri="{FF2B5EF4-FFF2-40B4-BE49-F238E27FC236}">
              <a16:creationId xmlns:a16="http://schemas.microsoft.com/office/drawing/2014/main" id="{D5BA82BB-077D-D5EB-14D9-0D8DC6BDC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>
          <a:off x="436007" y="826907864"/>
          <a:ext cx="1764506" cy="1050131"/>
        </a:xfrm>
        <a:prstGeom prst="rect">
          <a:avLst/>
        </a:prstGeom>
      </xdr:spPr>
    </xdr:pic>
    <xdr:clientData/>
  </xdr:twoCellAnchor>
  <xdr:twoCellAnchor editAs="oneCell">
    <xdr:from>
      <xdr:col>0</xdr:col>
      <xdr:colOff>521732</xdr:colOff>
      <xdr:row>965</xdr:row>
      <xdr:rowOff>63579</xdr:rowOff>
    </xdr:from>
    <xdr:to>
      <xdr:col>0</xdr:col>
      <xdr:colOff>2114788</xdr:colOff>
      <xdr:row>965</xdr:row>
      <xdr:rowOff>599360</xdr:rowOff>
    </xdr:to>
    <xdr:pic>
      <xdr:nvPicPr>
        <xdr:cNvPr id="1931" name="Picture 1930" descr="Insight Picture 1930">
          <a:extLst>
            <a:ext uri="{FF2B5EF4-FFF2-40B4-BE49-F238E27FC236}">
              <a16:creationId xmlns:a16="http://schemas.microsoft.com/office/drawing/2014/main" id="{91735B6D-3F2A-0BB5-A6EB-E260287A5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>
          <a:off x="521732" y="828083259"/>
          <a:ext cx="1593056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607457</xdr:colOff>
      <xdr:row>966</xdr:row>
      <xdr:rowOff>62627</xdr:rowOff>
    </xdr:from>
    <xdr:to>
      <xdr:col>0</xdr:col>
      <xdr:colOff>2029063</xdr:colOff>
      <xdr:row>966</xdr:row>
      <xdr:rowOff>798433</xdr:rowOff>
    </xdr:to>
    <xdr:pic>
      <xdr:nvPicPr>
        <xdr:cNvPr id="1933" name="Picture 1932" descr="Insight Picture 1932">
          <a:extLst>
            <a:ext uri="{FF2B5EF4-FFF2-40B4-BE49-F238E27FC236}">
              <a16:creationId xmlns:a16="http://schemas.microsoft.com/office/drawing/2014/main" id="{06BED92A-7A63-0249-BB1D-423303433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>
          <a:off x="607457" y="828745247"/>
          <a:ext cx="1421606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589597</xdr:colOff>
      <xdr:row>967</xdr:row>
      <xdr:rowOff>62141</xdr:rowOff>
    </xdr:from>
    <xdr:to>
      <xdr:col>0</xdr:col>
      <xdr:colOff>2046922</xdr:colOff>
      <xdr:row>967</xdr:row>
      <xdr:rowOff>1012260</xdr:rowOff>
    </xdr:to>
    <xdr:pic>
      <xdr:nvPicPr>
        <xdr:cNvPr id="1935" name="Picture 1934" descr="Insight Picture 1934">
          <a:extLst>
            <a:ext uri="{FF2B5EF4-FFF2-40B4-BE49-F238E27FC236}">
              <a16:creationId xmlns:a16="http://schemas.microsoft.com/office/drawing/2014/main" id="{1C15E147-946E-2FF8-19E7-1C9F73D48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>
          <a:off x="589597" y="829605821"/>
          <a:ext cx="1457325" cy="950119"/>
        </a:xfrm>
        <a:prstGeom prst="rect">
          <a:avLst/>
        </a:prstGeom>
      </xdr:spPr>
    </xdr:pic>
    <xdr:clientData/>
  </xdr:twoCellAnchor>
  <xdr:twoCellAnchor editAs="oneCell">
    <xdr:from>
      <xdr:col>0</xdr:col>
      <xdr:colOff>607457</xdr:colOff>
      <xdr:row>968</xdr:row>
      <xdr:rowOff>60226</xdr:rowOff>
    </xdr:from>
    <xdr:to>
      <xdr:col>0</xdr:col>
      <xdr:colOff>2029063</xdr:colOff>
      <xdr:row>968</xdr:row>
      <xdr:rowOff>838895</xdr:rowOff>
    </xdr:to>
    <xdr:pic>
      <xdr:nvPicPr>
        <xdr:cNvPr id="1937" name="Picture 1936" descr="Insight Picture 1936">
          <a:extLst>
            <a:ext uri="{FF2B5EF4-FFF2-40B4-BE49-F238E27FC236}">
              <a16:creationId xmlns:a16="http://schemas.microsoft.com/office/drawing/2014/main" id="{A4BB401A-755A-2A49-8A29-A37AD9834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>
          <a:off x="607457" y="830678326"/>
          <a:ext cx="1421606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732472</xdr:colOff>
      <xdr:row>969</xdr:row>
      <xdr:rowOff>60236</xdr:rowOff>
    </xdr:from>
    <xdr:to>
      <xdr:col>0</xdr:col>
      <xdr:colOff>1904047</xdr:colOff>
      <xdr:row>969</xdr:row>
      <xdr:rowOff>838905</xdr:rowOff>
    </xdr:to>
    <xdr:pic>
      <xdr:nvPicPr>
        <xdr:cNvPr id="1939" name="Picture 1938" descr="Insight Picture 1938">
          <a:extLst>
            <a:ext uri="{FF2B5EF4-FFF2-40B4-BE49-F238E27FC236}">
              <a16:creationId xmlns:a16="http://schemas.microsoft.com/office/drawing/2014/main" id="{AA28D5F4-E346-45A4-6ACD-34285444E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>
          <a:off x="732472" y="831577496"/>
          <a:ext cx="1171575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589597</xdr:colOff>
      <xdr:row>970</xdr:row>
      <xdr:rowOff>60940</xdr:rowOff>
    </xdr:from>
    <xdr:to>
      <xdr:col>0</xdr:col>
      <xdr:colOff>2046922</xdr:colOff>
      <xdr:row>970</xdr:row>
      <xdr:rowOff>746740</xdr:rowOff>
    </xdr:to>
    <xdr:pic>
      <xdr:nvPicPr>
        <xdr:cNvPr id="1941" name="Picture 1940" descr="Insight Picture 1940">
          <a:extLst>
            <a:ext uri="{FF2B5EF4-FFF2-40B4-BE49-F238E27FC236}">
              <a16:creationId xmlns:a16="http://schemas.microsoft.com/office/drawing/2014/main" id="{D611F8C5-1F27-3005-E1B5-D42D37AEC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>
          <a:off x="589597" y="832477360"/>
          <a:ext cx="14573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543163</xdr:colOff>
      <xdr:row>971</xdr:row>
      <xdr:rowOff>61655</xdr:rowOff>
    </xdr:from>
    <xdr:to>
      <xdr:col>0</xdr:col>
      <xdr:colOff>2093357</xdr:colOff>
      <xdr:row>971</xdr:row>
      <xdr:rowOff>768886</xdr:rowOff>
    </xdr:to>
    <xdr:pic>
      <xdr:nvPicPr>
        <xdr:cNvPr id="1943" name="Picture 1942" descr="Insight Picture 1942">
          <a:extLst>
            <a:ext uri="{FF2B5EF4-FFF2-40B4-BE49-F238E27FC236}">
              <a16:creationId xmlns:a16="http://schemas.microsoft.com/office/drawing/2014/main" id="{3BDDCB8B-D86A-7A99-A862-3B288DE87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>
          <a:off x="543163" y="833285795"/>
          <a:ext cx="1550194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689610</xdr:colOff>
      <xdr:row>972</xdr:row>
      <xdr:rowOff>61635</xdr:rowOff>
    </xdr:from>
    <xdr:to>
      <xdr:col>0</xdr:col>
      <xdr:colOff>1946910</xdr:colOff>
      <xdr:row>972</xdr:row>
      <xdr:rowOff>768866</xdr:rowOff>
    </xdr:to>
    <xdr:pic>
      <xdr:nvPicPr>
        <xdr:cNvPr id="1945" name="Picture 1944" descr="Insight Picture 1944">
          <a:extLst>
            <a:ext uri="{FF2B5EF4-FFF2-40B4-BE49-F238E27FC236}">
              <a16:creationId xmlns:a16="http://schemas.microsoft.com/office/drawing/2014/main" id="{F055E212-4915-3A60-10E3-5E3554E0F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>
          <a:off x="689610" y="834116355"/>
          <a:ext cx="1257300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543163</xdr:colOff>
      <xdr:row>973</xdr:row>
      <xdr:rowOff>61416</xdr:rowOff>
    </xdr:from>
    <xdr:to>
      <xdr:col>0</xdr:col>
      <xdr:colOff>2093357</xdr:colOff>
      <xdr:row>973</xdr:row>
      <xdr:rowOff>990104</xdr:rowOff>
    </xdr:to>
    <xdr:pic>
      <xdr:nvPicPr>
        <xdr:cNvPr id="1947" name="Picture 1946" descr="Insight Picture 1946">
          <a:extLst>
            <a:ext uri="{FF2B5EF4-FFF2-40B4-BE49-F238E27FC236}">
              <a16:creationId xmlns:a16="http://schemas.microsoft.com/office/drawing/2014/main" id="{A64494EC-F97C-0509-FC94-E31C3D474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>
          <a:off x="543163" y="834946716"/>
          <a:ext cx="1550194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521732</xdr:colOff>
      <xdr:row>974</xdr:row>
      <xdr:rowOff>63560</xdr:rowOff>
    </xdr:from>
    <xdr:to>
      <xdr:col>0</xdr:col>
      <xdr:colOff>2114788</xdr:colOff>
      <xdr:row>974</xdr:row>
      <xdr:rowOff>599341</xdr:rowOff>
    </xdr:to>
    <xdr:pic>
      <xdr:nvPicPr>
        <xdr:cNvPr id="1949" name="Picture 1948" descr="Insight Picture 1948">
          <a:extLst>
            <a:ext uri="{FF2B5EF4-FFF2-40B4-BE49-F238E27FC236}">
              <a16:creationId xmlns:a16="http://schemas.microsoft.com/office/drawing/2014/main" id="{013F76D8-6A79-8E0E-094D-830F8DD01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>
          <a:off x="521732" y="836000420"/>
          <a:ext cx="1593056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607457</xdr:colOff>
      <xdr:row>975</xdr:row>
      <xdr:rowOff>62607</xdr:rowOff>
    </xdr:from>
    <xdr:to>
      <xdr:col>0</xdr:col>
      <xdr:colOff>2029063</xdr:colOff>
      <xdr:row>975</xdr:row>
      <xdr:rowOff>798413</xdr:rowOff>
    </xdr:to>
    <xdr:pic>
      <xdr:nvPicPr>
        <xdr:cNvPr id="1951" name="Picture 1950" descr="Insight Picture 1950">
          <a:extLst>
            <a:ext uri="{FF2B5EF4-FFF2-40B4-BE49-F238E27FC236}">
              <a16:creationId xmlns:a16="http://schemas.microsoft.com/office/drawing/2014/main" id="{A90EB46C-3380-7369-EF30-454B6CDB9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>
          <a:off x="607457" y="836662407"/>
          <a:ext cx="1421606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443151</xdr:colOff>
      <xdr:row>976</xdr:row>
      <xdr:rowOff>61476</xdr:rowOff>
    </xdr:from>
    <xdr:to>
      <xdr:col>0</xdr:col>
      <xdr:colOff>2193370</xdr:colOff>
      <xdr:row>976</xdr:row>
      <xdr:rowOff>990164</xdr:rowOff>
    </xdr:to>
    <xdr:pic>
      <xdr:nvPicPr>
        <xdr:cNvPr id="1953" name="Picture 1952" descr="Insight Picture 1952">
          <a:extLst>
            <a:ext uri="{FF2B5EF4-FFF2-40B4-BE49-F238E27FC236}">
              <a16:creationId xmlns:a16="http://schemas.microsoft.com/office/drawing/2014/main" id="{B5711BC2-6474-4FEE-F392-E1AAAFE96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>
          <a:off x="443151" y="837522336"/>
          <a:ext cx="1750219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443151</xdr:colOff>
      <xdr:row>977</xdr:row>
      <xdr:rowOff>60940</xdr:rowOff>
    </xdr:from>
    <xdr:to>
      <xdr:col>0</xdr:col>
      <xdr:colOff>2193370</xdr:colOff>
      <xdr:row>977</xdr:row>
      <xdr:rowOff>746740</xdr:rowOff>
    </xdr:to>
    <xdr:pic>
      <xdr:nvPicPr>
        <xdr:cNvPr id="1955" name="Picture 1954" descr="Insight Picture 1954">
          <a:extLst>
            <a:ext uri="{FF2B5EF4-FFF2-40B4-BE49-F238E27FC236}">
              <a16:creationId xmlns:a16="http://schemas.microsoft.com/office/drawing/2014/main" id="{FAA47E1E-2085-C63E-6388-EF6E3931B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>
          <a:off x="443151" y="838573360"/>
          <a:ext cx="1750219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471726</xdr:colOff>
      <xdr:row>978</xdr:row>
      <xdr:rowOff>63837</xdr:rowOff>
    </xdr:from>
    <xdr:to>
      <xdr:col>0</xdr:col>
      <xdr:colOff>2164795</xdr:colOff>
      <xdr:row>978</xdr:row>
      <xdr:rowOff>721062</xdr:rowOff>
    </xdr:to>
    <xdr:pic>
      <xdr:nvPicPr>
        <xdr:cNvPr id="1957" name="Picture 1956" descr="Insight Picture 1956">
          <a:extLst>
            <a:ext uri="{FF2B5EF4-FFF2-40B4-BE49-F238E27FC236}">
              <a16:creationId xmlns:a16="http://schemas.microsoft.com/office/drawing/2014/main" id="{47109A4C-70F4-2329-2CF5-4ECF63A4A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>
          <a:off x="471726" y="839383977"/>
          <a:ext cx="1693069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536020</xdr:colOff>
      <xdr:row>979</xdr:row>
      <xdr:rowOff>62409</xdr:rowOff>
    </xdr:from>
    <xdr:to>
      <xdr:col>0</xdr:col>
      <xdr:colOff>2100501</xdr:colOff>
      <xdr:row>979</xdr:row>
      <xdr:rowOff>905372</xdr:rowOff>
    </xdr:to>
    <xdr:pic>
      <xdr:nvPicPr>
        <xdr:cNvPr id="1959" name="Picture 1958" descr="Insight Picture 1958">
          <a:extLst>
            <a:ext uri="{FF2B5EF4-FFF2-40B4-BE49-F238E27FC236}">
              <a16:creationId xmlns:a16="http://schemas.microsoft.com/office/drawing/2014/main" id="{7046D203-01CE-7989-0EAF-BB6054E61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>
          <a:off x="536020" y="840167409"/>
          <a:ext cx="1564481" cy="842963"/>
        </a:xfrm>
        <a:prstGeom prst="rect">
          <a:avLst/>
        </a:prstGeom>
      </xdr:spPr>
    </xdr:pic>
    <xdr:clientData/>
  </xdr:twoCellAnchor>
  <xdr:twoCellAnchor editAs="oneCell">
    <xdr:from>
      <xdr:col>0</xdr:col>
      <xdr:colOff>414576</xdr:colOff>
      <xdr:row>980</xdr:row>
      <xdr:rowOff>61158</xdr:rowOff>
    </xdr:from>
    <xdr:to>
      <xdr:col>0</xdr:col>
      <xdr:colOff>2221945</xdr:colOff>
      <xdr:row>980</xdr:row>
      <xdr:rowOff>1211302</xdr:rowOff>
    </xdr:to>
    <xdr:pic>
      <xdr:nvPicPr>
        <xdr:cNvPr id="1961" name="Picture 1960" descr="Insight Picture 1960">
          <a:extLst>
            <a:ext uri="{FF2B5EF4-FFF2-40B4-BE49-F238E27FC236}">
              <a16:creationId xmlns:a16="http://schemas.microsoft.com/office/drawing/2014/main" id="{DABDEA06-8739-BD49-9FD0-A3CC54051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>
          <a:off x="414576" y="841133898"/>
          <a:ext cx="1807369" cy="1150144"/>
        </a:xfrm>
        <a:prstGeom prst="rect">
          <a:avLst/>
        </a:prstGeom>
      </xdr:spPr>
    </xdr:pic>
    <xdr:clientData/>
  </xdr:twoCellAnchor>
  <xdr:twoCellAnchor editAs="oneCell">
    <xdr:from>
      <xdr:col>0</xdr:col>
      <xdr:colOff>743188</xdr:colOff>
      <xdr:row>981</xdr:row>
      <xdr:rowOff>60702</xdr:rowOff>
    </xdr:from>
    <xdr:to>
      <xdr:col>0</xdr:col>
      <xdr:colOff>1893332</xdr:colOff>
      <xdr:row>981</xdr:row>
      <xdr:rowOff>625058</xdr:rowOff>
    </xdr:to>
    <xdr:pic>
      <xdr:nvPicPr>
        <xdr:cNvPr id="1963" name="Picture 1962" descr="Insight Picture 1962">
          <a:extLst>
            <a:ext uri="{FF2B5EF4-FFF2-40B4-BE49-F238E27FC236}">
              <a16:creationId xmlns:a16="http://schemas.microsoft.com/office/drawing/2014/main" id="{B0D8FC8C-5CA3-CB0D-BEA1-E66A522F8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>
          <a:off x="743188" y="842405982"/>
          <a:ext cx="1150144" cy="564356"/>
        </a:xfrm>
        <a:prstGeom prst="rect">
          <a:avLst/>
        </a:prstGeom>
      </xdr:spPr>
    </xdr:pic>
    <xdr:clientData/>
  </xdr:twoCellAnchor>
  <xdr:twoCellAnchor editAs="oneCell">
    <xdr:from>
      <xdr:col>0</xdr:col>
      <xdr:colOff>482441</xdr:colOff>
      <xdr:row>982</xdr:row>
      <xdr:rowOff>62389</xdr:rowOff>
    </xdr:from>
    <xdr:to>
      <xdr:col>0</xdr:col>
      <xdr:colOff>2154079</xdr:colOff>
      <xdr:row>982</xdr:row>
      <xdr:rowOff>791052</xdr:rowOff>
    </xdr:to>
    <xdr:pic>
      <xdr:nvPicPr>
        <xdr:cNvPr id="1965" name="Picture 1964" descr="Insight Picture 1964">
          <a:extLst>
            <a:ext uri="{FF2B5EF4-FFF2-40B4-BE49-F238E27FC236}">
              <a16:creationId xmlns:a16="http://schemas.microsoft.com/office/drawing/2014/main" id="{C1807D99-78F2-AA51-980B-F41A462FE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>
          <a:off x="482441" y="843093469"/>
          <a:ext cx="1671638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621745</xdr:colOff>
      <xdr:row>983</xdr:row>
      <xdr:rowOff>61238</xdr:rowOff>
    </xdr:from>
    <xdr:to>
      <xdr:col>0</xdr:col>
      <xdr:colOff>2014776</xdr:colOff>
      <xdr:row>983</xdr:row>
      <xdr:rowOff>639882</xdr:rowOff>
    </xdr:to>
    <xdr:pic>
      <xdr:nvPicPr>
        <xdr:cNvPr id="1967" name="Picture 1966" descr="Insight Picture 1966">
          <a:extLst>
            <a:ext uri="{FF2B5EF4-FFF2-40B4-BE49-F238E27FC236}">
              <a16:creationId xmlns:a16="http://schemas.microsoft.com/office/drawing/2014/main" id="{ADA325C6-A8B1-9530-D674-14756ECF4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>
          <a:off x="621745" y="843945758"/>
          <a:ext cx="1393031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600313</xdr:colOff>
      <xdr:row>984</xdr:row>
      <xdr:rowOff>63361</xdr:rowOff>
    </xdr:from>
    <xdr:to>
      <xdr:col>0</xdr:col>
      <xdr:colOff>2036207</xdr:colOff>
      <xdr:row>984</xdr:row>
      <xdr:rowOff>820599</xdr:rowOff>
    </xdr:to>
    <xdr:pic>
      <xdr:nvPicPr>
        <xdr:cNvPr id="1969" name="Picture 1968" descr="Insight Picture 1968">
          <a:extLst>
            <a:ext uri="{FF2B5EF4-FFF2-40B4-BE49-F238E27FC236}">
              <a16:creationId xmlns:a16="http://schemas.microsoft.com/office/drawing/2014/main" id="{8289CCB2-7D01-50DA-8DA2-7F39B546C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>
          <a:off x="600313" y="844648921"/>
          <a:ext cx="1435894" cy="757238"/>
        </a:xfrm>
        <a:prstGeom prst="rect">
          <a:avLst/>
        </a:prstGeom>
      </xdr:spPr>
    </xdr:pic>
    <xdr:clientData/>
  </xdr:twoCellAnchor>
  <xdr:twoCellAnchor editAs="oneCell">
    <xdr:from>
      <xdr:col>0</xdr:col>
      <xdr:colOff>436007</xdr:colOff>
      <xdr:row>985</xdr:row>
      <xdr:rowOff>61694</xdr:rowOff>
    </xdr:from>
    <xdr:to>
      <xdr:col>0</xdr:col>
      <xdr:colOff>2200513</xdr:colOff>
      <xdr:row>985</xdr:row>
      <xdr:rowOff>768925</xdr:rowOff>
    </xdr:to>
    <xdr:pic>
      <xdr:nvPicPr>
        <xdr:cNvPr id="1971" name="Picture 1970" descr="Insight Picture 1970">
          <a:extLst>
            <a:ext uri="{FF2B5EF4-FFF2-40B4-BE49-F238E27FC236}">
              <a16:creationId xmlns:a16="http://schemas.microsoft.com/office/drawing/2014/main" id="{D58C7D3F-A6C7-097C-40EE-623F0BEDA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>
          <a:off x="436007" y="845531174"/>
          <a:ext cx="1764506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436007</xdr:colOff>
      <xdr:row>986</xdr:row>
      <xdr:rowOff>62369</xdr:rowOff>
    </xdr:from>
    <xdr:to>
      <xdr:col>0</xdr:col>
      <xdr:colOff>2200513</xdr:colOff>
      <xdr:row>986</xdr:row>
      <xdr:rowOff>791032</xdr:rowOff>
    </xdr:to>
    <xdr:pic>
      <xdr:nvPicPr>
        <xdr:cNvPr id="1973" name="Picture 1972" descr="Insight Picture 1972">
          <a:extLst>
            <a:ext uri="{FF2B5EF4-FFF2-40B4-BE49-F238E27FC236}">
              <a16:creationId xmlns:a16="http://schemas.microsoft.com/office/drawing/2014/main" id="{6819E11E-2B10-A8E4-337D-83116CBC8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>
          <a:off x="436007" y="846362429"/>
          <a:ext cx="1764506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436007</xdr:colOff>
      <xdr:row>987</xdr:row>
      <xdr:rowOff>62409</xdr:rowOff>
    </xdr:from>
    <xdr:to>
      <xdr:col>0</xdr:col>
      <xdr:colOff>2200513</xdr:colOff>
      <xdr:row>987</xdr:row>
      <xdr:rowOff>791072</xdr:rowOff>
    </xdr:to>
    <xdr:pic>
      <xdr:nvPicPr>
        <xdr:cNvPr id="1975" name="Picture 1974" descr="Insight Picture 1974">
          <a:extLst>
            <a:ext uri="{FF2B5EF4-FFF2-40B4-BE49-F238E27FC236}">
              <a16:creationId xmlns:a16="http://schemas.microsoft.com/office/drawing/2014/main" id="{D05643B6-2CB2-DBD9-C21A-A90119F1C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>
          <a:off x="436007" y="847215909"/>
          <a:ext cx="1764506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521732</xdr:colOff>
      <xdr:row>988</xdr:row>
      <xdr:rowOff>61158</xdr:rowOff>
    </xdr:from>
    <xdr:to>
      <xdr:col>0</xdr:col>
      <xdr:colOff>2114788</xdr:colOff>
      <xdr:row>988</xdr:row>
      <xdr:rowOff>639802</xdr:rowOff>
    </xdr:to>
    <xdr:pic>
      <xdr:nvPicPr>
        <xdr:cNvPr id="1977" name="Picture 1976" descr="Insight Picture 1976">
          <a:extLst>
            <a:ext uri="{FF2B5EF4-FFF2-40B4-BE49-F238E27FC236}">
              <a16:creationId xmlns:a16="http://schemas.microsoft.com/office/drawing/2014/main" id="{B2AF1628-CC86-C7C4-D73E-5457D62B1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>
          <a:off x="521732" y="848068098"/>
          <a:ext cx="1593056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436007</xdr:colOff>
      <xdr:row>989</xdr:row>
      <xdr:rowOff>60504</xdr:rowOff>
    </xdr:from>
    <xdr:to>
      <xdr:col>0</xdr:col>
      <xdr:colOff>2200513</xdr:colOff>
      <xdr:row>989</xdr:row>
      <xdr:rowOff>960617</xdr:rowOff>
    </xdr:to>
    <xdr:pic>
      <xdr:nvPicPr>
        <xdr:cNvPr id="1979" name="Picture 1978" descr="Insight Picture 1978">
          <a:extLst>
            <a:ext uri="{FF2B5EF4-FFF2-40B4-BE49-F238E27FC236}">
              <a16:creationId xmlns:a16="http://schemas.microsoft.com/office/drawing/2014/main" id="{7685119F-EAF8-6447-589C-A568974CF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>
          <a:off x="436007" y="848768484"/>
          <a:ext cx="1764506" cy="900113"/>
        </a:xfrm>
        <a:prstGeom prst="rect">
          <a:avLst/>
        </a:prstGeom>
      </xdr:spPr>
    </xdr:pic>
    <xdr:clientData/>
  </xdr:twoCellAnchor>
  <xdr:twoCellAnchor editAs="oneCell">
    <xdr:from>
      <xdr:col>0</xdr:col>
      <xdr:colOff>614600</xdr:colOff>
      <xdr:row>990</xdr:row>
      <xdr:rowOff>60682</xdr:rowOff>
    </xdr:from>
    <xdr:to>
      <xdr:col>0</xdr:col>
      <xdr:colOff>2021919</xdr:colOff>
      <xdr:row>990</xdr:row>
      <xdr:rowOff>853638</xdr:rowOff>
    </xdr:to>
    <xdr:pic>
      <xdr:nvPicPr>
        <xdr:cNvPr id="1981" name="Picture 1980" descr="Insight Picture 1980">
          <a:extLst>
            <a:ext uri="{FF2B5EF4-FFF2-40B4-BE49-F238E27FC236}">
              <a16:creationId xmlns:a16="http://schemas.microsoft.com/office/drawing/2014/main" id="{E019D524-0176-56AE-2FC7-CF631161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>
          <a:off x="614600" y="849789742"/>
          <a:ext cx="1407319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768191</xdr:colOff>
      <xdr:row>991</xdr:row>
      <xdr:rowOff>63560</xdr:rowOff>
    </xdr:from>
    <xdr:to>
      <xdr:col>0</xdr:col>
      <xdr:colOff>1868329</xdr:colOff>
      <xdr:row>991</xdr:row>
      <xdr:rowOff>1056541</xdr:rowOff>
    </xdr:to>
    <xdr:pic>
      <xdr:nvPicPr>
        <xdr:cNvPr id="1983" name="Picture 1982" descr="Insight Picture 1982">
          <a:extLst>
            <a:ext uri="{FF2B5EF4-FFF2-40B4-BE49-F238E27FC236}">
              <a16:creationId xmlns:a16="http://schemas.microsoft.com/office/drawing/2014/main" id="{5567B003-688D-4820-CE18-13A92FC2C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>
          <a:off x="768191" y="850707020"/>
          <a:ext cx="1100138" cy="992981"/>
        </a:xfrm>
        <a:prstGeom prst="rect">
          <a:avLst/>
        </a:prstGeom>
      </xdr:spPr>
    </xdr:pic>
    <xdr:clientData/>
  </xdr:twoCellAnchor>
  <xdr:twoCellAnchor editAs="oneCell">
    <xdr:from>
      <xdr:col>0</xdr:col>
      <xdr:colOff>632460</xdr:colOff>
      <xdr:row>992</xdr:row>
      <xdr:rowOff>63599</xdr:rowOff>
    </xdr:from>
    <xdr:to>
      <xdr:col>0</xdr:col>
      <xdr:colOff>2004060</xdr:colOff>
      <xdr:row>992</xdr:row>
      <xdr:rowOff>1056580</xdr:rowOff>
    </xdr:to>
    <xdr:pic>
      <xdr:nvPicPr>
        <xdr:cNvPr id="1985" name="Picture 1984" descr="Insight Picture 1984">
          <a:extLst>
            <a:ext uri="{FF2B5EF4-FFF2-40B4-BE49-F238E27FC236}">
              <a16:creationId xmlns:a16="http://schemas.microsoft.com/office/drawing/2014/main" id="{8CB8884A-1416-2200-8CF3-F86E55665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>
          <a:off x="632460" y="851827199"/>
          <a:ext cx="1371600" cy="992981"/>
        </a:xfrm>
        <a:prstGeom prst="rect">
          <a:avLst/>
        </a:prstGeom>
      </xdr:spPr>
    </xdr:pic>
    <xdr:clientData/>
  </xdr:twoCellAnchor>
  <xdr:twoCellAnchor editAs="oneCell">
    <xdr:from>
      <xdr:col>0</xdr:col>
      <xdr:colOff>650320</xdr:colOff>
      <xdr:row>993</xdr:row>
      <xdr:rowOff>61456</xdr:rowOff>
    </xdr:from>
    <xdr:to>
      <xdr:col>0</xdr:col>
      <xdr:colOff>1986201</xdr:colOff>
      <xdr:row>993</xdr:row>
      <xdr:rowOff>761544</xdr:rowOff>
    </xdr:to>
    <xdr:pic>
      <xdr:nvPicPr>
        <xdr:cNvPr id="1987" name="Picture 1986" descr="Insight Picture 1986">
          <a:extLst>
            <a:ext uri="{FF2B5EF4-FFF2-40B4-BE49-F238E27FC236}">
              <a16:creationId xmlns:a16="http://schemas.microsoft.com/office/drawing/2014/main" id="{E9B72946-C4B7-3539-D77A-F3A6802EA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>
          <a:off x="650320" y="852945196"/>
          <a:ext cx="1335881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800338</xdr:colOff>
      <xdr:row>994</xdr:row>
      <xdr:rowOff>61913</xdr:rowOff>
    </xdr:from>
    <xdr:to>
      <xdr:col>0</xdr:col>
      <xdr:colOff>1836182</xdr:colOff>
      <xdr:row>994</xdr:row>
      <xdr:rowOff>890588</xdr:rowOff>
    </xdr:to>
    <xdr:pic>
      <xdr:nvPicPr>
        <xdr:cNvPr id="1989" name="Picture 1988" descr="Insight Picture 1988">
          <a:extLst>
            <a:ext uri="{FF2B5EF4-FFF2-40B4-BE49-F238E27FC236}">
              <a16:creationId xmlns:a16="http://schemas.microsoft.com/office/drawing/2014/main" id="{531A300B-5B0A-18B7-2A69-8ADF4E4C1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>
          <a:off x="800338" y="853768613"/>
          <a:ext cx="1035844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821770</xdr:colOff>
      <xdr:row>995</xdr:row>
      <xdr:rowOff>61913</xdr:rowOff>
    </xdr:from>
    <xdr:to>
      <xdr:col>0</xdr:col>
      <xdr:colOff>1814751</xdr:colOff>
      <xdr:row>995</xdr:row>
      <xdr:rowOff>890588</xdr:rowOff>
    </xdr:to>
    <xdr:pic>
      <xdr:nvPicPr>
        <xdr:cNvPr id="1991" name="Picture 1990" descr="Insight Picture 1990">
          <a:extLst>
            <a:ext uri="{FF2B5EF4-FFF2-40B4-BE49-F238E27FC236}">
              <a16:creationId xmlns:a16="http://schemas.microsoft.com/office/drawing/2014/main" id="{E25EEC9E-745C-D8B3-7671-46ED5E79A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>
          <a:off x="821770" y="854721113"/>
          <a:ext cx="992981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650320</xdr:colOff>
      <xdr:row>996</xdr:row>
      <xdr:rowOff>61416</xdr:rowOff>
    </xdr:from>
    <xdr:to>
      <xdr:col>0</xdr:col>
      <xdr:colOff>1986201</xdr:colOff>
      <xdr:row>996</xdr:row>
      <xdr:rowOff>761504</xdr:rowOff>
    </xdr:to>
    <xdr:pic>
      <xdr:nvPicPr>
        <xdr:cNvPr id="1993" name="Picture 1992" descr="Insight Picture 1992">
          <a:extLst>
            <a:ext uri="{FF2B5EF4-FFF2-40B4-BE49-F238E27FC236}">
              <a16:creationId xmlns:a16="http://schemas.microsoft.com/office/drawing/2014/main" id="{85FF28C5-BF8C-86A5-25F3-3E9EF10FF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>
          <a:off x="650320" y="855673116"/>
          <a:ext cx="1335881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818198</xdr:colOff>
      <xdr:row>997</xdr:row>
      <xdr:rowOff>63560</xdr:rowOff>
    </xdr:from>
    <xdr:to>
      <xdr:col>0</xdr:col>
      <xdr:colOff>1818323</xdr:colOff>
      <xdr:row>997</xdr:row>
      <xdr:rowOff>942241</xdr:rowOff>
    </xdr:to>
    <xdr:pic>
      <xdr:nvPicPr>
        <xdr:cNvPr id="1995" name="Picture 1994" descr="Insight Picture 1994">
          <a:extLst>
            <a:ext uri="{FF2B5EF4-FFF2-40B4-BE49-F238E27FC236}">
              <a16:creationId xmlns:a16="http://schemas.microsoft.com/office/drawing/2014/main" id="{CA08CAA0-E798-D62C-8207-75E7E0C4F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>
          <a:off x="818198" y="856498220"/>
          <a:ext cx="1000125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643175</xdr:colOff>
      <xdr:row>998</xdr:row>
      <xdr:rowOff>62607</xdr:rowOff>
    </xdr:from>
    <xdr:to>
      <xdr:col>0</xdr:col>
      <xdr:colOff>1993344</xdr:colOff>
      <xdr:row>998</xdr:row>
      <xdr:rowOff>798413</xdr:rowOff>
    </xdr:to>
    <xdr:pic>
      <xdr:nvPicPr>
        <xdr:cNvPr id="1997" name="Picture 1996" descr="Insight Picture 1996">
          <a:extLst>
            <a:ext uri="{FF2B5EF4-FFF2-40B4-BE49-F238E27FC236}">
              <a16:creationId xmlns:a16="http://schemas.microsoft.com/office/drawing/2014/main" id="{0CFFB976-F114-B419-5511-4F49B2332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>
          <a:off x="643175" y="857503107"/>
          <a:ext cx="1350169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861060</xdr:colOff>
      <xdr:row>999</xdr:row>
      <xdr:rowOff>61178</xdr:rowOff>
    </xdr:from>
    <xdr:to>
      <xdr:col>0</xdr:col>
      <xdr:colOff>1775460</xdr:colOff>
      <xdr:row>999</xdr:row>
      <xdr:rowOff>639822</xdr:rowOff>
    </xdr:to>
    <xdr:pic>
      <xdr:nvPicPr>
        <xdr:cNvPr id="1999" name="Picture 1998" descr="Insight Picture 1998">
          <a:extLst>
            <a:ext uri="{FF2B5EF4-FFF2-40B4-BE49-F238E27FC236}">
              <a16:creationId xmlns:a16="http://schemas.microsoft.com/office/drawing/2014/main" id="{076F6A5C-D754-3ED9-23B6-5057DDF94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>
          <a:off x="861060" y="858362738"/>
          <a:ext cx="914400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707470</xdr:colOff>
      <xdr:row>1000</xdr:row>
      <xdr:rowOff>61218</xdr:rowOff>
    </xdr:from>
    <xdr:to>
      <xdr:col>0</xdr:col>
      <xdr:colOff>1929051</xdr:colOff>
      <xdr:row>1000</xdr:row>
      <xdr:rowOff>639862</xdr:rowOff>
    </xdr:to>
    <xdr:pic>
      <xdr:nvPicPr>
        <xdr:cNvPr id="2001" name="Picture 2000" descr="Insight Picture 2000">
          <a:extLst>
            <a:ext uri="{FF2B5EF4-FFF2-40B4-BE49-F238E27FC236}">
              <a16:creationId xmlns:a16="http://schemas.microsoft.com/office/drawing/2014/main" id="{B70003F1-D3C4-FEA3-03A7-01E8F7BD4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>
          <a:off x="707470" y="859063818"/>
          <a:ext cx="1221581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839628</xdr:colOff>
      <xdr:row>1001</xdr:row>
      <xdr:rowOff>61158</xdr:rowOff>
    </xdr:from>
    <xdr:to>
      <xdr:col>0</xdr:col>
      <xdr:colOff>1796891</xdr:colOff>
      <xdr:row>1001</xdr:row>
      <xdr:rowOff>639802</xdr:rowOff>
    </xdr:to>
    <xdr:pic>
      <xdr:nvPicPr>
        <xdr:cNvPr id="2003" name="Picture 2002" descr="Insight Picture 2002">
          <a:extLst>
            <a:ext uri="{FF2B5EF4-FFF2-40B4-BE49-F238E27FC236}">
              <a16:creationId xmlns:a16="http://schemas.microsoft.com/office/drawing/2014/main" id="{0D2D22D5-D481-9E8C-36C3-43583144D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>
          <a:off x="839628" y="859764798"/>
          <a:ext cx="957263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643175</xdr:colOff>
      <xdr:row>1002</xdr:row>
      <xdr:rowOff>60206</xdr:rowOff>
    </xdr:from>
    <xdr:to>
      <xdr:col>0</xdr:col>
      <xdr:colOff>1993344</xdr:colOff>
      <xdr:row>1002</xdr:row>
      <xdr:rowOff>838875</xdr:rowOff>
    </xdr:to>
    <xdr:pic>
      <xdr:nvPicPr>
        <xdr:cNvPr id="2005" name="Picture 2004" descr="Insight Picture 2004">
          <a:extLst>
            <a:ext uri="{FF2B5EF4-FFF2-40B4-BE49-F238E27FC236}">
              <a16:creationId xmlns:a16="http://schemas.microsoft.com/office/drawing/2014/main" id="{9CF4794D-F61F-E648-DC5F-6E3BFD4BF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>
          <a:off x="643175" y="860464886"/>
          <a:ext cx="1350169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525303</xdr:colOff>
      <xdr:row>1003</xdr:row>
      <xdr:rowOff>62151</xdr:rowOff>
    </xdr:from>
    <xdr:to>
      <xdr:col>0</xdr:col>
      <xdr:colOff>2111216</xdr:colOff>
      <xdr:row>1003</xdr:row>
      <xdr:rowOff>669370</xdr:rowOff>
    </xdr:to>
    <xdr:pic>
      <xdr:nvPicPr>
        <xdr:cNvPr id="2007" name="Picture 2006" descr="Insight Picture 2006">
          <a:extLst>
            <a:ext uri="{FF2B5EF4-FFF2-40B4-BE49-F238E27FC236}">
              <a16:creationId xmlns:a16="http://schemas.microsoft.com/office/drawing/2014/main" id="{DF701E8F-0FCA-347B-6087-EAA1A7698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>
          <a:off x="525303" y="861365991"/>
          <a:ext cx="1585913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761047</xdr:colOff>
      <xdr:row>1004</xdr:row>
      <xdr:rowOff>60285</xdr:rowOff>
    </xdr:from>
    <xdr:to>
      <xdr:col>0</xdr:col>
      <xdr:colOff>1875472</xdr:colOff>
      <xdr:row>1004</xdr:row>
      <xdr:rowOff>838954</xdr:rowOff>
    </xdr:to>
    <xdr:pic>
      <xdr:nvPicPr>
        <xdr:cNvPr id="2009" name="Picture 2008" descr="Insight Picture 2008">
          <a:extLst>
            <a:ext uri="{FF2B5EF4-FFF2-40B4-BE49-F238E27FC236}">
              <a16:creationId xmlns:a16="http://schemas.microsoft.com/office/drawing/2014/main" id="{D2046738-02FA-B515-53F7-0D6B23AC0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>
          <a:off x="761047" y="862095645"/>
          <a:ext cx="1114425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643175</xdr:colOff>
      <xdr:row>1005</xdr:row>
      <xdr:rowOff>60246</xdr:rowOff>
    </xdr:from>
    <xdr:to>
      <xdr:col>0</xdr:col>
      <xdr:colOff>1993344</xdr:colOff>
      <xdr:row>1005</xdr:row>
      <xdr:rowOff>838915</xdr:rowOff>
    </xdr:to>
    <xdr:pic>
      <xdr:nvPicPr>
        <xdr:cNvPr id="2011" name="Picture 2010" descr="Insight Picture 2010">
          <a:extLst>
            <a:ext uri="{FF2B5EF4-FFF2-40B4-BE49-F238E27FC236}">
              <a16:creationId xmlns:a16="http://schemas.microsoft.com/office/drawing/2014/main" id="{67539B21-FD9D-B3C5-52F3-190C93D83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>
          <a:off x="643175" y="862994766"/>
          <a:ext cx="1350169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839628</xdr:colOff>
      <xdr:row>1006</xdr:row>
      <xdr:rowOff>62587</xdr:rowOff>
    </xdr:from>
    <xdr:to>
      <xdr:col>0</xdr:col>
      <xdr:colOff>1796891</xdr:colOff>
      <xdr:row>1006</xdr:row>
      <xdr:rowOff>1141293</xdr:rowOff>
    </xdr:to>
    <xdr:pic>
      <xdr:nvPicPr>
        <xdr:cNvPr id="2013" name="Picture 2012" descr="Insight Picture 2012">
          <a:extLst>
            <a:ext uri="{FF2B5EF4-FFF2-40B4-BE49-F238E27FC236}">
              <a16:creationId xmlns:a16="http://schemas.microsoft.com/office/drawing/2014/main" id="{43663622-E5FB-241A-3E7F-244D87927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>
          <a:off x="839628" y="863896267"/>
          <a:ext cx="957263" cy="1078706"/>
        </a:xfrm>
        <a:prstGeom prst="rect">
          <a:avLst/>
        </a:prstGeom>
      </xdr:spPr>
    </xdr:pic>
    <xdr:clientData/>
  </xdr:twoCellAnchor>
  <xdr:twoCellAnchor editAs="oneCell">
    <xdr:from>
      <xdr:col>0</xdr:col>
      <xdr:colOff>750332</xdr:colOff>
      <xdr:row>1007</xdr:row>
      <xdr:rowOff>62845</xdr:rowOff>
    </xdr:from>
    <xdr:to>
      <xdr:col>0</xdr:col>
      <xdr:colOff>1886188</xdr:colOff>
      <xdr:row>1007</xdr:row>
      <xdr:rowOff>920095</xdr:rowOff>
    </xdr:to>
    <xdr:pic>
      <xdr:nvPicPr>
        <xdr:cNvPr id="2015" name="Picture 2014" descr="Insight Picture 2014">
          <a:extLst>
            <a:ext uri="{FF2B5EF4-FFF2-40B4-BE49-F238E27FC236}">
              <a16:creationId xmlns:a16="http://schemas.microsoft.com/office/drawing/2014/main" id="{DACD37C7-F0C1-B13B-0943-9D2570AE0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>
          <a:off x="750332" y="865100485"/>
          <a:ext cx="1135856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564595</xdr:colOff>
      <xdr:row>1008</xdr:row>
      <xdr:rowOff>61436</xdr:rowOff>
    </xdr:from>
    <xdr:to>
      <xdr:col>0</xdr:col>
      <xdr:colOff>2071926</xdr:colOff>
      <xdr:row>1008</xdr:row>
      <xdr:rowOff>761524</xdr:rowOff>
    </xdr:to>
    <xdr:pic>
      <xdr:nvPicPr>
        <xdr:cNvPr id="2017" name="Picture 2016" descr="Insight Picture 2016">
          <a:extLst>
            <a:ext uri="{FF2B5EF4-FFF2-40B4-BE49-F238E27FC236}">
              <a16:creationId xmlns:a16="http://schemas.microsoft.com/office/drawing/2014/main" id="{8C243EA6-8CFE-1B22-A2E4-DCB5D39CB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>
          <a:off x="564595" y="866082056"/>
          <a:ext cx="1507331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925353</xdr:colOff>
      <xdr:row>1009</xdr:row>
      <xdr:rowOff>63579</xdr:rowOff>
    </xdr:from>
    <xdr:to>
      <xdr:col>0</xdr:col>
      <xdr:colOff>1711166</xdr:colOff>
      <xdr:row>1009</xdr:row>
      <xdr:rowOff>942260</xdr:rowOff>
    </xdr:to>
    <xdr:pic>
      <xdr:nvPicPr>
        <xdr:cNvPr id="2019" name="Picture 2018" descr="Insight Picture 2018">
          <a:extLst>
            <a:ext uri="{FF2B5EF4-FFF2-40B4-BE49-F238E27FC236}">
              <a16:creationId xmlns:a16="http://schemas.microsoft.com/office/drawing/2014/main" id="{F166FD2C-1FC3-8632-CC15-DB516BDD9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>
          <a:off x="925353" y="866907159"/>
          <a:ext cx="785813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839628</xdr:colOff>
      <xdr:row>1010</xdr:row>
      <xdr:rowOff>61238</xdr:rowOff>
    </xdr:from>
    <xdr:to>
      <xdr:col>0</xdr:col>
      <xdr:colOff>1796891</xdr:colOff>
      <xdr:row>1010</xdr:row>
      <xdr:rowOff>1097082</xdr:rowOff>
    </xdr:to>
    <xdr:pic>
      <xdr:nvPicPr>
        <xdr:cNvPr id="2021" name="Picture 2020" descr="Insight Picture 2020">
          <a:extLst>
            <a:ext uri="{FF2B5EF4-FFF2-40B4-BE49-F238E27FC236}">
              <a16:creationId xmlns:a16="http://schemas.microsoft.com/office/drawing/2014/main" id="{8BCBBC00-D51D-2E1A-F1F5-63937B4C3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>
          <a:off x="839628" y="867910658"/>
          <a:ext cx="957263" cy="1035844"/>
        </a:xfrm>
        <a:prstGeom prst="rect">
          <a:avLst/>
        </a:prstGeom>
      </xdr:spPr>
    </xdr:pic>
    <xdr:clientData/>
  </xdr:twoCellAnchor>
  <xdr:twoCellAnchor editAs="oneCell">
    <xdr:from>
      <xdr:col>0</xdr:col>
      <xdr:colOff>896778</xdr:colOff>
      <xdr:row>1011</xdr:row>
      <xdr:rowOff>63063</xdr:rowOff>
    </xdr:from>
    <xdr:to>
      <xdr:col>0</xdr:col>
      <xdr:colOff>1739741</xdr:colOff>
      <xdr:row>1011</xdr:row>
      <xdr:rowOff>1041757</xdr:rowOff>
    </xdr:to>
    <xdr:pic>
      <xdr:nvPicPr>
        <xdr:cNvPr id="2023" name="Picture 2022" descr="Insight Picture 2022">
          <a:extLst>
            <a:ext uri="{FF2B5EF4-FFF2-40B4-BE49-F238E27FC236}">
              <a16:creationId xmlns:a16="http://schemas.microsoft.com/office/drawing/2014/main" id="{E3DEE873-4B51-B694-F41C-88CB679A0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>
          <a:off x="896778" y="869070723"/>
          <a:ext cx="842963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839628</xdr:colOff>
      <xdr:row>1012</xdr:row>
      <xdr:rowOff>61873</xdr:rowOff>
    </xdr:from>
    <xdr:to>
      <xdr:col>0</xdr:col>
      <xdr:colOff>1796891</xdr:colOff>
      <xdr:row>1012</xdr:row>
      <xdr:rowOff>890548</xdr:rowOff>
    </xdr:to>
    <xdr:pic>
      <xdr:nvPicPr>
        <xdr:cNvPr id="2025" name="Picture 2024" descr="Insight Picture 2024">
          <a:extLst>
            <a:ext uri="{FF2B5EF4-FFF2-40B4-BE49-F238E27FC236}">
              <a16:creationId xmlns:a16="http://schemas.microsoft.com/office/drawing/2014/main" id="{677C917F-C48E-4DB3-1885-6BF2782AB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>
          <a:off x="839628" y="870174433"/>
          <a:ext cx="957263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793195</xdr:colOff>
      <xdr:row>1013</xdr:row>
      <xdr:rowOff>61873</xdr:rowOff>
    </xdr:from>
    <xdr:to>
      <xdr:col>0</xdr:col>
      <xdr:colOff>1843326</xdr:colOff>
      <xdr:row>1013</xdr:row>
      <xdr:rowOff>890548</xdr:rowOff>
    </xdr:to>
    <xdr:pic>
      <xdr:nvPicPr>
        <xdr:cNvPr id="2027" name="Picture 2026" descr="Insight Picture 2026">
          <a:extLst>
            <a:ext uri="{FF2B5EF4-FFF2-40B4-BE49-F238E27FC236}">
              <a16:creationId xmlns:a16="http://schemas.microsoft.com/office/drawing/2014/main" id="{2C6C3B90-D481-6C81-3492-7A0E3D63D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>
          <a:off x="793195" y="871126933"/>
          <a:ext cx="1050131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814625</xdr:colOff>
      <xdr:row>1014</xdr:row>
      <xdr:rowOff>63361</xdr:rowOff>
    </xdr:from>
    <xdr:to>
      <xdr:col>0</xdr:col>
      <xdr:colOff>1821894</xdr:colOff>
      <xdr:row>1014</xdr:row>
      <xdr:rowOff>934899</xdr:rowOff>
    </xdr:to>
    <xdr:pic>
      <xdr:nvPicPr>
        <xdr:cNvPr id="2029" name="Picture 2028" descr="Insight Picture 2028">
          <a:extLst>
            <a:ext uri="{FF2B5EF4-FFF2-40B4-BE49-F238E27FC236}">
              <a16:creationId xmlns:a16="http://schemas.microsoft.com/office/drawing/2014/main" id="{405075D3-833F-E1BF-B505-E7CFB918B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>
          <a:off x="814625" y="872080921"/>
          <a:ext cx="1007269" cy="871538"/>
        </a:xfrm>
        <a:prstGeom prst="rect">
          <a:avLst/>
        </a:prstGeom>
      </xdr:spPr>
    </xdr:pic>
    <xdr:clientData/>
  </xdr:twoCellAnchor>
  <xdr:twoCellAnchor editAs="oneCell">
    <xdr:from>
      <xdr:col>0</xdr:col>
      <xdr:colOff>600313</xdr:colOff>
      <xdr:row>1015</xdr:row>
      <xdr:rowOff>63381</xdr:rowOff>
    </xdr:from>
    <xdr:to>
      <xdr:col>0</xdr:col>
      <xdr:colOff>2036207</xdr:colOff>
      <xdr:row>1015</xdr:row>
      <xdr:rowOff>592019</xdr:rowOff>
    </xdr:to>
    <xdr:pic>
      <xdr:nvPicPr>
        <xdr:cNvPr id="2031" name="Picture 2030" descr="Insight Picture 2030">
          <a:extLst>
            <a:ext uri="{FF2B5EF4-FFF2-40B4-BE49-F238E27FC236}">
              <a16:creationId xmlns:a16="http://schemas.microsoft.com/office/drawing/2014/main" id="{77DE272C-7657-C49A-351A-697CDF402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>
          <a:off x="600313" y="873079161"/>
          <a:ext cx="1435894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793195</xdr:colOff>
      <xdr:row>1016</xdr:row>
      <xdr:rowOff>61913</xdr:rowOff>
    </xdr:from>
    <xdr:to>
      <xdr:col>0</xdr:col>
      <xdr:colOff>1843326</xdr:colOff>
      <xdr:row>1016</xdr:row>
      <xdr:rowOff>890588</xdr:rowOff>
    </xdr:to>
    <xdr:pic>
      <xdr:nvPicPr>
        <xdr:cNvPr id="2033" name="Picture 2032" descr="Insight Picture 2032">
          <a:extLst>
            <a:ext uri="{FF2B5EF4-FFF2-40B4-BE49-F238E27FC236}">
              <a16:creationId xmlns:a16="http://schemas.microsoft.com/office/drawing/2014/main" id="{84C013FD-B098-F586-C137-2D77A1D57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>
          <a:off x="793195" y="873733013"/>
          <a:ext cx="1050131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521732</xdr:colOff>
      <xdr:row>1017</xdr:row>
      <xdr:rowOff>63302</xdr:rowOff>
    </xdr:from>
    <xdr:to>
      <xdr:col>0</xdr:col>
      <xdr:colOff>2114788</xdr:colOff>
      <xdr:row>1017</xdr:row>
      <xdr:rowOff>591940</xdr:rowOff>
    </xdr:to>
    <xdr:pic>
      <xdr:nvPicPr>
        <xdr:cNvPr id="2035" name="Picture 2034" descr="Insight Picture 2034">
          <a:extLst>
            <a:ext uri="{FF2B5EF4-FFF2-40B4-BE49-F238E27FC236}">
              <a16:creationId xmlns:a16="http://schemas.microsoft.com/office/drawing/2014/main" id="{C55A5DA4-E887-7991-6EE2-2F61C330D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>
          <a:off x="521732" y="874686902"/>
          <a:ext cx="1593056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621745</xdr:colOff>
      <xdr:row>1018</xdr:row>
      <xdr:rowOff>60246</xdr:rowOff>
    </xdr:from>
    <xdr:to>
      <xdr:col>0</xdr:col>
      <xdr:colOff>2014776</xdr:colOff>
      <xdr:row>1018</xdr:row>
      <xdr:rowOff>838915</xdr:rowOff>
    </xdr:to>
    <xdr:pic>
      <xdr:nvPicPr>
        <xdr:cNvPr id="2037" name="Picture 2036" descr="Insight Picture 2036">
          <a:extLst>
            <a:ext uri="{FF2B5EF4-FFF2-40B4-BE49-F238E27FC236}">
              <a16:creationId xmlns:a16="http://schemas.microsoft.com/office/drawing/2014/main" id="{C9667126-936B-AF4F-1904-A0747F2B0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>
          <a:off x="621745" y="875339166"/>
          <a:ext cx="1393031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450294</xdr:colOff>
      <xdr:row>1019</xdr:row>
      <xdr:rowOff>60206</xdr:rowOff>
    </xdr:from>
    <xdr:to>
      <xdr:col>0</xdr:col>
      <xdr:colOff>2186225</xdr:colOff>
      <xdr:row>1019</xdr:row>
      <xdr:rowOff>838875</xdr:rowOff>
    </xdr:to>
    <xdr:pic>
      <xdr:nvPicPr>
        <xdr:cNvPr id="2039" name="Picture 2038" descr="Insight Picture 2038">
          <a:extLst>
            <a:ext uri="{FF2B5EF4-FFF2-40B4-BE49-F238E27FC236}">
              <a16:creationId xmlns:a16="http://schemas.microsoft.com/office/drawing/2014/main" id="{0C7EE869-3633-12DB-E0AC-0A32C99BC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>
          <a:off x="450294" y="876238286"/>
          <a:ext cx="1735931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925353</xdr:colOff>
      <xdr:row>1020</xdr:row>
      <xdr:rowOff>60762</xdr:rowOff>
    </xdr:from>
    <xdr:to>
      <xdr:col>0</xdr:col>
      <xdr:colOff>1711166</xdr:colOff>
      <xdr:row>1020</xdr:row>
      <xdr:rowOff>968018</xdr:rowOff>
    </xdr:to>
    <xdr:pic>
      <xdr:nvPicPr>
        <xdr:cNvPr id="2041" name="Picture 2040" descr="Insight Picture 2040">
          <a:extLst>
            <a:ext uri="{FF2B5EF4-FFF2-40B4-BE49-F238E27FC236}">
              <a16:creationId xmlns:a16="http://schemas.microsoft.com/office/drawing/2014/main" id="{0B9AAAA8-29C9-F625-C58B-3F294CF93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>
          <a:off x="925353" y="877138002"/>
          <a:ext cx="785813" cy="907256"/>
        </a:xfrm>
        <a:prstGeom prst="rect">
          <a:avLst/>
        </a:prstGeom>
      </xdr:spPr>
    </xdr:pic>
    <xdr:clientData/>
  </xdr:twoCellAnchor>
  <xdr:twoCellAnchor editAs="oneCell">
    <xdr:from>
      <xdr:col>0</xdr:col>
      <xdr:colOff>739616</xdr:colOff>
      <xdr:row>1021</xdr:row>
      <xdr:rowOff>62647</xdr:rowOff>
    </xdr:from>
    <xdr:to>
      <xdr:col>0</xdr:col>
      <xdr:colOff>1896904</xdr:colOff>
      <xdr:row>1021</xdr:row>
      <xdr:rowOff>798453</xdr:rowOff>
    </xdr:to>
    <xdr:pic>
      <xdr:nvPicPr>
        <xdr:cNvPr id="2043" name="Picture 2042" descr="Insight Picture 2042">
          <a:extLst>
            <a:ext uri="{FF2B5EF4-FFF2-40B4-BE49-F238E27FC236}">
              <a16:creationId xmlns:a16="http://schemas.microsoft.com/office/drawing/2014/main" id="{50C82342-4C7B-3020-E864-B5910BA2E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>
          <a:off x="739616" y="878168587"/>
          <a:ext cx="1157288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382428</xdr:colOff>
      <xdr:row>1022</xdr:row>
      <xdr:rowOff>61416</xdr:rowOff>
    </xdr:from>
    <xdr:to>
      <xdr:col>0</xdr:col>
      <xdr:colOff>2254091</xdr:colOff>
      <xdr:row>1022</xdr:row>
      <xdr:rowOff>1104404</xdr:rowOff>
    </xdr:to>
    <xdr:pic>
      <xdr:nvPicPr>
        <xdr:cNvPr id="2045" name="Picture 2044" descr="Insight Picture 2044">
          <a:extLst>
            <a:ext uri="{FF2B5EF4-FFF2-40B4-BE49-F238E27FC236}">
              <a16:creationId xmlns:a16="http://schemas.microsoft.com/office/drawing/2014/main" id="{583FE985-3E1F-9208-1C83-D456ACDDD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>
          <a:off x="382428" y="879028416"/>
          <a:ext cx="1871663" cy="1042988"/>
        </a:xfrm>
        <a:prstGeom prst="rect">
          <a:avLst/>
        </a:prstGeom>
      </xdr:spPr>
    </xdr:pic>
    <xdr:clientData/>
  </xdr:twoCellAnchor>
  <xdr:twoCellAnchor editAs="oneCell">
    <xdr:from>
      <xdr:col>0</xdr:col>
      <xdr:colOff>636032</xdr:colOff>
      <xdr:row>1023</xdr:row>
      <xdr:rowOff>63857</xdr:rowOff>
    </xdr:from>
    <xdr:to>
      <xdr:col>0</xdr:col>
      <xdr:colOff>2000488</xdr:colOff>
      <xdr:row>1023</xdr:row>
      <xdr:rowOff>835382</xdr:rowOff>
    </xdr:to>
    <xdr:pic>
      <xdr:nvPicPr>
        <xdr:cNvPr id="2047" name="Picture 2046" descr="Insight Picture 2046">
          <a:extLst>
            <a:ext uri="{FF2B5EF4-FFF2-40B4-BE49-F238E27FC236}">
              <a16:creationId xmlns:a16="http://schemas.microsoft.com/office/drawing/2014/main" id="{926A6530-D2F2-B2EB-BC73-C880309D4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>
          <a:off x="636032" y="880196717"/>
          <a:ext cx="1364456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614600</xdr:colOff>
      <xdr:row>1024</xdr:row>
      <xdr:rowOff>61238</xdr:rowOff>
    </xdr:from>
    <xdr:to>
      <xdr:col>0</xdr:col>
      <xdr:colOff>2021919</xdr:colOff>
      <xdr:row>1024</xdr:row>
      <xdr:rowOff>639882</xdr:rowOff>
    </xdr:to>
    <xdr:pic>
      <xdr:nvPicPr>
        <xdr:cNvPr id="2049" name="Picture 2048" descr="Insight Picture 2048">
          <a:extLst>
            <a:ext uri="{FF2B5EF4-FFF2-40B4-BE49-F238E27FC236}">
              <a16:creationId xmlns:a16="http://schemas.microsoft.com/office/drawing/2014/main" id="{B20C7BD2-D023-D3E4-8370-8508B0170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>
          <a:off x="614600" y="881093258"/>
          <a:ext cx="1407319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586025</xdr:colOff>
      <xdr:row>1025</xdr:row>
      <xdr:rowOff>60285</xdr:rowOff>
    </xdr:from>
    <xdr:to>
      <xdr:col>0</xdr:col>
      <xdr:colOff>2050494</xdr:colOff>
      <xdr:row>1025</xdr:row>
      <xdr:rowOff>838954</xdr:rowOff>
    </xdr:to>
    <xdr:pic>
      <xdr:nvPicPr>
        <xdr:cNvPr id="2051" name="Picture 2050" descr="Insight Picture 2050">
          <a:extLst>
            <a:ext uri="{FF2B5EF4-FFF2-40B4-BE49-F238E27FC236}">
              <a16:creationId xmlns:a16="http://schemas.microsoft.com/office/drawing/2014/main" id="{7C460ACA-965C-0054-CCD1-0F708E0DA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>
          <a:off x="586025" y="881793345"/>
          <a:ext cx="1464469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911066</xdr:colOff>
      <xdr:row>1026</xdr:row>
      <xdr:rowOff>63619</xdr:rowOff>
    </xdr:from>
    <xdr:to>
      <xdr:col>0</xdr:col>
      <xdr:colOff>1725454</xdr:colOff>
      <xdr:row>1026</xdr:row>
      <xdr:rowOff>942300</xdr:rowOff>
    </xdr:to>
    <xdr:pic>
      <xdr:nvPicPr>
        <xdr:cNvPr id="2053" name="Picture 2052" descr="Insight Picture 2052">
          <a:extLst>
            <a:ext uri="{FF2B5EF4-FFF2-40B4-BE49-F238E27FC236}">
              <a16:creationId xmlns:a16="http://schemas.microsoft.com/office/drawing/2014/main" id="{703EF5DD-1B64-99AB-BD37-D68FE434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xfrm>
          <a:off x="911066" y="882695839"/>
          <a:ext cx="814388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739616</xdr:colOff>
      <xdr:row>1027</xdr:row>
      <xdr:rowOff>62667</xdr:rowOff>
    </xdr:from>
    <xdr:to>
      <xdr:col>0</xdr:col>
      <xdr:colOff>1896904</xdr:colOff>
      <xdr:row>1027</xdr:row>
      <xdr:rowOff>798473</xdr:rowOff>
    </xdr:to>
    <xdr:pic>
      <xdr:nvPicPr>
        <xdr:cNvPr id="2055" name="Picture 2054" descr="Insight Picture 2054">
          <a:extLst>
            <a:ext uri="{FF2B5EF4-FFF2-40B4-BE49-F238E27FC236}">
              <a16:creationId xmlns:a16="http://schemas.microsoft.com/office/drawing/2014/main" id="{88502448-7AA3-B49F-532A-0018F1BD2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xfrm>
          <a:off x="739616" y="883700727"/>
          <a:ext cx="1157288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925353</xdr:colOff>
      <xdr:row>1028</xdr:row>
      <xdr:rowOff>61436</xdr:rowOff>
    </xdr:from>
    <xdr:to>
      <xdr:col>0</xdr:col>
      <xdr:colOff>1711166</xdr:colOff>
      <xdr:row>1028</xdr:row>
      <xdr:rowOff>990124</xdr:rowOff>
    </xdr:to>
    <xdr:pic>
      <xdr:nvPicPr>
        <xdr:cNvPr id="2057" name="Picture 2056" descr="Insight Picture 2056">
          <a:extLst>
            <a:ext uri="{FF2B5EF4-FFF2-40B4-BE49-F238E27FC236}">
              <a16:creationId xmlns:a16="http://schemas.microsoft.com/office/drawing/2014/main" id="{1F248066-92C0-8AA6-488C-078A15723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xfrm>
          <a:off x="925353" y="884560556"/>
          <a:ext cx="785813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718185</xdr:colOff>
      <xdr:row>1029</xdr:row>
      <xdr:rowOff>62587</xdr:rowOff>
    </xdr:from>
    <xdr:to>
      <xdr:col>0</xdr:col>
      <xdr:colOff>1918335</xdr:colOff>
      <xdr:row>1029</xdr:row>
      <xdr:rowOff>798393</xdr:rowOff>
    </xdr:to>
    <xdr:pic>
      <xdr:nvPicPr>
        <xdr:cNvPr id="2059" name="Picture 2058" descr="Insight Picture 2058">
          <a:extLst>
            <a:ext uri="{FF2B5EF4-FFF2-40B4-BE49-F238E27FC236}">
              <a16:creationId xmlns:a16="http://schemas.microsoft.com/office/drawing/2014/main" id="{45B00548-4EC3-B075-124E-90A1D6E53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xfrm>
          <a:off x="718185" y="885613267"/>
          <a:ext cx="1200150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718185</xdr:colOff>
      <xdr:row>1030</xdr:row>
      <xdr:rowOff>62647</xdr:rowOff>
    </xdr:from>
    <xdr:to>
      <xdr:col>0</xdr:col>
      <xdr:colOff>1918335</xdr:colOff>
      <xdr:row>1030</xdr:row>
      <xdr:rowOff>798453</xdr:rowOff>
    </xdr:to>
    <xdr:pic>
      <xdr:nvPicPr>
        <xdr:cNvPr id="2061" name="Picture 2060" descr="Insight Picture 2060">
          <a:extLst>
            <a:ext uri="{FF2B5EF4-FFF2-40B4-BE49-F238E27FC236}">
              <a16:creationId xmlns:a16="http://schemas.microsoft.com/office/drawing/2014/main" id="{1A5F5410-7F7D-6116-33E3-B17DDEA55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xfrm>
          <a:off x="718185" y="886474387"/>
          <a:ext cx="1200150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328851</xdr:colOff>
      <xdr:row>1031</xdr:row>
      <xdr:rowOff>61218</xdr:rowOff>
    </xdr:from>
    <xdr:to>
      <xdr:col>0</xdr:col>
      <xdr:colOff>2307670</xdr:colOff>
      <xdr:row>1031</xdr:row>
      <xdr:rowOff>639862</xdr:rowOff>
    </xdr:to>
    <xdr:pic>
      <xdr:nvPicPr>
        <xdr:cNvPr id="2063" name="Picture 2062" descr="Insight Picture 2062">
          <a:extLst>
            <a:ext uri="{FF2B5EF4-FFF2-40B4-BE49-F238E27FC236}">
              <a16:creationId xmlns:a16="http://schemas.microsoft.com/office/drawing/2014/main" id="{91241D14-CC07-EDB4-52FC-8C83714C9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xfrm>
          <a:off x="328851" y="887334018"/>
          <a:ext cx="1978819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657463</xdr:colOff>
      <xdr:row>1032</xdr:row>
      <xdr:rowOff>61456</xdr:rowOff>
    </xdr:from>
    <xdr:to>
      <xdr:col>0</xdr:col>
      <xdr:colOff>1979057</xdr:colOff>
      <xdr:row>1032</xdr:row>
      <xdr:rowOff>875844</xdr:rowOff>
    </xdr:to>
    <xdr:pic>
      <xdr:nvPicPr>
        <xdr:cNvPr id="2065" name="Picture 2064" descr="Insight Picture 2064">
          <a:extLst>
            <a:ext uri="{FF2B5EF4-FFF2-40B4-BE49-F238E27FC236}">
              <a16:creationId xmlns:a16="http://schemas.microsoft.com/office/drawing/2014/main" id="{B76F5C33-2454-2F74-03C2-C23D85512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xfrm>
          <a:off x="657463" y="888035296"/>
          <a:ext cx="1321594" cy="814388"/>
        </a:xfrm>
        <a:prstGeom prst="rect">
          <a:avLst/>
        </a:prstGeom>
      </xdr:spPr>
    </xdr:pic>
    <xdr:clientData/>
  </xdr:twoCellAnchor>
  <xdr:twoCellAnchor editAs="oneCell">
    <xdr:from>
      <xdr:col>0</xdr:col>
      <xdr:colOff>553878</xdr:colOff>
      <xdr:row>1033</xdr:row>
      <xdr:rowOff>63798</xdr:rowOff>
    </xdr:from>
    <xdr:to>
      <xdr:col>0</xdr:col>
      <xdr:colOff>2082641</xdr:colOff>
      <xdr:row>1033</xdr:row>
      <xdr:rowOff>835323</xdr:rowOff>
    </xdr:to>
    <xdr:pic>
      <xdr:nvPicPr>
        <xdr:cNvPr id="2067" name="Picture 2066" descr="Insight Picture 2066">
          <a:extLst>
            <a:ext uri="{FF2B5EF4-FFF2-40B4-BE49-F238E27FC236}">
              <a16:creationId xmlns:a16="http://schemas.microsoft.com/office/drawing/2014/main" id="{28AB4171-51B9-601C-D8A9-101449605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xfrm>
          <a:off x="553878" y="888974898"/>
          <a:ext cx="1528763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818198</xdr:colOff>
      <xdr:row>1034</xdr:row>
      <xdr:rowOff>61178</xdr:rowOff>
    </xdr:from>
    <xdr:to>
      <xdr:col>0</xdr:col>
      <xdr:colOff>1818323</xdr:colOff>
      <xdr:row>1034</xdr:row>
      <xdr:rowOff>639822</xdr:rowOff>
    </xdr:to>
    <xdr:pic>
      <xdr:nvPicPr>
        <xdr:cNvPr id="2069" name="Picture 2068" descr="Insight Picture 2068">
          <a:extLst>
            <a:ext uri="{FF2B5EF4-FFF2-40B4-BE49-F238E27FC236}">
              <a16:creationId xmlns:a16="http://schemas.microsoft.com/office/drawing/2014/main" id="{95133021-8962-DF5E-62D7-022DD479B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xfrm>
          <a:off x="818198" y="889871438"/>
          <a:ext cx="1000125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621745</xdr:colOff>
      <xdr:row>1035</xdr:row>
      <xdr:rowOff>63103</xdr:rowOff>
    </xdr:from>
    <xdr:to>
      <xdr:col>0</xdr:col>
      <xdr:colOff>2014776</xdr:colOff>
      <xdr:row>1035</xdr:row>
      <xdr:rowOff>813197</xdr:rowOff>
    </xdr:to>
    <xdr:pic>
      <xdr:nvPicPr>
        <xdr:cNvPr id="2071" name="Picture 2070" descr="Insight Picture 2070">
          <a:extLst>
            <a:ext uri="{FF2B5EF4-FFF2-40B4-BE49-F238E27FC236}">
              <a16:creationId xmlns:a16="http://schemas.microsoft.com/office/drawing/2014/main" id="{D4136BA5-73FD-E288-2174-BD53097BA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xfrm>
          <a:off x="621745" y="890574403"/>
          <a:ext cx="1393031" cy="750094"/>
        </a:xfrm>
        <a:prstGeom prst="rect">
          <a:avLst/>
        </a:prstGeom>
      </xdr:spPr>
    </xdr:pic>
    <xdr:clientData/>
  </xdr:twoCellAnchor>
  <xdr:twoCellAnchor editAs="oneCell">
    <xdr:from>
      <xdr:col>0</xdr:col>
      <xdr:colOff>539591</xdr:colOff>
      <xdr:row>1036</xdr:row>
      <xdr:rowOff>63599</xdr:rowOff>
    </xdr:from>
    <xdr:to>
      <xdr:col>0</xdr:col>
      <xdr:colOff>2096929</xdr:colOff>
      <xdr:row>1036</xdr:row>
      <xdr:rowOff>599380</xdr:rowOff>
    </xdr:to>
    <xdr:pic>
      <xdr:nvPicPr>
        <xdr:cNvPr id="2073" name="Picture 2072" descr="Insight Picture 2072">
          <a:extLst>
            <a:ext uri="{FF2B5EF4-FFF2-40B4-BE49-F238E27FC236}">
              <a16:creationId xmlns:a16="http://schemas.microsoft.com/office/drawing/2014/main" id="{A9CC7970-436A-9C72-9DC1-F1ED1E567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>
          <a:off x="539591" y="891451199"/>
          <a:ext cx="1557338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536020</xdr:colOff>
      <xdr:row>1037</xdr:row>
      <xdr:rowOff>61158</xdr:rowOff>
    </xdr:from>
    <xdr:to>
      <xdr:col>0</xdr:col>
      <xdr:colOff>2100501</xdr:colOff>
      <xdr:row>1037</xdr:row>
      <xdr:rowOff>639802</xdr:rowOff>
    </xdr:to>
    <xdr:pic>
      <xdr:nvPicPr>
        <xdr:cNvPr id="2075" name="Picture 2074" descr="Insight Picture 2074">
          <a:extLst>
            <a:ext uri="{FF2B5EF4-FFF2-40B4-BE49-F238E27FC236}">
              <a16:creationId xmlns:a16="http://schemas.microsoft.com/office/drawing/2014/main" id="{C4197D6D-F146-FCB4-1BFF-641D99498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xfrm>
          <a:off x="536020" y="892111698"/>
          <a:ext cx="1564481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550307</xdr:colOff>
      <xdr:row>1038</xdr:row>
      <xdr:rowOff>60206</xdr:rowOff>
    </xdr:from>
    <xdr:to>
      <xdr:col>0</xdr:col>
      <xdr:colOff>2086213</xdr:colOff>
      <xdr:row>1038</xdr:row>
      <xdr:rowOff>838875</xdr:rowOff>
    </xdr:to>
    <xdr:pic>
      <xdr:nvPicPr>
        <xdr:cNvPr id="2077" name="Picture 2076" descr="Insight Picture 2076">
          <a:extLst>
            <a:ext uri="{FF2B5EF4-FFF2-40B4-BE49-F238E27FC236}">
              <a16:creationId xmlns:a16="http://schemas.microsoft.com/office/drawing/2014/main" id="{3420B5B5-F8D0-8281-D3EB-66B1C6EBE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xfrm>
          <a:off x="550307" y="892811786"/>
          <a:ext cx="1535906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653891</xdr:colOff>
      <xdr:row>1039</xdr:row>
      <xdr:rowOff>62845</xdr:rowOff>
    </xdr:from>
    <xdr:to>
      <xdr:col>0</xdr:col>
      <xdr:colOff>1982629</xdr:colOff>
      <xdr:row>1039</xdr:row>
      <xdr:rowOff>805795</xdr:rowOff>
    </xdr:to>
    <xdr:pic>
      <xdr:nvPicPr>
        <xdr:cNvPr id="2079" name="Picture 2078" descr="Insight Picture 2078">
          <a:extLst>
            <a:ext uri="{FF2B5EF4-FFF2-40B4-BE49-F238E27FC236}">
              <a16:creationId xmlns:a16="http://schemas.microsoft.com/office/drawing/2014/main" id="{84FBE50D-DCAC-2496-CA62-A00E06417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xfrm>
          <a:off x="653891" y="893713585"/>
          <a:ext cx="1328738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889635</xdr:colOff>
      <xdr:row>1040</xdr:row>
      <xdr:rowOff>63619</xdr:rowOff>
    </xdr:from>
    <xdr:to>
      <xdr:col>0</xdr:col>
      <xdr:colOff>1746885</xdr:colOff>
      <xdr:row>1040</xdr:row>
      <xdr:rowOff>942300</xdr:rowOff>
    </xdr:to>
    <xdr:pic>
      <xdr:nvPicPr>
        <xdr:cNvPr id="2081" name="Picture 2080" descr="Insight Picture 2080">
          <a:extLst>
            <a:ext uri="{FF2B5EF4-FFF2-40B4-BE49-F238E27FC236}">
              <a16:creationId xmlns:a16="http://schemas.microsoft.com/office/drawing/2014/main" id="{235C3768-D1E9-8ACA-81F7-9CC443189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xfrm>
          <a:off x="889635" y="894583039"/>
          <a:ext cx="857250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303847</xdr:colOff>
      <xdr:row>1041</xdr:row>
      <xdr:rowOff>61476</xdr:rowOff>
    </xdr:from>
    <xdr:to>
      <xdr:col>0</xdr:col>
      <xdr:colOff>2332672</xdr:colOff>
      <xdr:row>1041</xdr:row>
      <xdr:rowOff>875864</xdr:rowOff>
    </xdr:to>
    <xdr:pic>
      <xdr:nvPicPr>
        <xdr:cNvPr id="2083" name="Picture 2082" descr="Insight Picture 2082">
          <a:extLst>
            <a:ext uri="{FF2B5EF4-FFF2-40B4-BE49-F238E27FC236}">
              <a16:creationId xmlns:a16="http://schemas.microsoft.com/office/drawing/2014/main" id="{D280F26C-2A51-3093-7456-D2F3F95A1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xfrm>
          <a:off x="303847" y="895586736"/>
          <a:ext cx="2028825" cy="814388"/>
        </a:xfrm>
        <a:prstGeom prst="rect">
          <a:avLst/>
        </a:prstGeom>
      </xdr:spPr>
    </xdr:pic>
    <xdr:clientData/>
  </xdr:twoCellAnchor>
  <xdr:twoCellAnchor editAs="oneCell">
    <xdr:from>
      <xdr:col>0</xdr:col>
      <xdr:colOff>443151</xdr:colOff>
      <xdr:row>1042</xdr:row>
      <xdr:rowOff>62627</xdr:rowOff>
    </xdr:from>
    <xdr:to>
      <xdr:col>0</xdr:col>
      <xdr:colOff>2193370</xdr:colOff>
      <xdr:row>1042</xdr:row>
      <xdr:rowOff>798433</xdr:rowOff>
    </xdr:to>
    <xdr:pic>
      <xdr:nvPicPr>
        <xdr:cNvPr id="2085" name="Picture 2084" descr="Insight Picture 2084">
          <a:extLst>
            <a:ext uri="{FF2B5EF4-FFF2-40B4-BE49-F238E27FC236}">
              <a16:creationId xmlns:a16="http://schemas.microsoft.com/office/drawing/2014/main" id="{C1DB09F1-5C46-38AA-E5BA-1CDC63B4A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xfrm>
          <a:off x="443151" y="896525147"/>
          <a:ext cx="1750219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846773</xdr:colOff>
      <xdr:row>1043</xdr:row>
      <xdr:rowOff>62190</xdr:rowOff>
    </xdr:from>
    <xdr:to>
      <xdr:col>0</xdr:col>
      <xdr:colOff>1789748</xdr:colOff>
      <xdr:row>1043</xdr:row>
      <xdr:rowOff>669409</xdr:rowOff>
    </xdr:to>
    <xdr:pic>
      <xdr:nvPicPr>
        <xdr:cNvPr id="2087" name="Picture 2086" descr="Insight Picture 2086">
          <a:extLst>
            <a:ext uri="{FF2B5EF4-FFF2-40B4-BE49-F238E27FC236}">
              <a16:creationId xmlns:a16="http://schemas.microsoft.com/office/drawing/2014/main" id="{2A075F15-E3D1-C67E-E04A-71265132A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xfrm>
          <a:off x="846773" y="897385770"/>
          <a:ext cx="942975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786050</xdr:colOff>
      <xdr:row>1044</xdr:row>
      <xdr:rowOff>63599</xdr:rowOff>
    </xdr:from>
    <xdr:to>
      <xdr:col>0</xdr:col>
      <xdr:colOff>1850469</xdr:colOff>
      <xdr:row>1044</xdr:row>
      <xdr:rowOff>713680</xdr:rowOff>
    </xdr:to>
    <xdr:pic>
      <xdr:nvPicPr>
        <xdr:cNvPr id="2089" name="Picture 2088" descr="Insight Picture 2088">
          <a:extLst>
            <a:ext uri="{FF2B5EF4-FFF2-40B4-BE49-F238E27FC236}">
              <a16:creationId xmlns:a16="http://schemas.microsoft.com/office/drawing/2014/main" id="{485C5510-1568-5849-D172-FED39F3E5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xfrm>
          <a:off x="786050" y="898118699"/>
          <a:ext cx="1064419" cy="650081"/>
        </a:xfrm>
        <a:prstGeom prst="rect">
          <a:avLst/>
        </a:prstGeom>
      </xdr:spPr>
    </xdr:pic>
    <xdr:clientData/>
  </xdr:twoCellAnchor>
  <xdr:twoCellAnchor editAs="oneCell">
    <xdr:from>
      <xdr:col>0</xdr:col>
      <xdr:colOff>625316</xdr:colOff>
      <xdr:row>1045</xdr:row>
      <xdr:rowOff>63837</xdr:rowOff>
    </xdr:from>
    <xdr:to>
      <xdr:col>0</xdr:col>
      <xdr:colOff>2011204</xdr:colOff>
      <xdr:row>1045</xdr:row>
      <xdr:rowOff>721062</xdr:rowOff>
    </xdr:to>
    <xdr:pic>
      <xdr:nvPicPr>
        <xdr:cNvPr id="2091" name="Picture 2090" descr="Insight Picture 2090">
          <a:extLst>
            <a:ext uri="{FF2B5EF4-FFF2-40B4-BE49-F238E27FC236}">
              <a16:creationId xmlns:a16="http://schemas.microsoft.com/office/drawing/2014/main" id="{087097C9-7668-BC47-2C1D-D30EA8260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xfrm>
          <a:off x="625316" y="898896177"/>
          <a:ext cx="1385888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446722</xdr:colOff>
      <xdr:row>1046</xdr:row>
      <xdr:rowOff>62111</xdr:rowOff>
    </xdr:from>
    <xdr:to>
      <xdr:col>0</xdr:col>
      <xdr:colOff>2189797</xdr:colOff>
      <xdr:row>1046</xdr:row>
      <xdr:rowOff>783630</xdr:rowOff>
    </xdr:to>
    <xdr:pic>
      <xdr:nvPicPr>
        <xdr:cNvPr id="2093" name="Picture 2092" descr="Insight Picture 2092">
          <a:extLst>
            <a:ext uri="{FF2B5EF4-FFF2-40B4-BE49-F238E27FC236}">
              <a16:creationId xmlns:a16="http://schemas.microsoft.com/office/drawing/2014/main" id="{F045740C-41C6-97E1-50EB-AEFDB7225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xfrm>
          <a:off x="446722" y="899679311"/>
          <a:ext cx="1743075" cy="721519"/>
        </a:xfrm>
        <a:prstGeom prst="rect">
          <a:avLst/>
        </a:prstGeom>
      </xdr:spPr>
    </xdr:pic>
    <xdr:clientData/>
  </xdr:twoCellAnchor>
  <xdr:twoCellAnchor editAs="oneCell">
    <xdr:from>
      <xdr:col>0</xdr:col>
      <xdr:colOff>653891</xdr:colOff>
      <xdr:row>1047</xdr:row>
      <xdr:rowOff>62131</xdr:rowOff>
    </xdr:from>
    <xdr:to>
      <xdr:col>0</xdr:col>
      <xdr:colOff>1982629</xdr:colOff>
      <xdr:row>1047</xdr:row>
      <xdr:rowOff>897950</xdr:rowOff>
    </xdr:to>
    <xdr:pic>
      <xdr:nvPicPr>
        <xdr:cNvPr id="2095" name="Picture 2094" descr="Insight Picture 2094">
          <a:extLst>
            <a:ext uri="{FF2B5EF4-FFF2-40B4-BE49-F238E27FC236}">
              <a16:creationId xmlns:a16="http://schemas.microsoft.com/office/drawing/2014/main" id="{C225D6F8-A107-E323-1ACA-B92D3A85C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xfrm>
          <a:off x="653891" y="900525151"/>
          <a:ext cx="1328738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707470</xdr:colOff>
      <xdr:row>1048</xdr:row>
      <xdr:rowOff>61655</xdr:rowOff>
    </xdr:from>
    <xdr:to>
      <xdr:col>0</xdr:col>
      <xdr:colOff>1929051</xdr:colOff>
      <xdr:row>1048</xdr:row>
      <xdr:rowOff>540286</xdr:rowOff>
    </xdr:to>
    <xdr:pic>
      <xdr:nvPicPr>
        <xdr:cNvPr id="2097" name="Picture 2096" descr="Insight Picture 2096">
          <a:extLst>
            <a:ext uri="{FF2B5EF4-FFF2-40B4-BE49-F238E27FC236}">
              <a16:creationId xmlns:a16="http://schemas.microsoft.com/office/drawing/2014/main" id="{1F10632F-BBE8-0140-6ECC-C8FEE5B58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xfrm>
          <a:off x="707470" y="901484795"/>
          <a:ext cx="1221581" cy="478631"/>
        </a:xfrm>
        <a:prstGeom prst="rect">
          <a:avLst/>
        </a:prstGeom>
      </xdr:spPr>
    </xdr:pic>
    <xdr:clientData/>
  </xdr:twoCellAnchor>
  <xdr:twoCellAnchor editAs="oneCell">
    <xdr:from>
      <xdr:col>0</xdr:col>
      <xdr:colOff>946785</xdr:colOff>
      <xdr:row>1049</xdr:row>
      <xdr:rowOff>60742</xdr:rowOff>
    </xdr:from>
    <xdr:to>
      <xdr:col>0</xdr:col>
      <xdr:colOff>1689735</xdr:colOff>
      <xdr:row>1049</xdr:row>
      <xdr:rowOff>967998</xdr:rowOff>
    </xdr:to>
    <xdr:pic>
      <xdr:nvPicPr>
        <xdr:cNvPr id="2099" name="Picture 2098" descr="Insight Picture 2098">
          <a:extLst>
            <a:ext uri="{FF2B5EF4-FFF2-40B4-BE49-F238E27FC236}">
              <a16:creationId xmlns:a16="http://schemas.microsoft.com/office/drawing/2014/main" id="{9EB57D59-33F4-EE4F-310A-D1745FBF8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xfrm>
          <a:off x="946785" y="902085862"/>
          <a:ext cx="742950" cy="907256"/>
        </a:xfrm>
        <a:prstGeom prst="rect">
          <a:avLst/>
        </a:prstGeom>
      </xdr:spPr>
    </xdr:pic>
    <xdr:clientData/>
  </xdr:twoCellAnchor>
  <xdr:twoCellAnchor editAs="oneCell">
    <xdr:from>
      <xdr:col>0</xdr:col>
      <xdr:colOff>507445</xdr:colOff>
      <xdr:row>1050</xdr:row>
      <xdr:rowOff>63619</xdr:rowOff>
    </xdr:from>
    <xdr:to>
      <xdr:col>0</xdr:col>
      <xdr:colOff>2129076</xdr:colOff>
      <xdr:row>1050</xdr:row>
      <xdr:rowOff>1285200</xdr:rowOff>
    </xdr:to>
    <xdr:pic>
      <xdr:nvPicPr>
        <xdr:cNvPr id="2101" name="Picture 2100" descr="Insight Picture 2100">
          <a:extLst>
            <a:ext uri="{FF2B5EF4-FFF2-40B4-BE49-F238E27FC236}">
              <a16:creationId xmlns:a16="http://schemas.microsoft.com/office/drawing/2014/main" id="{4CBD2E87-CAC7-4E26-F4C6-7D331214A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xfrm>
          <a:off x="507445" y="903117439"/>
          <a:ext cx="1621631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543163</xdr:colOff>
      <xdr:row>1051</xdr:row>
      <xdr:rowOff>63361</xdr:rowOff>
    </xdr:from>
    <xdr:to>
      <xdr:col>0</xdr:col>
      <xdr:colOff>2093357</xdr:colOff>
      <xdr:row>1051</xdr:row>
      <xdr:rowOff>1163499</xdr:rowOff>
    </xdr:to>
    <xdr:pic>
      <xdr:nvPicPr>
        <xdr:cNvPr id="2103" name="Picture 2102" descr="Insight Picture 2102">
          <a:extLst>
            <a:ext uri="{FF2B5EF4-FFF2-40B4-BE49-F238E27FC236}">
              <a16:creationId xmlns:a16="http://schemas.microsoft.com/office/drawing/2014/main" id="{D35B32B7-C58E-D075-A2CC-33867E643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xfrm>
          <a:off x="543163" y="904465921"/>
          <a:ext cx="1550194" cy="1100138"/>
        </a:xfrm>
        <a:prstGeom prst="rect">
          <a:avLst/>
        </a:prstGeom>
      </xdr:spPr>
    </xdr:pic>
    <xdr:clientData/>
  </xdr:twoCellAnchor>
  <xdr:twoCellAnchor editAs="oneCell">
    <xdr:from>
      <xdr:col>0</xdr:col>
      <xdr:colOff>814625</xdr:colOff>
      <xdr:row>1052</xdr:row>
      <xdr:rowOff>62190</xdr:rowOff>
    </xdr:from>
    <xdr:to>
      <xdr:col>0</xdr:col>
      <xdr:colOff>1821894</xdr:colOff>
      <xdr:row>1052</xdr:row>
      <xdr:rowOff>669409</xdr:rowOff>
    </xdr:to>
    <xdr:pic>
      <xdr:nvPicPr>
        <xdr:cNvPr id="2105" name="Picture 2104" descr="Insight Picture 2104">
          <a:extLst>
            <a:ext uri="{FF2B5EF4-FFF2-40B4-BE49-F238E27FC236}">
              <a16:creationId xmlns:a16="http://schemas.microsoft.com/office/drawing/2014/main" id="{9E57605A-99BA-FB5F-57F3-30D0F5B0E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xfrm>
          <a:off x="814625" y="905691570"/>
          <a:ext cx="1007269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839628</xdr:colOff>
      <xdr:row>1053</xdr:row>
      <xdr:rowOff>60226</xdr:rowOff>
    </xdr:from>
    <xdr:to>
      <xdr:col>0</xdr:col>
      <xdr:colOff>1796891</xdr:colOff>
      <xdr:row>1053</xdr:row>
      <xdr:rowOff>724595</xdr:rowOff>
    </xdr:to>
    <xdr:pic>
      <xdr:nvPicPr>
        <xdr:cNvPr id="2107" name="Picture 2106" descr="Insight Picture 2106">
          <a:extLst>
            <a:ext uri="{FF2B5EF4-FFF2-40B4-BE49-F238E27FC236}">
              <a16:creationId xmlns:a16="http://schemas.microsoft.com/office/drawing/2014/main" id="{33BDDE0A-95F3-AC79-E734-472A88EFF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/>
        <a:stretch>
          <a:fillRect/>
        </a:stretch>
      </xdr:blipFill>
      <xdr:spPr>
        <a:xfrm>
          <a:off x="839628" y="906421126"/>
          <a:ext cx="957263" cy="664369"/>
        </a:xfrm>
        <a:prstGeom prst="rect">
          <a:avLst/>
        </a:prstGeom>
      </xdr:spPr>
    </xdr:pic>
    <xdr:clientData/>
  </xdr:twoCellAnchor>
  <xdr:twoCellAnchor editAs="oneCell">
    <xdr:from>
      <xdr:col>0</xdr:col>
      <xdr:colOff>825341</xdr:colOff>
      <xdr:row>1054</xdr:row>
      <xdr:rowOff>63361</xdr:rowOff>
    </xdr:from>
    <xdr:to>
      <xdr:col>0</xdr:col>
      <xdr:colOff>1811179</xdr:colOff>
      <xdr:row>1054</xdr:row>
      <xdr:rowOff>591999</xdr:rowOff>
    </xdr:to>
    <xdr:pic>
      <xdr:nvPicPr>
        <xdr:cNvPr id="2109" name="Picture 2108" descr="Insight Picture 2108">
          <a:extLst>
            <a:ext uri="{FF2B5EF4-FFF2-40B4-BE49-F238E27FC236}">
              <a16:creationId xmlns:a16="http://schemas.microsoft.com/office/drawing/2014/main" id="{A829E4C3-A559-32F5-AF5D-AA53FA98D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xfrm>
          <a:off x="825341" y="907209121"/>
          <a:ext cx="985838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718185</xdr:colOff>
      <xdr:row>1055</xdr:row>
      <xdr:rowOff>63778</xdr:rowOff>
    </xdr:from>
    <xdr:to>
      <xdr:col>0</xdr:col>
      <xdr:colOff>1918335</xdr:colOff>
      <xdr:row>1055</xdr:row>
      <xdr:rowOff>721003</xdr:rowOff>
    </xdr:to>
    <xdr:pic>
      <xdr:nvPicPr>
        <xdr:cNvPr id="2111" name="Picture 2110" descr="Insight Picture 2110">
          <a:extLst>
            <a:ext uri="{FF2B5EF4-FFF2-40B4-BE49-F238E27FC236}">
              <a16:creationId xmlns:a16="http://schemas.microsoft.com/office/drawing/2014/main" id="{D42B34E0-D663-47D5-CDCD-31C4067ED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xfrm>
          <a:off x="718185" y="907864858"/>
          <a:ext cx="1200150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757475</xdr:colOff>
      <xdr:row>1056</xdr:row>
      <xdr:rowOff>60762</xdr:rowOff>
    </xdr:from>
    <xdr:to>
      <xdr:col>0</xdr:col>
      <xdr:colOff>1879044</xdr:colOff>
      <xdr:row>1056</xdr:row>
      <xdr:rowOff>625118</xdr:rowOff>
    </xdr:to>
    <xdr:pic>
      <xdr:nvPicPr>
        <xdr:cNvPr id="2113" name="Picture 2112" descr="Insight Picture 2112">
          <a:extLst>
            <a:ext uri="{FF2B5EF4-FFF2-40B4-BE49-F238E27FC236}">
              <a16:creationId xmlns:a16="http://schemas.microsoft.com/office/drawing/2014/main" id="{6D32AB69-A1C7-3FF1-10DD-AA9EE40B3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xfrm>
          <a:off x="757475" y="908646702"/>
          <a:ext cx="1121569" cy="564356"/>
        </a:xfrm>
        <a:prstGeom prst="rect">
          <a:avLst/>
        </a:prstGeom>
      </xdr:spPr>
    </xdr:pic>
    <xdr:clientData/>
  </xdr:twoCellAnchor>
  <xdr:twoCellAnchor editAs="oneCell">
    <xdr:from>
      <xdr:col>0</xdr:col>
      <xdr:colOff>403860</xdr:colOff>
      <xdr:row>1057</xdr:row>
      <xdr:rowOff>63540</xdr:rowOff>
    </xdr:from>
    <xdr:to>
      <xdr:col>0</xdr:col>
      <xdr:colOff>2232660</xdr:colOff>
      <xdr:row>1057</xdr:row>
      <xdr:rowOff>827921</xdr:rowOff>
    </xdr:to>
    <xdr:pic>
      <xdr:nvPicPr>
        <xdr:cNvPr id="2115" name="Picture 2114" descr="Insight Picture 2114">
          <a:extLst>
            <a:ext uri="{FF2B5EF4-FFF2-40B4-BE49-F238E27FC236}">
              <a16:creationId xmlns:a16="http://schemas.microsoft.com/office/drawing/2014/main" id="{F0B70123-2ED2-5538-6735-C4966D030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xfrm>
          <a:off x="403860" y="909335280"/>
          <a:ext cx="1828800" cy="764381"/>
        </a:xfrm>
        <a:prstGeom prst="rect">
          <a:avLst/>
        </a:prstGeom>
      </xdr:spPr>
    </xdr:pic>
    <xdr:clientData/>
  </xdr:twoCellAnchor>
  <xdr:twoCellAnchor editAs="oneCell">
    <xdr:from>
      <xdr:col>0</xdr:col>
      <xdr:colOff>382428</xdr:colOff>
      <xdr:row>1058</xdr:row>
      <xdr:rowOff>63579</xdr:rowOff>
    </xdr:from>
    <xdr:to>
      <xdr:col>0</xdr:col>
      <xdr:colOff>2254091</xdr:colOff>
      <xdr:row>1058</xdr:row>
      <xdr:rowOff>827960</xdr:rowOff>
    </xdr:to>
    <xdr:pic>
      <xdr:nvPicPr>
        <xdr:cNvPr id="2117" name="Picture 2116" descr="Insight Picture 2116">
          <a:extLst>
            <a:ext uri="{FF2B5EF4-FFF2-40B4-BE49-F238E27FC236}">
              <a16:creationId xmlns:a16="http://schemas.microsoft.com/office/drawing/2014/main" id="{F1297046-E2AD-D2F2-63B3-DA637A789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xfrm>
          <a:off x="382428" y="910226859"/>
          <a:ext cx="1871663" cy="764381"/>
        </a:xfrm>
        <a:prstGeom prst="rect">
          <a:avLst/>
        </a:prstGeom>
      </xdr:spPr>
    </xdr:pic>
    <xdr:clientData/>
  </xdr:twoCellAnchor>
  <xdr:twoCellAnchor editAs="oneCell">
    <xdr:from>
      <xdr:col>0</xdr:col>
      <xdr:colOff>500301</xdr:colOff>
      <xdr:row>1059</xdr:row>
      <xdr:rowOff>63321</xdr:rowOff>
    </xdr:from>
    <xdr:to>
      <xdr:col>0</xdr:col>
      <xdr:colOff>2136220</xdr:colOff>
      <xdr:row>1059</xdr:row>
      <xdr:rowOff>1163459</xdr:rowOff>
    </xdr:to>
    <xdr:pic>
      <xdr:nvPicPr>
        <xdr:cNvPr id="2119" name="Picture 2118" descr="Insight Picture 2118">
          <a:extLst>
            <a:ext uri="{FF2B5EF4-FFF2-40B4-BE49-F238E27FC236}">
              <a16:creationId xmlns:a16="http://schemas.microsoft.com/office/drawing/2014/main" id="{F90AB7B5-0DF7-180B-C858-147B2BB41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xfrm>
          <a:off x="500301" y="911118141"/>
          <a:ext cx="1635919" cy="1100138"/>
        </a:xfrm>
        <a:prstGeom prst="rect">
          <a:avLst/>
        </a:prstGeom>
      </xdr:spPr>
    </xdr:pic>
    <xdr:clientData/>
  </xdr:twoCellAnchor>
  <xdr:twoCellAnchor editAs="oneCell">
    <xdr:from>
      <xdr:col>0</xdr:col>
      <xdr:colOff>625316</xdr:colOff>
      <xdr:row>1060</xdr:row>
      <xdr:rowOff>60762</xdr:rowOff>
    </xdr:from>
    <xdr:to>
      <xdr:col>0</xdr:col>
      <xdr:colOff>2011204</xdr:colOff>
      <xdr:row>1060</xdr:row>
      <xdr:rowOff>739418</xdr:rowOff>
    </xdr:to>
    <xdr:pic>
      <xdr:nvPicPr>
        <xdr:cNvPr id="2121" name="Picture 2120" descr="Insight Picture 2120">
          <a:extLst>
            <a:ext uri="{FF2B5EF4-FFF2-40B4-BE49-F238E27FC236}">
              <a16:creationId xmlns:a16="http://schemas.microsoft.com/office/drawing/2014/main" id="{9D608B33-E8B4-0C79-DCFD-BE6496E86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xfrm>
          <a:off x="625316" y="912342402"/>
          <a:ext cx="1385888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746760</xdr:colOff>
      <xdr:row>1061</xdr:row>
      <xdr:rowOff>60265</xdr:rowOff>
    </xdr:from>
    <xdr:to>
      <xdr:col>0</xdr:col>
      <xdr:colOff>1889760</xdr:colOff>
      <xdr:row>1061</xdr:row>
      <xdr:rowOff>496034</xdr:rowOff>
    </xdr:to>
    <xdr:pic>
      <xdr:nvPicPr>
        <xdr:cNvPr id="2123" name="Picture 2122" descr="Insight Picture 2122">
          <a:extLst>
            <a:ext uri="{FF2B5EF4-FFF2-40B4-BE49-F238E27FC236}">
              <a16:creationId xmlns:a16="http://schemas.microsoft.com/office/drawing/2014/main" id="{23C29755-D6AC-86AF-34D5-3B0863F1C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xfrm>
          <a:off x="746760" y="913142005"/>
          <a:ext cx="1143000" cy="435769"/>
        </a:xfrm>
        <a:prstGeom prst="rect">
          <a:avLst/>
        </a:prstGeom>
      </xdr:spPr>
    </xdr:pic>
    <xdr:clientData/>
  </xdr:twoCellAnchor>
  <xdr:twoCellAnchor editAs="oneCell">
    <xdr:from>
      <xdr:col>0</xdr:col>
      <xdr:colOff>525303</xdr:colOff>
      <xdr:row>1062</xdr:row>
      <xdr:rowOff>60523</xdr:rowOff>
    </xdr:from>
    <xdr:to>
      <xdr:col>0</xdr:col>
      <xdr:colOff>2111216</xdr:colOff>
      <xdr:row>1062</xdr:row>
      <xdr:rowOff>732036</xdr:rowOff>
    </xdr:to>
    <xdr:pic>
      <xdr:nvPicPr>
        <xdr:cNvPr id="2125" name="Picture 2124" descr="Insight Picture 2124">
          <a:extLst>
            <a:ext uri="{FF2B5EF4-FFF2-40B4-BE49-F238E27FC236}">
              <a16:creationId xmlns:a16="http://schemas.microsoft.com/office/drawing/2014/main" id="{3B185054-BFD4-C5EF-AACB-649AA76A2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xfrm>
          <a:off x="525303" y="913698523"/>
          <a:ext cx="1585913" cy="671513"/>
        </a:xfrm>
        <a:prstGeom prst="rect">
          <a:avLst/>
        </a:prstGeom>
      </xdr:spPr>
    </xdr:pic>
    <xdr:clientData/>
  </xdr:twoCellAnchor>
  <xdr:twoCellAnchor editAs="oneCell">
    <xdr:from>
      <xdr:col>0</xdr:col>
      <xdr:colOff>457438</xdr:colOff>
      <xdr:row>1063</xdr:row>
      <xdr:rowOff>62587</xdr:rowOff>
    </xdr:from>
    <xdr:to>
      <xdr:col>0</xdr:col>
      <xdr:colOff>2179082</xdr:colOff>
      <xdr:row>1063</xdr:row>
      <xdr:rowOff>684093</xdr:rowOff>
    </xdr:to>
    <xdr:pic>
      <xdr:nvPicPr>
        <xdr:cNvPr id="2127" name="Picture 2126" descr="Insight Picture 2126">
          <a:extLst>
            <a:ext uri="{FF2B5EF4-FFF2-40B4-BE49-F238E27FC236}">
              <a16:creationId xmlns:a16="http://schemas.microsoft.com/office/drawing/2014/main" id="{7A5EBCBD-6A5A-8D67-697D-DE32BC3B5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xfrm>
          <a:off x="457438" y="914493067"/>
          <a:ext cx="1721644" cy="621506"/>
        </a:xfrm>
        <a:prstGeom prst="rect">
          <a:avLst/>
        </a:prstGeom>
      </xdr:spPr>
    </xdr:pic>
    <xdr:clientData/>
  </xdr:twoCellAnchor>
  <xdr:twoCellAnchor editAs="oneCell">
    <xdr:from>
      <xdr:col>0</xdr:col>
      <xdr:colOff>575310</xdr:colOff>
      <xdr:row>1064</xdr:row>
      <xdr:rowOff>60762</xdr:rowOff>
    </xdr:from>
    <xdr:to>
      <xdr:col>0</xdr:col>
      <xdr:colOff>2061210</xdr:colOff>
      <xdr:row>1064</xdr:row>
      <xdr:rowOff>853718</xdr:rowOff>
    </xdr:to>
    <xdr:pic>
      <xdr:nvPicPr>
        <xdr:cNvPr id="2129" name="Picture 2128" descr="Insight Picture 2128">
          <a:extLst>
            <a:ext uri="{FF2B5EF4-FFF2-40B4-BE49-F238E27FC236}">
              <a16:creationId xmlns:a16="http://schemas.microsoft.com/office/drawing/2014/main" id="{2FC55696-0A84-4288-15EE-22C822411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xfrm>
          <a:off x="575310" y="915238002"/>
          <a:ext cx="1485900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711041</xdr:colOff>
      <xdr:row>1065</xdr:row>
      <xdr:rowOff>63540</xdr:rowOff>
    </xdr:from>
    <xdr:to>
      <xdr:col>0</xdr:col>
      <xdr:colOff>1925479</xdr:colOff>
      <xdr:row>1065</xdr:row>
      <xdr:rowOff>1285121</xdr:rowOff>
    </xdr:to>
    <xdr:pic>
      <xdr:nvPicPr>
        <xdr:cNvPr id="2131" name="Picture 2130" descr="Insight Picture 2130">
          <a:extLst>
            <a:ext uri="{FF2B5EF4-FFF2-40B4-BE49-F238E27FC236}">
              <a16:creationId xmlns:a16="http://schemas.microsoft.com/office/drawing/2014/main" id="{D4E48307-BC05-50C3-3F16-BB62A5CA9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5"/>
        <a:stretch>
          <a:fillRect/>
        </a:stretch>
      </xdr:blipFill>
      <xdr:spPr>
        <a:xfrm>
          <a:off x="711041" y="916155180"/>
          <a:ext cx="1214438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986075</xdr:colOff>
      <xdr:row>1066</xdr:row>
      <xdr:rowOff>62190</xdr:rowOff>
    </xdr:from>
    <xdr:to>
      <xdr:col>0</xdr:col>
      <xdr:colOff>1650444</xdr:colOff>
      <xdr:row>1066</xdr:row>
      <xdr:rowOff>669409</xdr:rowOff>
    </xdr:to>
    <xdr:pic>
      <xdr:nvPicPr>
        <xdr:cNvPr id="2133" name="Picture 2132" descr="Insight Picture 2132">
          <a:extLst>
            <a:ext uri="{FF2B5EF4-FFF2-40B4-BE49-F238E27FC236}">
              <a16:creationId xmlns:a16="http://schemas.microsoft.com/office/drawing/2014/main" id="{5107EAD6-920B-1EA1-38FD-794F9AB85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xfrm>
          <a:off x="986075" y="917502570"/>
          <a:ext cx="664369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768191</xdr:colOff>
      <xdr:row>1067</xdr:row>
      <xdr:rowOff>60226</xdr:rowOff>
    </xdr:from>
    <xdr:to>
      <xdr:col>0</xdr:col>
      <xdr:colOff>1868329</xdr:colOff>
      <xdr:row>1067</xdr:row>
      <xdr:rowOff>838895</xdr:rowOff>
    </xdr:to>
    <xdr:pic>
      <xdr:nvPicPr>
        <xdr:cNvPr id="2135" name="Picture 2134" descr="Insight Picture 2134">
          <a:extLst>
            <a:ext uri="{FF2B5EF4-FFF2-40B4-BE49-F238E27FC236}">
              <a16:creationId xmlns:a16="http://schemas.microsoft.com/office/drawing/2014/main" id="{36BCD6A9-6150-1CCF-2683-6A94F0A0E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xfrm>
          <a:off x="768191" y="918232126"/>
          <a:ext cx="1100138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618172</xdr:colOff>
      <xdr:row>1068</xdr:row>
      <xdr:rowOff>62865</xdr:rowOff>
    </xdr:from>
    <xdr:to>
      <xdr:col>0</xdr:col>
      <xdr:colOff>2018347</xdr:colOff>
      <xdr:row>1068</xdr:row>
      <xdr:rowOff>1034415</xdr:rowOff>
    </xdr:to>
    <xdr:pic>
      <xdr:nvPicPr>
        <xdr:cNvPr id="2137" name="Picture 2136" descr="Insight Picture 2136">
          <a:extLst>
            <a:ext uri="{FF2B5EF4-FFF2-40B4-BE49-F238E27FC236}">
              <a16:creationId xmlns:a16="http://schemas.microsoft.com/office/drawing/2014/main" id="{DD9FC288-0E81-26A9-C2DF-2B022337D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xfrm>
          <a:off x="618172" y="919133925"/>
          <a:ext cx="1400175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636032</xdr:colOff>
      <xdr:row>1069</xdr:row>
      <xdr:rowOff>63837</xdr:rowOff>
    </xdr:from>
    <xdr:to>
      <xdr:col>0</xdr:col>
      <xdr:colOff>2000488</xdr:colOff>
      <xdr:row>1069</xdr:row>
      <xdr:rowOff>949662</xdr:rowOff>
    </xdr:to>
    <xdr:pic>
      <xdr:nvPicPr>
        <xdr:cNvPr id="2139" name="Picture 2138" descr="Insight Picture 2138">
          <a:extLst>
            <a:ext uri="{FF2B5EF4-FFF2-40B4-BE49-F238E27FC236}">
              <a16:creationId xmlns:a16="http://schemas.microsoft.com/office/drawing/2014/main" id="{8B0511D7-0C52-6970-D06E-B21FBEAFF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xfrm>
          <a:off x="636032" y="920232177"/>
          <a:ext cx="1364456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868203</xdr:colOff>
      <xdr:row>1070</xdr:row>
      <xdr:rowOff>63798</xdr:rowOff>
    </xdr:from>
    <xdr:to>
      <xdr:col>0</xdr:col>
      <xdr:colOff>1768316</xdr:colOff>
      <xdr:row>1070</xdr:row>
      <xdr:rowOff>606723</xdr:rowOff>
    </xdr:to>
    <xdr:pic>
      <xdr:nvPicPr>
        <xdr:cNvPr id="2141" name="Picture 2140" descr="Insight Picture 2140">
          <a:extLst>
            <a:ext uri="{FF2B5EF4-FFF2-40B4-BE49-F238E27FC236}">
              <a16:creationId xmlns:a16="http://schemas.microsoft.com/office/drawing/2014/main" id="{72B2BDAD-1B2D-73EA-AD74-06EBF3999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xfrm>
          <a:off x="868203" y="921245598"/>
          <a:ext cx="900113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653891</xdr:colOff>
      <xdr:row>1071</xdr:row>
      <xdr:rowOff>60285</xdr:rowOff>
    </xdr:from>
    <xdr:to>
      <xdr:col>0</xdr:col>
      <xdr:colOff>1982629</xdr:colOff>
      <xdr:row>1071</xdr:row>
      <xdr:rowOff>496054</xdr:rowOff>
    </xdr:to>
    <xdr:pic>
      <xdr:nvPicPr>
        <xdr:cNvPr id="2143" name="Picture 2142" descr="Insight Picture 2142">
          <a:extLst>
            <a:ext uri="{FF2B5EF4-FFF2-40B4-BE49-F238E27FC236}">
              <a16:creationId xmlns:a16="http://schemas.microsoft.com/office/drawing/2014/main" id="{CB116A20-B04F-F015-B4D6-55F2265AC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1"/>
        <a:stretch>
          <a:fillRect/>
        </a:stretch>
      </xdr:blipFill>
      <xdr:spPr>
        <a:xfrm>
          <a:off x="653891" y="921912645"/>
          <a:ext cx="1328738" cy="435769"/>
        </a:xfrm>
        <a:prstGeom prst="rect">
          <a:avLst/>
        </a:prstGeom>
      </xdr:spPr>
    </xdr:pic>
    <xdr:clientData/>
  </xdr:twoCellAnchor>
  <xdr:twoCellAnchor editAs="oneCell">
    <xdr:from>
      <xdr:col>0</xdr:col>
      <xdr:colOff>553878</xdr:colOff>
      <xdr:row>1072</xdr:row>
      <xdr:rowOff>62627</xdr:rowOff>
    </xdr:from>
    <xdr:to>
      <xdr:col>0</xdr:col>
      <xdr:colOff>2082641</xdr:colOff>
      <xdr:row>1072</xdr:row>
      <xdr:rowOff>684133</xdr:rowOff>
    </xdr:to>
    <xdr:pic>
      <xdr:nvPicPr>
        <xdr:cNvPr id="2145" name="Picture 2144" descr="Insight Picture 2144">
          <a:extLst>
            <a:ext uri="{FF2B5EF4-FFF2-40B4-BE49-F238E27FC236}">
              <a16:creationId xmlns:a16="http://schemas.microsoft.com/office/drawing/2014/main" id="{DA2DE31F-F487-42C3-83E4-B38C9312B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xfrm>
          <a:off x="553878" y="922471247"/>
          <a:ext cx="1528763" cy="621506"/>
        </a:xfrm>
        <a:prstGeom prst="rect">
          <a:avLst/>
        </a:prstGeom>
      </xdr:spPr>
    </xdr:pic>
    <xdr:clientData/>
  </xdr:twoCellAnchor>
  <xdr:twoCellAnchor editAs="oneCell">
    <xdr:from>
      <xdr:col>0</xdr:col>
      <xdr:colOff>814625</xdr:colOff>
      <xdr:row>1073</xdr:row>
      <xdr:rowOff>61893</xdr:rowOff>
    </xdr:from>
    <xdr:to>
      <xdr:col>0</xdr:col>
      <xdr:colOff>1821894</xdr:colOff>
      <xdr:row>1073</xdr:row>
      <xdr:rowOff>890568</xdr:rowOff>
    </xdr:to>
    <xdr:pic>
      <xdr:nvPicPr>
        <xdr:cNvPr id="2147" name="Picture 2146" descr="Insight Picture 2146">
          <a:extLst>
            <a:ext uri="{FF2B5EF4-FFF2-40B4-BE49-F238E27FC236}">
              <a16:creationId xmlns:a16="http://schemas.microsoft.com/office/drawing/2014/main" id="{8B50D675-DDBD-C6EC-D63B-19BE84CAB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/>
        <a:stretch>
          <a:fillRect/>
        </a:stretch>
      </xdr:blipFill>
      <xdr:spPr>
        <a:xfrm>
          <a:off x="814625" y="923217273"/>
          <a:ext cx="1007269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718185</xdr:colOff>
      <xdr:row>1074</xdr:row>
      <xdr:rowOff>61893</xdr:rowOff>
    </xdr:from>
    <xdr:to>
      <xdr:col>0</xdr:col>
      <xdr:colOff>1918335</xdr:colOff>
      <xdr:row>1074</xdr:row>
      <xdr:rowOff>890568</xdr:rowOff>
    </xdr:to>
    <xdr:pic>
      <xdr:nvPicPr>
        <xdr:cNvPr id="2149" name="Picture 2148" descr="Insight Picture 2148">
          <a:extLst>
            <a:ext uri="{FF2B5EF4-FFF2-40B4-BE49-F238E27FC236}">
              <a16:creationId xmlns:a16="http://schemas.microsoft.com/office/drawing/2014/main" id="{231A1832-8762-D56B-8092-9C46F9847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xfrm>
          <a:off x="718185" y="924169773"/>
          <a:ext cx="120015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925353</xdr:colOff>
      <xdr:row>1075</xdr:row>
      <xdr:rowOff>63579</xdr:rowOff>
    </xdr:from>
    <xdr:to>
      <xdr:col>0</xdr:col>
      <xdr:colOff>1711166</xdr:colOff>
      <xdr:row>1075</xdr:row>
      <xdr:rowOff>942260</xdr:rowOff>
    </xdr:to>
    <xdr:pic>
      <xdr:nvPicPr>
        <xdr:cNvPr id="2151" name="Picture 2150" descr="Insight Picture 2150">
          <a:extLst>
            <a:ext uri="{FF2B5EF4-FFF2-40B4-BE49-F238E27FC236}">
              <a16:creationId xmlns:a16="http://schemas.microsoft.com/office/drawing/2014/main" id="{89561B9A-39F3-299C-2B28-EBED5EA70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xfrm>
          <a:off x="925353" y="925123959"/>
          <a:ext cx="785813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718185</xdr:colOff>
      <xdr:row>1076</xdr:row>
      <xdr:rowOff>63321</xdr:rowOff>
    </xdr:from>
    <xdr:to>
      <xdr:col>0</xdr:col>
      <xdr:colOff>1918335</xdr:colOff>
      <xdr:row>1076</xdr:row>
      <xdr:rowOff>934859</xdr:rowOff>
    </xdr:to>
    <xdr:pic>
      <xdr:nvPicPr>
        <xdr:cNvPr id="2153" name="Picture 2152" descr="Insight Picture 2152">
          <a:extLst>
            <a:ext uri="{FF2B5EF4-FFF2-40B4-BE49-F238E27FC236}">
              <a16:creationId xmlns:a16="http://schemas.microsoft.com/office/drawing/2014/main" id="{0BD5F24E-3079-26D9-7FFE-FAD5149EA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xfrm>
          <a:off x="718185" y="926129541"/>
          <a:ext cx="1200150" cy="871538"/>
        </a:xfrm>
        <a:prstGeom prst="rect">
          <a:avLst/>
        </a:prstGeom>
      </xdr:spPr>
    </xdr:pic>
    <xdr:clientData/>
  </xdr:twoCellAnchor>
  <xdr:twoCellAnchor editAs="oneCell">
    <xdr:from>
      <xdr:col>0</xdr:col>
      <xdr:colOff>586025</xdr:colOff>
      <xdr:row>1077</xdr:row>
      <xdr:rowOff>60762</xdr:rowOff>
    </xdr:from>
    <xdr:to>
      <xdr:col>0</xdr:col>
      <xdr:colOff>2050494</xdr:colOff>
      <xdr:row>1077</xdr:row>
      <xdr:rowOff>1082318</xdr:rowOff>
    </xdr:to>
    <xdr:pic>
      <xdr:nvPicPr>
        <xdr:cNvPr id="2155" name="Picture 2154" descr="Insight Picture 2154">
          <a:extLst>
            <a:ext uri="{FF2B5EF4-FFF2-40B4-BE49-F238E27FC236}">
              <a16:creationId xmlns:a16="http://schemas.microsoft.com/office/drawing/2014/main" id="{389E9DDE-5076-1A00-7A92-A758B5514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7"/>
        <a:stretch>
          <a:fillRect/>
        </a:stretch>
      </xdr:blipFill>
      <xdr:spPr>
        <a:xfrm>
          <a:off x="586025" y="927125202"/>
          <a:ext cx="1464469" cy="1021556"/>
        </a:xfrm>
        <a:prstGeom prst="rect">
          <a:avLst/>
        </a:prstGeom>
      </xdr:spPr>
    </xdr:pic>
    <xdr:clientData/>
  </xdr:twoCellAnchor>
  <xdr:twoCellAnchor editAs="oneCell">
    <xdr:from>
      <xdr:col>0</xdr:col>
      <xdr:colOff>350282</xdr:colOff>
      <xdr:row>1078</xdr:row>
      <xdr:rowOff>60960</xdr:rowOff>
    </xdr:from>
    <xdr:to>
      <xdr:col>0</xdr:col>
      <xdr:colOff>2286238</xdr:colOff>
      <xdr:row>1078</xdr:row>
      <xdr:rowOff>975360</xdr:rowOff>
    </xdr:to>
    <xdr:pic>
      <xdr:nvPicPr>
        <xdr:cNvPr id="2157" name="Picture 2156" descr="Insight Picture 2156">
          <a:extLst>
            <a:ext uri="{FF2B5EF4-FFF2-40B4-BE49-F238E27FC236}">
              <a16:creationId xmlns:a16="http://schemas.microsoft.com/office/drawing/2014/main" id="{7B285582-95A4-3F90-9128-ACBBF9ED2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/>
        <a:stretch>
          <a:fillRect/>
        </a:stretch>
      </xdr:blipFill>
      <xdr:spPr>
        <a:xfrm>
          <a:off x="350282" y="928268400"/>
          <a:ext cx="1935956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896778</xdr:colOff>
      <xdr:row>1079</xdr:row>
      <xdr:rowOff>62369</xdr:rowOff>
    </xdr:from>
    <xdr:to>
      <xdr:col>0</xdr:col>
      <xdr:colOff>1739741</xdr:colOff>
      <xdr:row>1079</xdr:row>
      <xdr:rowOff>905332</xdr:rowOff>
    </xdr:to>
    <xdr:pic>
      <xdr:nvPicPr>
        <xdr:cNvPr id="2159" name="Picture 2158" descr="Insight Picture 2158">
          <a:extLst>
            <a:ext uri="{FF2B5EF4-FFF2-40B4-BE49-F238E27FC236}">
              <a16:creationId xmlns:a16="http://schemas.microsoft.com/office/drawing/2014/main" id="{2644F3A5-5B51-BD4E-43E4-8F0985A8D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9"/>
        <a:stretch>
          <a:fillRect/>
        </a:stretch>
      </xdr:blipFill>
      <xdr:spPr>
        <a:xfrm>
          <a:off x="896778" y="929306129"/>
          <a:ext cx="842963" cy="842963"/>
        </a:xfrm>
        <a:prstGeom prst="rect">
          <a:avLst/>
        </a:prstGeom>
      </xdr:spPr>
    </xdr:pic>
    <xdr:clientData/>
  </xdr:twoCellAnchor>
  <xdr:twoCellAnchor editAs="oneCell">
    <xdr:from>
      <xdr:col>0</xdr:col>
      <xdr:colOff>639603</xdr:colOff>
      <xdr:row>1080</xdr:row>
      <xdr:rowOff>61416</xdr:rowOff>
    </xdr:from>
    <xdr:to>
      <xdr:col>0</xdr:col>
      <xdr:colOff>1996916</xdr:colOff>
      <xdr:row>1080</xdr:row>
      <xdr:rowOff>1104404</xdr:rowOff>
    </xdr:to>
    <xdr:pic>
      <xdr:nvPicPr>
        <xdr:cNvPr id="2161" name="Picture 2160" descr="Insight Picture 2160">
          <a:extLst>
            <a:ext uri="{FF2B5EF4-FFF2-40B4-BE49-F238E27FC236}">
              <a16:creationId xmlns:a16="http://schemas.microsoft.com/office/drawing/2014/main" id="{0C7AC375-C5FD-785F-205B-A8CE3FB97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xfrm>
          <a:off x="639603" y="930272916"/>
          <a:ext cx="1357313" cy="1042988"/>
        </a:xfrm>
        <a:prstGeom prst="rect">
          <a:avLst/>
        </a:prstGeom>
      </xdr:spPr>
    </xdr:pic>
    <xdr:clientData/>
  </xdr:twoCellAnchor>
  <xdr:twoCellAnchor editAs="oneCell">
    <xdr:from>
      <xdr:col>0</xdr:col>
      <xdr:colOff>789622</xdr:colOff>
      <xdr:row>1081</xdr:row>
      <xdr:rowOff>63361</xdr:rowOff>
    </xdr:from>
    <xdr:to>
      <xdr:col>0</xdr:col>
      <xdr:colOff>1846897</xdr:colOff>
      <xdr:row>1081</xdr:row>
      <xdr:rowOff>934899</xdr:rowOff>
    </xdr:to>
    <xdr:pic>
      <xdr:nvPicPr>
        <xdr:cNvPr id="2163" name="Picture 2162" descr="Insight Picture 2162">
          <a:extLst>
            <a:ext uri="{FF2B5EF4-FFF2-40B4-BE49-F238E27FC236}">
              <a16:creationId xmlns:a16="http://schemas.microsoft.com/office/drawing/2014/main" id="{DD8C5019-C1CE-AE8F-1D01-7F61430C9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1"/>
        <a:stretch>
          <a:fillRect/>
        </a:stretch>
      </xdr:blipFill>
      <xdr:spPr>
        <a:xfrm>
          <a:off x="789622" y="931440721"/>
          <a:ext cx="1057275" cy="871538"/>
        </a:xfrm>
        <a:prstGeom prst="rect">
          <a:avLst/>
        </a:prstGeom>
      </xdr:spPr>
    </xdr:pic>
    <xdr:clientData/>
  </xdr:twoCellAnchor>
  <xdr:twoCellAnchor editAs="oneCell">
    <xdr:from>
      <xdr:col>0</xdr:col>
      <xdr:colOff>875348</xdr:colOff>
      <xdr:row>1082</xdr:row>
      <xdr:rowOff>62389</xdr:rowOff>
    </xdr:from>
    <xdr:to>
      <xdr:col>0</xdr:col>
      <xdr:colOff>1761173</xdr:colOff>
      <xdr:row>1082</xdr:row>
      <xdr:rowOff>791052</xdr:rowOff>
    </xdr:to>
    <xdr:pic>
      <xdr:nvPicPr>
        <xdr:cNvPr id="2165" name="Picture 2164" descr="Insight Picture 2164">
          <a:extLst>
            <a:ext uri="{FF2B5EF4-FFF2-40B4-BE49-F238E27FC236}">
              <a16:creationId xmlns:a16="http://schemas.microsoft.com/office/drawing/2014/main" id="{6DDFC208-9F30-A906-111F-9468F1684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2"/>
        <a:stretch>
          <a:fillRect/>
        </a:stretch>
      </xdr:blipFill>
      <xdr:spPr>
        <a:xfrm>
          <a:off x="875348" y="932437969"/>
          <a:ext cx="885825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818198</xdr:colOff>
      <xdr:row>1083</xdr:row>
      <xdr:rowOff>60246</xdr:rowOff>
    </xdr:from>
    <xdr:to>
      <xdr:col>0</xdr:col>
      <xdr:colOff>1818323</xdr:colOff>
      <xdr:row>1083</xdr:row>
      <xdr:rowOff>724615</xdr:rowOff>
    </xdr:to>
    <xdr:pic>
      <xdr:nvPicPr>
        <xdr:cNvPr id="2167" name="Picture 2166" descr="Insight Picture 2166">
          <a:extLst>
            <a:ext uri="{FF2B5EF4-FFF2-40B4-BE49-F238E27FC236}">
              <a16:creationId xmlns:a16="http://schemas.microsoft.com/office/drawing/2014/main" id="{159528A7-7F4C-6179-CF8D-29401CD09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3"/>
        <a:stretch>
          <a:fillRect/>
        </a:stretch>
      </xdr:blipFill>
      <xdr:spPr>
        <a:xfrm>
          <a:off x="818198" y="933289266"/>
          <a:ext cx="1000125" cy="664369"/>
        </a:xfrm>
        <a:prstGeom prst="rect">
          <a:avLst/>
        </a:prstGeom>
      </xdr:spPr>
    </xdr:pic>
    <xdr:clientData/>
  </xdr:twoCellAnchor>
  <xdr:twoCellAnchor editAs="oneCell">
    <xdr:from>
      <xdr:col>0</xdr:col>
      <xdr:colOff>636032</xdr:colOff>
      <xdr:row>1084</xdr:row>
      <xdr:rowOff>63778</xdr:rowOff>
    </xdr:from>
    <xdr:to>
      <xdr:col>0</xdr:col>
      <xdr:colOff>2000488</xdr:colOff>
      <xdr:row>1084</xdr:row>
      <xdr:rowOff>949603</xdr:rowOff>
    </xdr:to>
    <xdr:pic>
      <xdr:nvPicPr>
        <xdr:cNvPr id="2169" name="Picture 2168" descr="Insight Picture 2168">
          <a:extLst>
            <a:ext uri="{FF2B5EF4-FFF2-40B4-BE49-F238E27FC236}">
              <a16:creationId xmlns:a16="http://schemas.microsoft.com/office/drawing/2014/main" id="{D4E32EA5-6E81-65A7-13AE-F00AB3FC9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xfrm>
          <a:off x="636032" y="934077658"/>
          <a:ext cx="1364456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578882</xdr:colOff>
      <xdr:row>1085</xdr:row>
      <xdr:rowOff>63143</xdr:rowOff>
    </xdr:from>
    <xdr:to>
      <xdr:col>0</xdr:col>
      <xdr:colOff>2057638</xdr:colOff>
      <xdr:row>1085</xdr:row>
      <xdr:rowOff>927537</xdr:rowOff>
    </xdr:to>
    <xdr:pic>
      <xdr:nvPicPr>
        <xdr:cNvPr id="2171" name="Picture 2170" descr="Insight Picture 2170">
          <a:extLst>
            <a:ext uri="{FF2B5EF4-FFF2-40B4-BE49-F238E27FC236}">
              <a16:creationId xmlns:a16="http://schemas.microsoft.com/office/drawing/2014/main" id="{46552355-B165-DD3B-86AE-6D1DAEAA4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5"/>
        <a:stretch>
          <a:fillRect/>
        </a:stretch>
      </xdr:blipFill>
      <xdr:spPr>
        <a:xfrm>
          <a:off x="578882" y="935090483"/>
          <a:ext cx="1478756" cy="864394"/>
        </a:xfrm>
        <a:prstGeom prst="rect">
          <a:avLst/>
        </a:prstGeom>
      </xdr:spPr>
    </xdr:pic>
    <xdr:clientData/>
  </xdr:twoCellAnchor>
  <xdr:twoCellAnchor editAs="oneCell">
    <xdr:from>
      <xdr:col>0</xdr:col>
      <xdr:colOff>671750</xdr:colOff>
      <xdr:row>1086</xdr:row>
      <xdr:rowOff>61952</xdr:rowOff>
    </xdr:from>
    <xdr:to>
      <xdr:col>0</xdr:col>
      <xdr:colOff>1964769</xdr:colOff>
      <xdr:row>1086</xdr:row>
      <xdr:rowOff>776327</xdr:rowOff>
    </xdr:to>
    <xdr:pic>
      <xdr:nvPicPr>
        <xdr:cNvPr id="2173" name="Picture 2172" descr="Insight Picture 2172">
          <a:extLst>
            <a:ext uri="{FF2B5EF4-FFF2-40B4-BE49-F238E27FC236}">
              <a16:creationId xmlns:a16="http://schemas.microsoft.com/office/drawing/2014/main" id="{11BBC6FC-6A8E-9549-AF2C-8619037C3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xfrm>
          <a:off x="671750" y="936079892"/>
          <a:ext cx="1293019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243126</xdr:colOff>
      <xdr:row>1087</xdr:row>
      <xdr:rowOff>61456</xdr:rowOff>
    </xdr:from>
    <xdr:to>
      <xdr:col>0</xdr:col>
      <xdr:colOff>2393395</xdr:colOff>
      <xdr:row>1087</xdr:row>
      <xdr:rowOff>1218744</xdr:rowOff>
    </xdr:to>
    <xdr:pic>
      <xdr:nvPicPr>
        <xdr:cNvPr id="2175" name="Picture 2174" descr="Insight Picture 2174">
          <a:extLst>
            <a:ext uri="{FF2B5EF4-FFF2-40B4-BE49-F238E27FC236}">
              <a16:creationId xmlns:a16="http://schemas.microsoft.com/office/drawing/2014/main" id="{809BA47F-C2E5-3B54-CABC-25C842DFA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7"/>
        <a:stretch>
          <a:fillRect/>
        </a:stretch>
      </xdr:blipFill>
      <xdr:spPr>
        <a:xfrm>
          <a:off x="243126" y="936917596"/>
          <a:ext cx="2150269" cy="1157288"/>
        </a:xfrm>
        <a:prstGeom prst="rect">
          <a:avLst/>
        </a:prstGeom>
      </xdr:spPr>
    </xdr:pic>
    <xdr:clientData/>
  </xdr:twoCellAnchor>
  <xdr:twoCellAnchor editAs="oneCell">
    <xdr:from>
      <xdr:col>0</xdr:col>
      <xdr:colOff>736045</xdr:colOff>
      <xdr:row>1088</xdr:row>
      <xdr:rowOff>60920</xdr:rowOff>
    </xdr:from>
    <xdr:to>
      <xdr:col>0</xdr:col>
      <xdr:colOff>1900476</xdr:colOff>
      <xdr:row>1088</xdr:row>
      <xdr:rowOff>746720</xdr:rowOff>
    </xdr:to>
    <xdr:pic>
      <xdr:nvPicPr>
        <xdr:cNvPr id="2177" name="Picture 2176" descr="Insight Picture 2176">
          <a:extLst>
            <a:ext uri="{FF2B5EF4-FFF2-40B4-BE49-F238E27FC236}">
              <a16:creationId xmlns:a16="http://schemas.microsoft.com/office/drawing/2014/main" id="{2AF1ABCC-9B1D-DEBB-3FCC-B316CDF5D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xfrm>
          <a:off x="736045" y="938197220"/>
          <a:ext cx="1164431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571738</xdr:colOff>
      <xdr:row>1089</xdr:row>
      <xdr:rowOff>60742</xdr:rowOff>
    </xdr:from>
    <xdr:to>
      <xdr:col>0</xdr:col>
      <xdr:colOff>2064782</xdr:colOff>
      <xdr:row>1089</xdr:row>
      <xdr:rowOff>1082298</xdr:rowOff>
    </xdr:to>
    <xdr:pic>
      <xdr:nvPicPr>
        <xdr:cNvPr id="2179" name="Picture 2178" descr="Insight Picture 2178">
          <a:extLst>
            <a:ext uri="{FF2B5EF4-FFF2-40B4-BE49-F238E27FC236}">
              <a16:creationId xmlns:a16="http://schemas.microsoft.com/office/drawing/2014/main" id="{5A7EB95A-87D1-EB12-65C3-F69FF7DF4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9"/>
        <a:stretch>
          <a:fillRect/>
        </a:stretch>
      </xdr:blipFill>
      <xdr:spPr>
        <a:xfrm>
          <a:off x="571738" y="939004762"/>
          <a:ext cx="1493044" cy="1021556"/>
        </a:xfrm>
        <a:prstGeom prst="rect">
          <a:avLst/>
        </a:prstGeom>
      </xdr:spPr>
    </xdr:pic>
    <xdr:clientData/>
  </xdr:twoCellAnchor>
  <xdr:twoCellAnchor editAs="oneCell">
    <xdr:from>
      <xdr:col>0</xdr:col>
      <xdr:colOff>543163</xdr:colOff>
      <xdr:row>1090</xdr:row>
      <xdr:rowOff>63619</xdr:rowOff>
    </xdr:from>
    <xdr:to>
      <xdr:col>0</xdr:col>
      <xdr:colOff>2093357</xdr:colOff>
      <xdr:row>1090</xdr:row>
      <xdr:rowOff>1285200</xdr:rowOff>
    </xdr:to>
    <xdr:pic>
      <xdr:nvPicPr>
        <xdr:cNvPr id="2181" name="Picture 2180" descr="Insight Picture 2180">
          <a:extLst>
            <a:ext uri="{FF2B5EF4-FFF2-40B4-BE49-F238E27FC236}">
              <a16:creationId xmlns:a16="http://schemas.microsoft.com/office/drawing/2014/main" id="{9C9DF045-5CB6-84D4-20DE-5CD31A6CB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xfrm>
          <a:off x="543163" y="940150639"/>
          <a:ext cx="1550194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368141</xdr:colOff>
      <xdr:row>1091</xdr:row>
      <xdr:rowOff>62667</xdr:rowOff>
    </xdr:from>
    <xdr:to>
      <xdr:col>0</xdr:col>
      <xdr:colOff>2268379</xdr:colOff>
      <xdr:row>1091</xdr:row>
      <xdr:rowOff>1141373</xdr:rowOff>
    </xdr:to>
    <xdr:pic>
      <xdr:nvPicPr>
        <xdr:cNvPr id="2183" name="Picture 2182" descr="Insight Picture 2182">
          <a:extLst>
            <a:ext uri="{FF2B5EF4-FFF2-40B4-BE49-F238E27FC236}">
              <a16:creationId xmlns:a16="http://schemas.microsoft.com/office/drawing/2014/main" id="{478974CA-87BF-D7D8-6A7D-833F88296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xfrm>
          <a:off x="368141" y="941498427"/>
          <a:ext cx="1900238" cy="1078706"/>
        </a:xfrm>
        <a:prstGeom prst="rect">
          <a:avLst/>
        </a:prstGeom>
      </xdr:spPr>
    </xdr:pic>
    <xdr:clientData/>
  </xdr:twoCellAnchor>
  <xdr:twoCellAnchor editAs="oneCell">
    <xdr:from>
      <xdr:col>0</xdr:col>
      <xdr:colOff>796766</xdr:colOff>
      <xdr:row>1092</xdr:row>
      <xdr:rowOff>60246</xdr:rowOff>
    </xdr:from>
    <xdr:to>
      <xdr:col>0</xdr:col>
      <xdr:colOff>1839754</xdr:colOff>
      <xdr:row>1092</xdr:row>
      <xdr:rowOff>610315</xdr:rowOff>
    </xdr:to>
    <xdr:pic>
      <xdr:nvPicPr>
        <xdr:cNvPr id="2185" name="Picture 2184" descr="Insight Picture 2184">
          <a:extLst>
            <a:ext uri="{FF2B5EF4-FFF2-40B4-BE49-F238E27FC236}">
              <a16:creationId xmlns:a16="http://schemas.microsoft.com/office/drawing/2014/main" id="{E68399A8-EBC8-E314-7866-161B4DE45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xfrm>
          <a:off x="796766" y="942699966"/>
          <a:ext cx="1042988" cy="550069"/>
        </a:xfrm>
        <a:prstGeom prst="rect">
          <a:avLst/>
        </a:prstGeom>
      </xdr:spPr>
    </xdr:pic>
    <xdr:clientData/>
  </xdr:twoCellAnchor>
  <xdr:twoCellAnchor editAs="oneCell">
    <xdr:from>
      <xdr:col>0</xdr:col>
      <xdr:colOff>775335</xdr:colOff>
      <xdr:row>1093</xdr:row>
      <xdr:rowOff>61198</xdr:rowOff>
    </xdr:from>
    <xdr:to>
      <xdr:col>0</xdr:col>
      <xdr:colOff>1861185</xdr:colOff>
      <xdr:row>1093</xdr:row>
      <xdr:rowOff>982742</xdr:rowOff>
    </xdr:to>
    <xdr:pic>
      <xdr:nvPicPr>
        <xdr:cNvPr id="2187" name="Picture 2186" descr="Insight Picture 2186">
          <a:extLst>
            <a:ext uri="{FF2B5EF4-FFF2-40B4-BE49-F238E27FC236}">
              <a16:creationId xmlns:a16="http://schemas.microsoft.com/office/drawing/2014/main" id="{973F7636-0685-38BE-0591-0B9C43C67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/>
        <a:stretch>
          <a:fillRect/>
        </a:stretch>
      </xdr:blipFill>
      <xdr:spPr>
        <a:xfrm>
          <a:off x="775335" y="943371478"/>
          <a:ext cx="1085850" cy="921544"/>
        </a:xfrm>
        <a:prstGeom prst="rect">
          <a:avLst/>
        </a:prstGeom>
      </xdr:spPr>
    </xdr:pic>
    <xdr:clientData/>
  </xdr:twoCellAnchor>
  <xdr:twoCellAnchor editAs="oneCell">
    <xdr:from>
      <xdr:col>0</xdr:col>
      <xdr:colOff>875348</xdr:colOff>
      <xdr:row>1094</xdr:row>
      <xdr:rowOff>63321</xdr:rowOff>
    </xdr:from>
    <xdr:to>
      <xdr:col>0</xdr:col>
      <xdr:colOff>1761173</xdr:colOff>
      <xdr:row>1094</xdr:row>
      <xdr:rowOff>706259</xdr:rowOff>
    </xdr:to>
    <xdr:pic>
      <xdr:nvPicPr>
        <xdr:cNvPr id="2189" name="Picture 2188" descr="Insight Picture 2188">
          <a:extLst>
            <a:ext uri="{FF2B5EF4-FFF2-40B4-BE49-F238E27FC236}">
              <a16:creationId xmlns:a16="http://schemas.microsoft.com/office/drawing/2014/main" id="{0A31B76F-3446-7AA6-179B-2680E7C33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xfrm>
          <a:off x="875348" y="944417541"/>
          <a:ext cx="885825" cy="642938"/>
        </a:xfrm>
        <a:prstGeom prst="rect">
          <a:avLst/>
        </a:prstGeom>
      </xdr:spPr>
    </xdr:pic>
    <xdr:clientData/>
  </xdr:twoCellAnchor>
  <xdr:twoCellAnchor editAs="oneCell">
    <xdr:from>
      <xdr:col>0</xdr:col>
      <xdr:colOff>682466</xdr:colOff>
      <xdr:row>1095</xdr:row>
      <xdr:rowOff>61952</xdr:rowOff>
    </xdr:from>
    <xdr:to>
      <xdr:col>0</xdr:col>
      <xdr:colOff>1954054</xdr:colOff>
      <xdr:row>1095</xdr:row>
      <xdr:rowOff>776327</xdr:rowOff>
    </xdr:to>
    <xdr:pic>
      <xdr:nvPicPr>
        <xdr:cNvPr id="2191" name="Picture 2190" descr="Insight Picture 2190">
          <a:extLst>
            <a:ext uri="{FF2B5EF4-FFF2-40B4-BE49-F238E27FC236}">
              <a16:creationId xmlns:a16="http://schemas.microsoft.com/office/drawing/2014/main" id="{F7EC0B81-5620-ADEB-2700-6F93C7EAC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/>
        <a:stretch>
          <a:fillRect/>
        </a:stretch>
      </xdr:blipFill>
      <xdr:spPr>
        <a:xfrm>
          <a:off x="682466" y="945185792"/>
          <a:ext cx="1271588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789622</xdr:colOff>
      <xdr:row>1096</xdr:row>
      <xdr:rowOff>63341</xdr:rowOff>
    </xdr:from>
    <xdr:to>
      <xdr:col>0</xdr:col>
      <xdr:colOff>1846897</xdr:colOff>
      <xdr:row>1096</xdr:row>
      <xdr:rowOff>934879</xdr:rowOff>
    </xdr:to>
    <xdr:pic>
      <xdr:nvPicPr>
        <xdr:cNvPr id="2193" name="Picture 2192" descr="Insight Picture 2192">
          <a:extLst>
            <a:ext uri="{FF2B5EF4-FFF2-40B4-BE49-F238E27FC236}">
              <a16:creationId xmlns:a16="http://schemas.microsoft.com/office/drawing/2014/main" id="{A4E752CA-6D2E-A47E-2389-5995AB4D6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/>
        <a:stretch>
          <a:fillRect/>
        </a:stretch>
      </xdr:blipFill>
      <xdr:spPr>
        <a:xfrm>
          <a:off x="789622" y="946025381"/>
          <a:ext cx="1057275" cy="871538"/>
        </a:xfrm>
        <a:prstGeom prst="rect">
          <a:avLst/>
        </a:prstGeom>
      </xdr:spPr>
    </xdr:pic>
    <xdr:clientData/>
  </xdr:twoCellAnchor>
  <xdr:twoCellAnchor editAs="oneCell">
    <xdr:from>
      <xdr:col>0</xdr:col>
      <xdr:colOff>596741</xdr:colOff>
      <xdr:row>1097</xdr:row>
      <xdr:rowOff>61476</xdr:rowOff>
    </xdr:from>
    <xdr:to>
      <xdr:col>0</xdr:col>
      <xdr:colOff>2039779</xdr:colOff>
      <xdr:row>1097</xdr:row>
      <xdr:rowOff>990164</xdr:rowOff>
    </xdr:to>
    <xdr:pic>
      <xdr:nvPicPr>
        <xdr:cNvPr id="2195" name="Picture 2194" descr="Insight Picture 2194">
          <a:extLst>
            <a:ext uri="{FF2B5EF4-FFF2-40B4-BE49-F238E27FC236}">
              <a16:creationId xmlns:a16="http://schemas.microsoft.com/office/drawing/2014/main" id="{FCE38728-3274-0EBC-DCF3-50675C6F1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7"/>
        <a:stretch>
          <a:fillRect/>
        </a:stretch>
      </xdr:blipFill>
      <xdr:spPr>
        <a:xfrm>
          <a:off x="596741" y="947021736"/>
          <a:ext cx="1443038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825341</xdr:colOff>
      <xdr:row>1098</xdr:row>
      <xdr:rowOff>63123</xdr:rowOff>
    </xdr:from>
    <xdr:to>
      <xdr:col>0</xdr:col>
      <xdr:colOff>1811179</xdr:colOff>
      <xdr:row>1098</xdr:row>
      <xdr:rowOff>698917</xdr:rowOff>
    </xdr:to>
    <xdr:pic>
      <xdr:nvPicPr>
        <xdr:cNvPr id="2197" name="Picture 2196" descr="Insight Picture 2196">
          <a:extLst>
            <a:ext uri="{FF2B5EF4-FFF2-40B4-BE49-F238E27FC236}">
              <a16:creationId xmlns:a16="http://schemas.microsoft.com/office/drawing/2014/main" id="{175F6DD0-11D5-93A6-3F35-C2ABA9A8D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xfrm>
          <a:off x="825341" y="948074943"/>
          <a:ext cx="985838" cy="635794"/>
        </a:xfrm>
        <a:prstGeom prst="rect">
          <a:avLst/>
        </a:prstGeom>
      </xdr:spPr>
    </xdr:pic>
    <xdr:clientData/>
  </xdr:twoCellAnchor>
  <xdr:twoCellAnchor editAs="oneCell">
    <xdr:from>
      <xdr:col>0</xdr:col>
      <xdr:colOff>825341</xdr:colOff>
      <xdr:row>1099</xdr:row>
      <xdr:rowOff>61238</xdr:rowOff>
    </xdr:from>
    <xdr:to>
      <xdr:col>0</xdr:col>
      <xdr:colOff>1811179</xdr:colOff>
      <xdr:row>1099</xdr:row>
      <xdr:rowOff>525582</xdr:rowOff>
    </xdr:to>
    <xdr:pic>
      <xdr:nvPicPr>
        <xdr:cNvPr id="2199" name="Picture 2198" descr="Insight Picture 2198">
          <a:extLst>
            <a:ext uri="{FF2B5EF4-FFF2-40B4-BE49-F238E27FC236}">
              <a16:creationId xmlns:a16="http://schemas.microsoft.com/office/drawing/2014/main" id="{D0F45B6A-6110-6FFB-DDD0-AA2468CEF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/>
        <a:stretch>
          <a:fillRect/>
        </a:stretch>
      </xdr:blipFill>
      <xdr:spPr>
        <a:xfrm>
          <a:off x="825341" y="948835058"/>
          <a:ext cx="985838" cy="464344"/>
        </a:xfrm>
        <a:prstGeom prst="rect">
          <a:avLst/>
        </a:prstGeom>
      </xdr:spPr>
    </xdr:pic>
    <xdr:clientData/>
  </xdr:twoCellAnchor>
  <xdr:twoCellAnchor editAs="oneCell">
    <xdr:from>
      <xdr:col>0</xdr:col>
      <xdr:colOff>789622</xdr:colOff>
      <xdr:row>1100</xdr:row>
      <xdr:rowOff>60285</xdr:rowOff>
    </xdr:from>
    <xdr:to>
      <xdr:col>0</xdr:col>
      <xdr:colOff>1846897</xdr:colOff>
      <xdr:row>1100</xdr:row>
      <xdr:rowOff>724654</xdr:rowOff>
    </xdr:to>
    <xdr:pic>
      <xdr:nvPicPr>
        <xdr:cNvPr id="2201" name="Picture 2200" descr="Insight Picture 2200">
          <a:extLst>
            <a:ext uri="{FF2B5EF4-FFF2-40B4-BE49-F238E27FC236}">
              <a16:creationId xmlns:a16="http://schemas.microsoft.com/office/drawing/2014/main" id="{2E19C809-A871-6435-6420-8FB7AA265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xfrm>
          <a:off x="789622" y="949420845"/>
          <a:ext cx="1057275" cy="664369"/>
        </a:xfrm>
        <a:prstGeom prst="rect">
          <a:avLst/>
        </a:prstGeom>
      </xdr:spPr>
    </xdr:pic>
    <xdr:clientData/>
  </xdr:twoCellAnchor>
  <xdr:twoCellAnchor editAs="oneCell">
    <xdr:from>
      <xdr:col>0</xdr:col>
      <xdr:colOff>357426</xdr:colOff>
      <xdr:row>1101</xdr:row>
      <xdr:rowOff>63321</xdr:rowOff>
    </xdr:from>
    <xdr:to>
      <xdr:col>0</xdr:col>
      <xdr:colOff>2279095</xdr:colOff>
      <xdr:row>1101</xdr:row>
      <xdr:rowOff>591959</xdr:rowOff>
    </xdr:to>
    <xdr:pic>
      <xdr:nvPicPr>
        <xdr:cNvPr id="2203" name="Picture 2202" descr="Insight Picture 2202">
          <a:extLst>
            <a:ext uri="{FF2B5EF4-FFF2-40B4-BE49-F238E27FC236}">
              <a16:creationId xmlns:a16="http://schemas.microsoft.com/office/drawing/2014/main" id="{4DEE0523-BC2C-AA40-E128-CFC119D48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xfrm>
          <a:off x="357426" y="950208741"/>
          <a:ext cx="1921669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357426</xdr:colOff>
      <xdr:row>1102</xdr:row>
      <xdr:rowOff>63341</xdr:rowOff>
    </xdr:from>
    <xdr:to>
      <xdr:col>0</xdr:col>
      <xdr:colOff>2279095</xdr:colOff>
      <xdr:row>1102</xdr:row>
      <xdr:rowOff>591979</xdr:rowOff>
    </xdr:to>
    <xdr:pic>
      <xdr:nvPicPr>
        <xdr:cNvPr id="2205" name="Picture 2204" descr="Insight Picture 2204">
          <a:extLst>
            <a:ext uri="{FF2B5EF4-FFF2-40B4-BE49-F238E27FC236}">
              <a16:creationId xmlns:a16="http://schemas.microsoft.com/office/drawing/2014/main" id="{CA3E7E13-7DA9-C1B1-7AB9-CD489A1B2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xfrm>
          <a:off x="357426" y="950864081"/>
          <a:ext cx="1921669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803910</xdr:colOff>
      <xdr:row>1103</xdr:row>
      <xdr:rowOff>60285</xdr:rowOff>
    </xdr:from>
    <xdr:to>
      <xdr:col>0</xdr:col>
      <xdr:colOff>1832610</xdr:colOff>
      <xdr:row>1103</xdr:row>
      <xdr:rowOff>724654</xdr:rowOff>
    </xdr:to>
    <xdr:pic>
      <xdr:nvPicPr>
        <xdr:cNvPr id="2207" name="Picture 2206" descr="Insight Picture 2206">
          <a:extLst>
            <a:ext uri="{FF2B5EF4-FFF2-40B4-BE49-F238E27FC236}">
              <a16:creationId xmlns:a16="http://schemas.microsoft.com/office/drawing/2014/main" id="{E4C939D2-47BA-BA1A-2A21-9672D8317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xfrm>
          <a:off x="803910" y="951516345"/>
          <a:ext cx="1028700" cy="664369"/>
        </a:xfrm>
        <a:prstGeom prst="rect">
          <a:avLst/>
        </a:prstGeom>
      </xdr:spPr>
    </xdr:pic>
    <xdr:clientData/>
  </xdr:twoCellAnchor>
  <xdr:twoCellAnchor editAs="oneCell">
    <xdr:from>
      <xdr:col>0</xdr:col>
      <xdr:colOff>753903</xdr:colOff>
      <xdr:row>1104</xdr:row>
      <xdr:rowOff>62131</xdr:rowOff>
    </xdr:from>
    <xdr:to>
      <xdr:col>0</xdr:col>
      <xdr:colOff>1882616</xdr:colOff>
      <xdr:row>1104</xdr:row>
      <xdr:rowOff>897950</xdr:rowOff>
    </xdr:to>
    <xdr:pic>
      <xdr:nvPicPr>
        <xdr:cNvPr id="2209" name="Picture 2208" descr="Insight Picture 2208">
          <a:extLst>
            <a:ext uri="{FF2B5EF4-FFF2-40B4-BE49-F238E27FC236}">
              <a16:creationId xmlns:a16="http://schemas.microsoft.com/office/drawing/2014/main" id="{09D8E9F4-B84F-FD9F-D134-42A967872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/>
        <a:stretch>
          <a:fillRect/>
        </a:stretch>
      </xdr:blipFill>
      <xdr:spPr>
        <a:xfrm>
          <a:off x="753903" y="952303051"/>
          <a:ext cx="1128713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532447</xdr:colOff>
      <xdr:row>1105</xdr:row>
      <xdr:rowOff>62647</xdr:rowOff>
    </xdr:from>
    <xdr:to>
      <xdr:col>0</xdr:col>
      <xdr:colOff>2104072</xdr:colOff>
      <xdr:row>1105</xdr:row>
      <xdr:rowOff>1141353</xdr:rowOff>
    </xdr:to>
    <xdr:pic>
      <xdr:nvPicPr>
        <xdr:cNvPr id="2211" name="Picture 2210" descr="Insight Picture 2210">
          <a:extLst>
            <a:ext uri="{FF2B5EF4-FFF2-40B4-BE49-F238E27FC236}">
              <a16:creationId xmlns:a16="http://schemas.microsoft.com/office/drawing/2014/main" id="{4156BADA-E16B-E0B5-739E-A92280139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5"/>
        <a:stretch>
          <a:fillRect/>
        </a:stretch>
      </xdr:blipFill>
      <xdr:spPr>
        <a:xfrm>
          <a:off x="532447" y="953263687"/>
          <a:ext cx="1571625" cy="1078706"/>
        </a:xfrm>
        <a:prstGeom prst="rect">
          <a:avLst/>
        </a:prstGeom>
      </xdr:spPr>
    </xdr:pic>
    <xdr:clientData/>
  </xdr:twoCellAnchor>
  <xdr:twoCellAnchor editAs="oneCell">
    <xdr:from>
      <xdr:col>0</xdr:col>
      <xdr:colOff>696753</xdr:colOff>
      <xdr:row>1106</xdr:row>
      <xdr:rowOff>62607</xdr:rowOff>
    </xdr:from>
    <xdr:to>
      <xdr:col>0</xdr:col>
      <xdr:colOff>1939766</xdr:colOff>
      <xdr:row>1106</xdr:row>
      <xdr:rowOff>684113</xdr:rowOff>
    </xdr:to>
    <xdr:pic>
      <xdr:nvPicPr>
        <xdr:cNvPr id="2213" name="Picture 2212" descr="Insight Picture 2212">
          <a:extLst>
            <a:ext uri="{FF2B5EF4-FFF2-40B4-BE49-F238E27FC236}">
              <a16:creationId xmlns:a16="http://schemas.microsoft.com/office/drawing/2014/main" id="{BEDD131A-C1A1-7A26-B0B2-D12741227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xfrm>
          <a:off x="696753" y="954467607"/>
          <a:ext cx="1243013" cy="621506"/>
        </a:xfrm>
        <a:prstGeom prst="rect">
          <a:avLst/>
        </a:prstGeom>
      </xdr:spPr>
    </xdr:pic>
    <xdr:clientData/>
  </xdr:twoCellAnchor>
  <xdr:twoCellAnchor editAs="oneCell">
    <xdr:from>
      <xdr:col>0</xdr:col>
      <xdr:colOff>803910</xdr:colOff>
      <xdr:row>1107</xdr:row>
      <xdr:rowOff>62865</xdr:rowOff>
    </xdr:from>
    <xdr:to>
      <xdr:col>0</xdr:col>
      <xdr:colOff>1832610</xdr:colOff>
      <xdr:row>1107</xdr:row>
      <xdr:rowOff>691515</xdr:rowOff>
    </xdr:to>
    <xdr:pic>
      <xdr:nvPicPr>
        <xdr:cNvPr id="2215" name="Picture 2214" descr="Insight Picture 2214">
          <a:extLst>
            <a:ext uri="{FF2B5EF4-FFF2-40B4-BE49-F238E27FC236}">
              <a16:creationId xmlns:a16="http://schemas.microsoft.com/office/drawing/2014/main" id="{4D16AFB9-3536-50F6-CAF3-607E54FDC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/>
        <a:stretch>
          <a:fillRect/>
        </a:stretch>
      </xdr:blipFill>
      <xdr:spPr>
        <a:xfrm>
          <a:off x="803910" y="955214625"/>
          <a:ext cx="1028700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678895</xdr:colOff>
      <xdr:row>1108</xdr:row>
      <xdr:rowOff>61456</xdr:rowOff>
    </xdr:from>
    <xdr:to>
      <xdr:col>0</xdr:col>
      <xdr:colOff>1957626</xdr:colOff>
      <xdr:row>1108</xdr:row>
      <xdr:rowOff>761544</xdr:rowOff>
    </xdr:to>
    <xdr:pic>
      <xdr:nvPicPr>
        <xdr:cNvPr id="2217" name="Picture 2216" descr="Insight Picture 2216">
          <a:extLst>
            <a:ext uri="{FF2B5EF4-FFF2-40B4-BE49-F238E27FC236}">
              <a16:creationId xmlns:a16="http://schemas.microsoft.com/office/drawing/2014/main" id="{FB10E34C-52F4-F12B-7A25-4809F7633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xfrm>
          <a:off x="678895" y="955967596"/>
          <a:ext cx="1278731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389572</xdr:colOff>
      <xdr:row>1109</xdr:row>
      <xdr:rowOff>62111</xdr:rowOff>
    </xdr:from>
    <xdr:to>
      <xdr:col>0</xdr:col>
      <xdr:colOff>2246947</xdr:colOff>
      <xdr:row>1109</xdr:row>
      <xdr:rowOff>783630</xdr:rowOff>
    </xdr:to>
    <xdr:pic>
      <xdr:nvPicPr>
        <xdr:cNvPr id="2219" name="Picture 2218" descr="Insight Picture 2218">
          <a:extLst>
            <a:ext uri="{FF2B5EF4-FFF2-40B4-BE49-F238E27FC236}">
              <a16:creationId xmlns:a16="http://schemas.microsoft.com/office/drawing/2014/main" id="{BB2EAD18-9A3D-5743-BCA1-F6CA81E23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xfrm>
          <a:off x="389572" y="956791211"/>
          <a:ext cx="1857375" cy="721519"/>
        </a:xfrm>
        <a:prstGeom prst="rect">
          <a:avLst/>
        </a:prstGeom>
      </xdr:spPr>
    </xdr:pic>
    <xdr:clientData/>
  </xdr:twoCellAnchor>
  <xdr:twoCellAnchor editAs="oneCell">
    <xdr:from>
      <xdr:col>0</xdr:col>
      <xdr:colOff>357426</xdr:colOff>
      <xdr:row>1110</xdr:row>
      <xdr:rowOff>61436</xdr:rowOff>
    </xdr:from>
    <xdr:to>
      <xdr:col>0</xdr:col>
      <xdr:colOff>2279095</xdr:colOff>
      <xdr:row>1110</xdr:row>
      <xdr:rowOff>761524</xdr:rowOff>
    </xdr:to>
    <xdr:pic>
      <xdr:nvPicPr>
        <xdr:cNvPr id="2221" name="Picture 2220" descr="Insight Picture 2220">
          <a:extLst>
            <a:ext uri="{FF2B5EF4-FFF2-40B4-BE49-F238E27FC236}">
              <a16:creationId xmlns:a16="http://schemas.microsoft.com/office/drawing/2014/main" id="{4DA25C3A-82A8-BD24-CE3B-7D3AB9EB1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xfrm>
          <a:off x="357426" y="957636356"/>
          <a:ext cx="1921669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528875</xdr:colOff>
      <xdr:row>1111</xdr:row>
      <xdr:rowOff>60702</xdr:rowOff>
    </xdr:from>
    <xdr:to>
      <xdr:col>0</xdr:col>
      <xdr:colOff>2107644</xdr:colOff>
      <xdr:row>1111</xdr:row>
      <xdr:rowOff>739358</xdr:rowOff>
    </xdr:to>
    <xdr:pic>
      <xdr:nvPicPr>
        <xdr:cNvPr id="2223" name="Picture 2222" descr="Insight Picture 2222">
          <a:extLst>
            <a:ext uri="{FF2B5EF4-FFF2-40B4-BE49-F238E27FC236}">
              <a16:creationId xmlns:a16="http://schemas.microsoft.com/office/drawing/2014/main" id="{D9531D7F-FA37-C6A2-BB6A-CB2C64F88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/>
        <a:stretch>
          <a:fillRect/>
        </a:stretch>
      </xdr:blipFill>
      <xdr:spPr>
        <a:xfrm>
          <a:off x="528875" y="958458582"/>
          <a:ext cx="1578769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746760</xdr:colOff>
      <xdr:row>1112</xdr:row>
      <xdr:rowOff>63579</xdr:rowOff>
    </xdr:from>
    <xdr:to>
      <xdr:col>0</xdr:col>
      <xdr:colOff>1889760</xdr:colOff>
      <xdr:row>1112</xdr:row>
      <xdr:rowOff>1285160</xdr:rowOff>
    </xdr:to>
    <xdr:pic>
      <xdr:nvPicPr>
        <xdr:cNvPr id="2225" name="Picture 2224" descr="Insight Picture 2224">
          <a:extLst>
            <a:ext uri="{FF2B5EF4-FFF2-40B4-BE49-F238E27FC236}">
              <a16:creationId xmlns:a16="http://schemas.microsoft.com/office/drawing/2014/main" id="{30826006-B910-6418-737E-8D5E44033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xfrm>
          <a:off x="746760" y="959261559"/>
          <a:ext cx="1143000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653891</xdr:colOff>
      <xdr:row>1113</xdr:row>
      <xdr:rowOff>63123</xdr:rowOff>
    </xdr:from>
    <xdr:to>
      <xdr:col>0</xdr:col>
      <xdr:colOff>1982629</xdr:colOff>
      <xdr:row>1113</xdr:row>
      <xdr:rowOff>698917</xdr:rowOff>
    </xdr:to>
    <xdr:pic>
      <xdr:nvPicPr>
        <xdr:cNvPr id="2227" name="Picture 2226" descr="Insight Picture 2226">
          <a:extLst>
            <a:ext uri="{FF2B5EF4-FFF2-40B4-BE49-F238E27FC236}">
              <a16:creationId xmlns:a16="http://schemas.microsoft.com/office/drawing/2014/main" id="{110735CD-6EE1-C055-F480-B3BEDCB42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xfrm>
          <a:off x="653891" y="960609843"/>
          <a:ext cx="1328738" cy="635794"/>
        </a:xfrm>
        <a:prstGeom prst="rect">
          <a:avLst/>
        </a:prstGeom>
      </xdr:spPr>
    </xdr:pic>
    <xdr:clientData/>
  </xdr:twoCellAnchor>
  <xdr:twoCellAnchor editAs="oneCell">
    <xdr:from>
      <xdr:col>0</xdr:col>
      <xdr:colOff>511016</xdr:colOff>
      <xdr:row>1114</xdr:row>
      <xdr:rowOff>61436</xdr:rowOff>
    </xdr:from>
    <xdr:to>
      <xdr:col>0</xdr:col>
      <xdr:colOff>2125504</xdr:colOff>
      <xdr:row>1114</xdr:row>
      <xdr:rowOff>875824</xdr:rowOff>
    </xdr:to>
    <xdr:pic>
      <xdr:nvPicPr>
        <xdr:cNvPr id="2229" name="Picture 2228" descr="Insight Picture 2228">
          <a:extLst>
            <a:ext uri="{FF2B5EF4-FFF2-40B4-BE49-F238E27FC236}">
              <a16:creationId xmlns:a16="http://schemas.microsoft.com/office/drawing/2014/main" id="{1D7D4861-BE65-D36B-42BD-0DB2FE553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4"/>
        <a:stretch>
          <a:fillRect/>
        </a:stretch>
      </xdr:blipFill>
      <xdr:spPr>
        <a:xfrm>
          <a:off x="511016" y="961370156"/>
          <a:ext cx="1614488" cy="814388"/>
        </a:xfrm>
        <a:prstGeom prst="rect">
          <a:avLst/>
        </a:prstGeom>
      </xdr:spPr>
    </xdr:pic>
    <xdr:clientData/>
  </xdr:twoCellAnchor>
  <xdr:twoCellAnchor editAs="oneCell">
    <xdr:from>
      <xdr:col>0</xdr:col>
      <xdr:colOff>878920</xdr:colOff>
      <xdr:row>1115</xdr:row>
      <xdr:rowOff>62190</xdr:rowOff>
    </xdr:from>
    <xdr:to>
      <xdr:col>0</xdr:col>
      <xdr:colOff>1757601</xdr:colOff>
      <xdr:row>1115</xdr:row>
      <xdr:rowOff>669409</xdr:rowOff>
    </xdr:to>
    <xdr:pic>
      <xdr:nvPicPr>
        <xdr:cNvPr id="2231" name="Picture 2230" descr="Insight Picture 2230">
          <a:extLst>
            <a:ext uri="{FF2B5EF4-FFF2-40B4-BE49-F238E27FC236}">
              <a16:creationId xmlns:a16="http://schemas.microsoft.com/office/drawing/2014/main" id="{E34CD9F7-4615-242C-76AA-7720DF2BE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xfrm>
          <a:off x="878920" y="962308170"/>
          <a:ext cx="878681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853916</xdr:colOff>
      <xdr:row>1116</xdr:row>
      <xdr:rowOff>63302</xdr:rowOff>
    </xdr:from>
    <xdr:to>
      <xdr:col>0</xdr:col>
      <xdr:colOff>1782604</xdr:colOff>
      <xdr:row>1116</xdr:row>
      <xdr:rowOff>706240</xdr:rowOff>
    </xdr:to>
    <xdr:pic>
      <xdr:nvPicPr>
        <xdr:cNvPr id="2233" name="Picture 2232" descr="Insight Picture 2232">
          <a:extLst>
            <a:ext uri="{FF2B5EF4-FFF2-40B4-BE49-F238E27FC236}">
              <a16:creationId xmlns:a16="http://schemas.microsoft.com/office/drawing/2014/main" id="{6A1CF174-C730-74F1-29C0-D12D65B8B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xfrm>
          <a:off x="853916" y="963040802"/>
          <a:ext cx="928688" cy="642938"/>
        </a:xfrm>
        <a:prstGeom prst="rect">
          <a:avLst/>
        </a:prstGeom>
      </xdr:spPr>
    </xdr:pic>
    <xdr:clientData/>
  </xdr:twoCellAnchor>
  <xdr:twoCellAnchor editAs="oneCell">
    <xdr:from>
      <xdr:col>0</xdr:col>
      <xdr:colOff>596741</xdr:colOff>
      <xdr:row>1117</xdr:row>
      <xdr:rowOff>63123</xdr:rowOff>
    </xdr:from>
    <xdr:to>
      <xdr:col>0</xdr:col>
      <xdr:colOff>2039779</xdr:colOff>
      <xdr:row>1117</xdr:row>
      <xdr:rowOff>813217</xdr:rowOff>
    </xdr:to>
    <xdr:pic>
      <xdr:nvPicPr>
        <xdr:cNvPr id="2235" name="Picture 2234" descr="Insight Picture 2234">
          <a:extLst>
            <a:ext uri="{FF2B5EF4-FFF2-40B4-BE49-F238E27FC236}">
              <a16:creationId xmlns:a16="http://schemas.microsoft.com/office/drawing/2014/main" id="{A5B9ADE0-A336-6B8D-A9B4-4E299B706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7"/>
        <a:stretch>
          <a:fillRect/>
        </a:stretch>
      </xdr:blipFill>
      <xdr:spPr>
        <a:xfrm>
          <a:off x="596741" y="963810243"/>
          <a:ext cx="1443038" cy="750094"/>
        </a:xfrm>
        <a:prstGeom prst="rect">
          <a:avLst/>
        </a:prstGeom>
      </xdr:spPr>
    </xdr:pic>
    <xdr:clientData/>
  </xdr:twoCellAnchor>
  <xdr:twoCellAnchor editAs="oneCell">
    <xdr:from>
      <xdr:col>0</xdr:col>
      <xdr:colOff>528875</xdr:colOff>
      <xdr:row>1118</xdr:row>
      <xdr:rowOff>61436</xdr:rowOff>
    </xdr:from>
    <xdr:to>
      <xdr:col>0</xdr:col>
      <xdr:colOff>2107644</xdr:colOff>
      <xdr:row>1118</xdr:row>
      <xdr:rowOff>761524</xdr:rowOff>
    </xdr:to>
    <xdr:pic>
      <xdr:nvPicPr>
        <xdr:cNvPr id="2237" name="Picture 2236" descr="Insight Picture 2236">
          <a:extLst>
            <a:ext uri="{FF2B5EF4-FFF2-40B4-BE49-F238E27FC236}">
              <a16:creationId xmlns:a16="http://schemas.microsoft.com/office/drawing/2014/main" id="{4D4C6DFB-B38F-E430-1921-F0B8A2B05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xfrm>
          <a:off x="528875" y="964684856"/>
          <a:ext cx="1578769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596741</xdr:colOff>
      <xdr:row>1119</xdr:row>
      <xdr:rowOff>63083</xdr:rowOff>
    </xdr:from>
    <xdr:to>
      <xdr:col>0</xdr:col>
      <xdr:colOff>2039779</xdr:colOff>
      <xdr:row>1119</xdr:row>
      <xdr:rowOff>813177</xdr:rowOff>
    </xdr:to>
    <xdr:pic>
      <xdr:nvPicPr>
        <xdr:cNvPr id="2239" name="Picture 2238" descr="Insight Picture 2238">
          <a:extLst>
            <a:ext uri="{FF2B5EF4-FFF2-40B4-BE49-F238E27FC236}">
              <a16:creationId xmlns:a16="http://schemas.microsoft.com/office/drawing/2014/main" id="{74AF9250-F703-99ED-FB65-CB63AF401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9"/>
        <a:stretch>
          <a:fillRect/>
        </a:stretch>
      </xdr:blipFill>
      <xdr:spPr>
        <a:xfrm>
          <a:off x="596741" y="965509463"/>
          <a:ext cx="1443038" cy="750094"/>
        </a:xfrm>
        <a:prstGeom prst="rect">
          <a:avLst/>
        </a:prstGeom>
      </xdr:spPr>
    </xdr:pic>
    <xdr:clientData/>
  </xdr:twoCellAnchor>
  <xdr:twoCellAnchor editAs="oneCell">
    <xdr:from>
      <xdr:col>0</xdr:col>
      <xdr:colOff>396716</xdr:colOff>
      <xdr:row>1120</xdr:row>
      <xdr:rowOff>62587</xdr:rowOff>
    </xdr:from>
    <xdr:to>
      <xdr:col>0</xdr:col>
      <xdr:colOff>2239804</xdr:colOff>
      <xdr:row>1120</xdr:row>
      <xdr:rowOff>798393</xdr:rowOff>
    </xdr:to>
    <xdr:pic>
      <xdr:nvPicPr>
        <xdr:cNvPr id="2241" name="Picture 2240" descr="Insight Picture 2240">
          <a:extLst>
            <a:ext uri="{FF2B5EF4-FFF2-40B4-BE49-F238E27FC236}">
              <a16:creationId xmlns:a16="http://schemas.microsoft.com/office/drawing/2014/main" id="{AA1D7EB5-60BA-EEFF-A1F1-851A14FFA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/>
        <a:stretch>
          <a:fillRect/>
        </a:stretch>
      </xdr:blipFill>
      <xdr:spPr>
        <a:xfrm>
          <a:off x="396716" y="966385267"/>
          <a:ext cx="1843088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350282</xdr:colOff>
      <xdr:row>1121</xdr:row>
      <xdr:rowOff>63540</xdr:rowOff>
    </xdr:from>
    <xdr:to>
      <xdr:col>0</xdr:col>
      <xdr:colOff>2286238</xdr:colOff>
      <xdr:row>1121</xdr:row>
      <xdr:rowOff>827921</xdr:rowOff>
    </xdr:to>
    <xdr:pic>
      <xdr:nvPicPr>
        <xdr:cNvPr id="2243" name="Picture 2242" descr="Insight Picture 2242">
          <a:extLst>
            <a:ext uri="{FF2B5EF4-FFF2-40B4-BE49-F238E27FC236}">
              <a16:creationId xmlns:a16="http://schemas.microsoft.com/office/drawing/2014/main" id="{56FB0ED7-390C-D460-0CB7-824BF423C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1"/>
        <a:stretch>
          <a:fillRect/>
        </a:stretch>
      </xdr:blipFill>
      <xdr:spPr>
        <a:xfrm>
          <a:off x="350282" y="967247280"/>
          <a:ext cx="1935956" cy="764381"/>
        </a:xfrm>
        <a:prstGeom prst="rect">
          <a:avLst/>
        </a:prstGeom>
      </xdr:spPr>
    </xdr:pic>
    <xdr:clientData/>
  </xdr:twoCellAnchor>
  <xdr:twoCellAnchor editAs="oneCell">
    <xdr:from>
      <xdr:col>0</xdr:col>
      <xdr:colOff>553878</xdr:colOff>
      <xdr:row>1122</xdr:row>
      <xdr:rowOff>60206</xdr:rowOff>
    </xdr:from>
    <xdr:to>
      <xdr:col>0</xdr:col>
      <xdr:colOff>2082641</xdr:colOff>
      <xdr:row>1122</xdr:row>
      <xdr:rowOff>495975</xdr:rowOff>
    </xdr:to>
    <xdr:pic>
      <xdr:nvPicPr>
        <xdr:cNvPr id="2245" name="Picture 2244" descr="Insight Picture 2244">
          <a:extLst>
            <a:ext uri="{FF2B5EF4-FFF2-40B4-BE49-F238E27FC236}">
              <a16:creationId xmlns:a16="http://schemas.microsoft.com/office/drawing/2014/main" id="{8B9E0775-896C-DFD2-F09C-9A83FC7F6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2"/>
        <a:stretch>
          <a:fillRect/>
        </a:stretch>
      </xdr:blipFill>
      <xdr:spPr>
        <a:xfrm>
          <a:off x="553878" y="968135486"/>
          <a:ext cx="1528763" cy="435769"/>
        </a:xfrm>
        <a:prstGeom prst="rect">
          <a:avLst/>
        </a:prstGeom>
      </xdr:spPr>
    </xdr:pic>
    <xdr:clientData/>
  </xdr:twoCellAnchor>
  <xdr:twoCellAnchor editAs="oneCell">
    <xdr:from>
      <xdr:col>0</xdr:col>
      <xdr:colOff>546735</xdr:colOff>
      <xdr:row>1123</xdr:row>
      <xdr:rowOff>63837</xdr:rowOff>
    </xdr:from>
    <xdr:to>
      <xdr:col>0</xdr:col>
      <xdr:colOff>2089785</xdr:colOff>
      <xdr:row>1123</xdr:row>
      <xdr:rowOff>721062</xdr:rowOff>
    </xdr:to>
    <xdr:pic>
      <xdr:nvPicPr>
        <xdr:cNvPr id="2247" name="Picture 2246" descr="Insight Picture 2246">
          <a:extLst>
            <a:ext uri="{FF2B5EF4-FFF2-40B4-BE49-F238E27FC236}">
              <a16:creationId xmlns:a16="http://schemas.microsoft.com/office/drawing/2014/main" id="{9D1B5DDA-9274-7303-8055-DBE8D66DD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3"/>
        <a:stretch>
          <a:fillRect/>
        </a:stretch>
      </xdr:blipFill>
      <xdr:spPr>
        <a:xfrm>
          <a:off x="546735" y="968695377"/>
          <a:ext cx="1543050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721757</xdr:colOff>
      <xdr:row>1124</xdr:row>
      <xdr:rowOff>61913</xdr:rowOff>
    </xdr:from>
    <xdr:to>
      <xdr:col>0</xdr:col>
      <xdr:colOff>1914763</xdr:colOff>
      <xdr:row>1124</xdr:row>
      <xdr:rowOff>890588</xdr:rowOff>
    </xdr:to>
    <xdr:pic>
      <xdr:nvPicPr>
        <xdr:cNvPr id="2249" name="Picture 2248" descr="Insight Picture 2248">
          <a:extLst>
            <a:ext uri="{FF2B5EF4-FFF2-40B4-BE49-F238E27FC236}">
              <a16:creationId xmlns:a16="http://schemas.microsoft.com/office/drawing/2014/main" id="{E579F2CB-6892-AD0A-DDED-D68E0B246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4"/>
        <a:stretch>
          <a:fillRect/>
        </a:stretch>
      </xdr:blipFill>
      <xdr:spPr>
        <a:xfrm>
          <a:off x="721757" y="969478313"/>
          <a:ext cx="1193006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578882</xdr:colOff>
      <xdr:row>1125</xdr:row>
      <xdr:rowOff>61218</xdr:rowOff>
    </xdr:from>
    <xdr:to>
      <xdr:col>0</xdr:col>
      <xdr:colOff>2057638</xdr:colOff>
      <xdr:row>1125</xdr:row>
      <xdr:rowOff>754162</xdr:rowOff>
    </xdr:to>
    <xdr:pic>
      <xdr:nvPicPr>
        <xdr:cNvPr id="2251" name="Picture 2250" descr="Insight Picture 2250">
          <a:extLst>
            <a:ext uri="{FF2B5EF4-FFF2-40B4-BE49-F238E27FC236}">
              <a16:creationId xmlns:a16="http://schemas.microsoft.com/office/drawing/2014/main" id="{B48CBB54-CA45-BC0C-4E93-04B7FB31B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5"/>
        <a:stretch>
          <a:fillRect/>
        </a:stretch>
      </xdr:blipFill>
      <xdr:spPr>
        <a:xfrm>
          <a:off x="578882" y="970430118"/>
          <a:ext cx="1478756" cy="692944"/>
        </a:xfrm>
        <a:prstGeom prst="rect">
          <a:avLst/>
        </a:prstGeom>
      </xdr:spPr>
    </xdr:pic>
    <xdr:clientData/>
  </xdr:twoCellAnchor>
  <xdr:twoCellAnchor editAs="oneCell">
    <xdr:from>
      <xdr:col>0</xdr:col>
      <xdr:colOff>632460</xdr:colOff>
      <xdr:row>1126</xdr:row>
      <xdr:rowOff>63540</xdr:rowOff>
    </xdr:from>
    <xdr:to>
      <xdr:col>0</xdr:col>
      <xdr:colOff>2004060</xdr:colOff>
      <xdr:row>1126</xdr:row>
      <xdr:rowOff>1285121</xdr:rowOff>
    </xdr:to>
    <xdr:pic>
      <xdr:nvPicPr>
        <xdr:cNvPr id="2253" name="Picture 2252" descr="Insight Picture 2252">
          <a:extLst>
            <a:ext uri="{FF2B5EF4-FFF2-40B4-BE49-F238E27FC236}">
              <a16:creationId xmlns:a16="http://schemas.microsoft.com/office/drawing/2014/main" id="{9AF5778C-24DA-6442-ABF3-2B78EE2DD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xfrm>
          <a:off x="632460" y="971247780"/>
          <a:ext cx="1371600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743188</xdr:colOff>
      <xdr:row>1127</xdr:row>
      <xdr:rowOff>60206</xdr:rowOff>
    </xdr:from>
    <xdr:to>
      <xdr:col>0</xdr:col>
      <xdr:colOff>1893332</xdr:colOff>
      <xdr:row>1127</xdr:row>
      <xdr:rowOff>838875</xdr:rowOff>
    </xdr:to>
    <xdr:pic>
      <xdr:nvPicPr>
        <xdr:cNvPr id="2255" name="Picture 2254" descr="Insight Picture 2254">
          <a:extLst>
            <a:ext uri="{FF2B5EF4-FFF2-40B4-BE49-F238E27FC236}">
              <a16:creationId xmlns:a16="http://schemas.microsoft.com/office/drawing/2014/main" id="{004C17C0-0EAC-D966-CF53-1D0C46AAE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/>
        <a:stretch>
          <a:fillRect/>
        </a:stretch>
      </xdr:blipFill>
      <xdr:spPr>
        <a:xfrm>
          <a:off x="743188" y="972593186"/>
          <a:ext cx="1150144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468153</xdr:colOff>
      <xdr:row>1128</xdr:row>
      <xdr:rowOff>61456</xdr:rowOff>
    </xdr:from>
    <xdr:to>
      <xdr:col>0</xdr:col>
      <xdr:colOff>2168366</xdr:colOff>
      <xdr:row>1128</xdr:row>
      <xdr:rowOff>875844</xdr:rowOff>
    </xdr:to>
    <xdr:pic>
      <xdr:nvPicPr>
        <xdr:cNvPr id="2257" name="Picture 2256" descr="Insight Picture 2256">
          <a:extLst>
            <a:ext uri="{FF2B5EF4-FFF2-40B4-BE49-F238E27FC236}">
              <a16:creationId xmlns:a16="http://schemas.microsoft.com/office/drawing/2014/main" id="{4529AB4B-0A92-9855-143E-B71DAE576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/>
        <a:stretch>
          <a:fillRect/>
        </a:stretch>
      </xdr:blipFill>
      <xdr:spPr>
        <a:xfrm>
          <a:off x="468153" y="973493596"/>
          <a:ext cx="1700213" cy="814388"/>
        </a:xfrm>
        <a:prstGeom prst="rect">
          <a:avLst/>
        </a:prstGeom>
      </xdr:spPr>
    </xdr:pic>
    <xdr:clientData/>
  </xdr:twoCellAnchor>
  <xdr:twoCellAnchor editAs="oneCell">
    <xdr:from>
      <xdr:col>0</xdr:col>
      <xdr:colOff>789622</xdr:colOff>
      <xdr:row>1129</xdr:row>
      <xdr:rowOff>60722</xdr:rowOff>
    </xdr:from>
    <xdr:to>
      <xdr:col>0</xdr:col>
      <xdr:colOff>1846897</xdr:colOff>
      <xdr:row>1129</xdr:row>
      <xdr:rowOff>853678</xdr:rowOff>
    </xdr:to>
    <xdr:pic>
      <xdr:nvPicPr>
        <xdr:cNvPr id="2259" name="Picture 2258" descr="Insight Picture 2258">
          <a:extLst>
            <a:ext uri="{FF2B5EF4-FFF2-40B4-BE49-F238E27FC236}">
              <a16:creationId xmlns:a16="http://schemas.microsoft.com/office/drawing/2014/main" id="{44B0CE27-A1C1-74B8-4510-759999E5D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/>
        <a:stretch>
          <a:fillRect/>
        </a:stretch>
      </xdr:blipFill>
      <xdr:spPr>
        <a:xfrm>
          <a:off x="789622" y="974430122"/>
          <a:ext cx="1057275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686038</xdr:colOff>
      <xdr:row>1130</xdr:row>
      <xdr:rowOff>63599</xdr:rowOff>
    </xdr:from>
    <xdr:to>
      <xdr:col>0</xdr:col>
      <xdr:colOff>1950482</xdr:colOff>
      <xdr:row>1130</xdr:row>
      <xdr:rowOff>942280</xdr:rowOff>
    </xdr:to>
    <xdr:pic>
      <xdr:nvPicPr>
        <xdr:cNvPr id="2261" name="Picture 2260" descr="Insight Picture 2260">
          <a:extLst>
            <a:ext uri="{FF2B5EF4-FFF2-40B4-BE49-F238E27FC236}">
              <a16:creationId xmlns:a16="http://schemas.microsoft.com/office/drawing/2014/main" id="{75472A7F-87C0-15E5-4669-7ED59FD56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/>
        <a:stretch>
          <a:fillRect/>
        </a:stretch>
      </xdr:blipFill>
      <xdr:spPr>
        <a:xfrm>
          <a:off x="686038" y="975347399"/>
          <a:ext cx="1264444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396716</xdr:colOff>
      <xdr:row>1131</xdr:row>
      <xdr:rowOff>60762</xdr:rowOff>
    </xdr:from>
    <xdr:to>
      <xdr:col>0</xdr:col>
      <xdr:colOff>2239804</xdr:colOff>
      <xdr:row>1131</xdr:row>
      <xdr:rowOff>853718</xdr:rowOff>
    </xdr:to>
    <xdr:pic>
      <xdr:nvPicPr>
        <xdr:cNvPr id="2263" name="Picture 2262" descr="Insight Picture 2262">
          <a:extLst>
            <a:ext uri="{FF2B5EF4-FFF2-40B4-BE49-F238E27FC236}">
              <a16:creationId xmlns:a16="http://schemas.microsoft.com/office/drawing/2014/main" id="{C9AE3896-99D4-6D89-A8B6-4E48C0CE1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/>
        <a:stretch>
          <a:fillRect/>
        </a:stretch>
      </xdr:blipFill>
      <xdr:spPr>
        <a:xfrm>
          <a:off x="396716" y="976350402"/>
          <a:ext cx="1843088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360997</xdr:colOff>
      <xdr:row>1132</xdr:row>
      <xdr:rowOff>63341</xdr:rowOff>
    </xdr:from>
    <xdr:to>
      <xdr:col>0</xdr:col>
      <xdr:colOff>2275522</xdr:colOff>
      <xdr:row>1132</xdr:row>
      <xdr:rowOff>934879</xdr:rowOff>
    </xdr:to>
    <xdr:pic>
      <xdr:nvPicPr>
        <xdr:cNvPr id="2265" name="Picture 2264" descr="Insight Picture 2264">
          <a:extLst>
            <a:ext uri="{FF2B5EF4-FFF2-40B4-BE49-F238E27FC236}">
              <a16:creationId xmlns:a16="http://schemas.microsoft.com/office/drawing/2014/main" id="{C6692163-9B1A-978E-F881-6230DFF76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/>
        <a:stretch>
          <a:fillRect/>
        </a:stretch>
      </xdr:blipFill>
      <xdr:spPr>
        <a:xfrm>
          <a:off x="360997" y="977267381"/>
          <a:ext cx="1914525" cy="871538"/>
        </a:xfrm>
        <a:prstGeom prst="rect">
          <a:avLst/>
        </a:prstGeom>
      </xdr:spPr>
    </xdr:pic>
    <xdr:clientData/>
  </xdr:twoCellAnchor>
  <xdr:twoCellAnchor editAs="oneCell">
    <xdr:from>
      <xdr:col>0</xdr:col>
      <xdr:colOff>464582</xdr:colOff>
      <xdr:row>1133</xdr:row>
      <xdr:rowOff>62369</xdr:rowOff>
    </xdr:from>
    <xdr:to>
      <xdr:col>0</xdr:col>
      <xdr:colOff>2171938</xdr:colOff>
      <xdr:row>1133</xdr:row>
      <xdr:rowOff>791032</xdr:rowOff>
    </xdr:to>
    <xdr:pic>
      <xdr:nvPicPr>
        <xdr:cNvPr id="2267" name="Picture 2266" descr="Insight Picture 2266">
          <a:extLst>
            <a:ext uri="{FF2B5EF4-FFF2-40B4-BE49-F238E27FC236}">
              <a16:creationId xmlns:a16="http://schemas.microsoft.com/office/drawing/2014/main" id="{0CEB72F5-5E7F-076F-9F1C-D2832AB0D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/>
        <a:stretch>
          <a:fillRect/>
        </a:stretch>
      </xdr:blipFill>
      <xdr:spPr>
        <a:xfrm>
          <a:off x="464582" y="978264629"/>
          <a:ext cx="1707356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439578</xdr:colOff>
      <xdr:row>1134</xdr:row>
      <xdr:rowOff>62409</xdr:rowOff>
    </xdr:from>
    <xdr:to>
      <xdr:col>0</xdr:col>
      <xdr:colOff>2196941</xdr:colOff>
      <xdr:row>1134</xdr:row>
      <xdr:rowOff>676772</xdr:rowOff>
    </xdr:to>
    <xdr:pic>
      <xdr:nvPicPr>
        <xdr:cNvPr id="2269" name="Picture 2268" descr="Insight Picture 2268">
          <a:extLst>
            <a:ext uri="{FF2B5EF4-FFF2-40B4-BE49-F238E27FC236}">
              <a16:creationId xmlns:a16="http://schemas.microsoft.com/office/drawing/2014/main" id="{43F7A94D-B356-8B4B-8B7F-1FC1A2B9B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/>
        <a:stretch>
          <a:fillRect/>
        </a:stretch>
      </xdr:blipFill>
      <xdr:spPr>
        <a:xfrm>
          <a:off x="439578" y="979118109"/>
          <a:ext cx="1757363" cy="614363"/>
        </a:xfrm>
        <a:prstGeom prst="rect">
          <a:avLst/>
        </a:prstGeom>
      </xdr:spPr>
    </xdr:pic>
    <xdr:clientData/>
  </xdr:twoCellAnchor>
  <xdr:twoCellAnchor editAs="oneCell">
    <xdr:from>
      <xdr:col>0</xdr:col>
      <xdr:colOff>736045</xdr:colOff>
      <xdr:row>1135</xdr:row>
      <xdr:rowOff>62151</xdr:rowOff>
    </xdr:from>
    <xdr:to>
      <xdr:col>0</xdr:col>
      <xdr:colOff>1900476</xdr:colOff>
      <xdr:row>1135</xdr:row>
      <xdr:rowOff>1240870</xdr:rowOff>
    </xdr:to>
    <xdr:pic>
      <xdr:nvPicPr>
        <xdr:cNvPr id="2271" name="Picture 2270" descr="Insight Picture 2270">
          <a:extLst>
            <a:ext uri="{FF2B5EF4-FFF2-40B4-BE49-F238E27FC236}">
              <a16:creationId xmlns:a16="http://schemas.microsoft.com/office/drawing/2014/main" id="{ABE5C014-C159-E211-FC76-38C44A10A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/>
        <a:stretch>
          <a:fillRect/>
        </a:stretch>
      </xdr:blipFill>
      <xdr:spPr>
        <a:xfrm>
          <a:off x="736045" y="979856991"/>
          <a:ext cx="1164431" cy="1178719"/>
        </a:xfrm>
        <a:prstGeom prst="rect">
          <a:avLst/>
        </a:prstGeom>
      </xdr:spPr>
    </xdr:pic>
    <xdr:clientData/>
  </xdr:twoCellAnchor>
  <xdr:twoCellAnchor editAs="oneCell">
    <xdr:from>
      <xdr:col>0</xdr:col>
      <xdr:colOff>793195</xdr:colOff>
      <xdr:row>1136</xdr:row>
      <xdr:rowOff>63857</xdr:rowOff>
    </xdr:from>
    <xdr:to>
      <xdr:col>0</xdr:col>
      <xdr:colOff>1843326</xdr:colOff>
      <xdr:row>1136</xdr:row>
      <xdr:rowOff>721082</xdr:rowOff>
    </xdr:to>
    <xdr:pic>
      <xdr:nvPicPr>
        <xdr:cNvPr id="2273" name="Picture 2272" descr="Insight Picture 2272">
          <a:extLst>
            <a:ext uri="{FF2B5EF4-FFF2-40B4-BE49-F238E27FC236}">
              <a16:creationId xmlns:a16="http://schemas.microsoft.com/office/drawing/2014/main" id="{3517218E-C6FF-6B33-47F1-CAAEF0C7D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/>
        <a:stretch>
          <a:fillRect/>
        </a:stretch>
      </xdr:blipFill>
      <xdr:spPr>
        <a:xfrm>
          <a:off x="793195" y="981161717"/>
          <a:ext cx="1050131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714613</xdr:colOff>
      <xdr:row>1137</xdr:row>
      <xdr:rowOff>63818</xdr:rowOff>
    </xdr:from>
    <xdr:to>
      <xdr:col>0</xdr:col>
      <xdr:colOff>1921907</xdr:colOff>
      <xdr:row>1137</xdr:row>
      <xdr:rowOff>721043</xdr:rowOff>
    </xdr:to>
    <xdr:pic>
      <xdr:nvPicPr>
        <xdr:cNvPr id="2275" name="Picture 2274" descr="Insight Picture 2274">
          <a:extLst>
            <a:ext uri="{FF2B5EF4-FFF2-40B4-BE49-F238E27FC236}">
              <a16:creationId xmlns:a16="http://schemas.microsoft.com/office/drawing/2014/main" id="{99EC8557-EB3A-3FA5-DD9B-FA45DEFA3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/>
        <a:stretch>
          <a:fillRect/>
        </a:stretch>
      </xdr:blipFill>
      <xdr:spPr>
        <a:xfrm>
          <a:off x="714613" y="981946538"/>
          <a:ext cx="1207294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693182</xdr:colOff>
      <xdr:row>1138</xdr:row>
      <xdr:rowOff>63778</xdr:rowOff>
    </xdr:from>
    <xdr:to>
      <xdr:col>0</xdr:col>
      <xdr:colOff>1943338</xdr:colOff>
      <xdr:row>1138</xdr:row>
      <xdr:rowOff>721003</xdr:rowOff>
    </xdr:to>
    <xdr:pic>
      <xdr:nvPicPr>
        <xdr:cNvPr id="2277" name="Picture 2276" descr="Insight Picture 2276">
          <a:extLst>
            <a:ext uri="{FF2B5EF4-FFF2-40B4-BE49-F238E27FC236}">
              <a16:creationId xmlns:a16="http://schemas.microsoft.com/office/drawing/2014/main" id="{D3B36800-DF62-D5E2-B359-079927700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/>
        <a:stretch>
          <a:fillRect/>
        </a:stretch>
      </xdr:blipFill>
      <xdr:spPr>
        <a:xfrm>
          <a:off x="693182" y="982731358"/>
          <a:ext cx="1250156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475297</xdr:colOff>
      <xdr:row>1139</xdr:row>
      <xdr:rowOff>61456</xdr:rowOff>
    </xdr:from>
    <xdr:to>
      <xdr:col>0</xdr:col>
      <xdr:colOff>2161222</xdr:colOff>
      <xdr:row>1139</xdr:row>
      <xdr:rowOff>1104444</xdr:rowOff>
    </xdr:to>
    <xdr:pic>
      <xdr:nvPicPr>
        <xdr:cNvPr id="2279" name="Picture 2278" descr="Insight Picture 2278">
          <a:extLst>
            <a:ext uri="{FF2B5EF4-FFF2-40B4-BE49-F238E27FC236}">
              <a16:creationId xmlns:a16="http://schemas.microsoft.com/office/drawing/2014/main" id="{061C2FC6-D8E9-7496-8A5C-9DACE0DF2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/>
        <a:stretch>
          <a:fillRect/>
        </a:stretch>
      </xdr:blipFill>
      <xdr:spPr>
        <a:xfrm>
          <a:off x="475297" y="983513896"/>
          <a:ext cx="1685925" cy="1042988"/>
        </a:xfrm>
        <a:prstGeom prst="rect">
          <a:avLst/>
        </a:prstGeom>
      </xdr:spPr>
    </xdr:pic>
    <xdr:clientData/>
  </xdr:twoCellAnchor>
  <xdr:twoCellAnchor editAs="oneCell">
    <xdr:from>
      <xdr:col>0</xdr:col>
      <xdr:colOff>418147</xdr:colOff>
      <xdr:row>1140</xdr:row>
      <xdr:rowOff>63302</xdr:rowOff>
    </xdr:from>
    <xdr:to>
      <xdr:col>0</xdr:col>
      <xdr:colOff>2218372</xdr:colOff>
      <xdr:row>1140</xdr:row>
      <xdr:rowOff>934840</xdr:rowOff>
    </xdr:to>
    <xdr:pic>
      <xdr:nvPicPr>
        <xdr:cNvPr id="2281" name="Picture 2280" descr="Insight Picture 2280">
          <a:extLst>
            <a:ext uri="{FF2B5EF4-FFF2-40B4-BE49-F238E27FC236}">
              <a16:creationId xmlns:a16="http://schemas.microsoft.com/office/drawing/2014/main" id="{A499D3DA-E026-87CE-7060-56D6F01F9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/>
        <a:stretch>
          <a:fillRect/>
        </a:stretch>
      </xdr:blipFill>
      <xdr:spPr>
        <a:xfrm>
          <a:off x="418147" y="984681602"/>
          <a:ext cx="1800225" cy="871538"/>
        </a:xfrm>
        <a:prstGeom prst="rect">
          <a:avLst/>
        </a:prstGeom>
      </xdr:spPr>
    </xdr:pic>
    <xdr:clientData/>
  </xdr:twoCellAnchor>
  <xdr:twoCellAnchor editAs="oneCell">
    <xdr:from>
      <xdr:col>0</xdr:col>
      <xdr:colOff>818198</xdr:colOff>
      <xdr:row>1141</xdr:row>
      <xdr:rowOff>60246</xdr:rowOff>
    </xdr:from>
    <xdr:to>
      <xdr:col>0</xdr:col>
      <xdr:colOff>1818323</xdr:colOff>
      <xdr:row>1141</xdr:row>
      <xdr:rowOff>724615</xdr:rowOff>
    </xdr:to>
    <xdr:pic>
      <xdr:nvPicPr>
        <xdr:cNvPr id="2283" name="Picture 2282" descr="Insight Picture 2282">
          <a:extLst>
            <a:ext uri="{FF2B5EF4-FFF2-40B4-BE49-F238E27FC236}">
              <a16:creationId xmlns:a16="http://schemas.microsoft.com/office/drawing/2014/main" id="{034ABF8E-82E6-5AF6-B71F-941C01B3F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/>
        <a:stretch>
          <a:fillRect/>
        </a:stretch>
      </xdr:blipFill>
      <xdr:spPr>
        <a:xfrm>
          <a:off x="818198" y="985676766"/>
          <a:ext cx="1000125" cy="664369"/>
        </a:xfrm>
        <a:prstGeom prst="rect">
          <a:avLst/>
        </a:prstGeom>
      </xdr:spPr>
    </xdr:pic>
    <xdr:clientData/>
  </xdr:twoCellAnchor>
  <xdr:twoCellAnchor editAs="oneCell">
    <xdr:from>
      <xdr:col>0</xdr:col>
      <xdr:colOff>832485</xdr:colOff>
      <xdr:row>1142</xdr:row>
      <xdr:rowOff>60206</xdr:rowOff>
    </xdr:from>
    <xdr:to>
      <xdr:col>0</xdr:col>
      <xdr:colOff>1804035</xdr:colOff>
      <xdr:row>1142</xdr:row>
      <xdr:rowOff>838875</xdr:rowOff>
    </xdr:to>
    <xdr:pic>
      <xdr:nvPicPr>
        <xdr:cNvPr id="2285" name="Picture 2284" descr="Insight Picture 2284">
          <a:extLst>
            <a:ext uri="{FF2B5EF4-FFF2-40B4-BE49-F238E27FC236}">
              <a16:creationId xmlns:a16="http://schemas.microsoft.com/office/drawing/2014/main" id="{C81CE087-2A60-1359-04AA-D21A97A7C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/>
        <a:stretch>
          <a:fillRect/>
        </a:stretch>
      </xdr:blipFill>
      <xdr:spPr>
        <a:xfrm>
          <a:off x="832485" y="986461586"/>
          <a:ext cx="971550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811053</xdr:colOff>
      <xdr:row>1143</xdr:row>
      <xdr:rowOff>61158</xdr:rowOff>
    </xdr:from>
    <xdr:to>
      <xdr:col>0</xdr:col>
      <xdr:colOff>1825466</xdr:colOff>
      <xdr:row>1143</xdr:row>
      <xdr:rowOff>754102</xdr:rowOff>
    </xdr:to>
    <xdr:pic>
      <xdr:nvPicPr>
        <xdr:cNvPr id="2287" name="Picture 2286" descr="Insight Picture 2286">
          <a:extLst>
            <a:ext uri="{FF2B5EF4-FFF2-40B4-BE49-F238E27FC236}">
              <a16:creationId xmlns:a16="http://schemas.microsoft.com/office/drawing/2014/main" id="{043935CE-4DC7-5C58-C556-F77F5F643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/>
        <a:stretch>
          <a:fillRect/>
        </a:stretch>
      </xdr:blipFill>
      <xdr:spPr>
        <a:xfrm>
          <a:off x="811053" y="987361698"/>
          <a:ext cx="1014413" cy="692944"/>
        </a:xfrm>
        <a:prstGeom prst="rect">
          <a:avLst/>
        </a:prstGeom>
      </xdr:spPr>
    </xdr:pic>
    <xdr:clientData/>
  </xdr:twoCellAnchor>
  <xdr:twoCellAnchor editAs="oneCell">
    <xdr:from>
      <xdr:col>0</xdr:col>
      <xdr:colOff>882491</xdr:colOff>
      <xdr:row>1144</xdr:row>
      <xdr:rowOff>62190</xdr:rowOff>
    </xdr:from>
    <xdr:to>
      <xdr:col>0</xdr:col>
      <xdr:colOff>1754029</xdr:colOff>
      <xdr:row>1144</xdr:row>
      <xdr:rowOff>898009</xdr:rowOff>
    </xdr:to>
    <xdr:pic>
      <xdr:nvPicPr>
        <xdr:cNvPr id="2289" name="Picture 2288" descr="Insight Picture 2288">
          <a:extLst>
            <a:ext uri="{FF2B5EF4-FFF2-40B4-BE49-F238E27FC236}">
              <a16:creationId xmlns:a16="http://schemas.microsoft.com/office/drawing/2014/main" id="{08D506E5-8692-5C65-49EC-F8BEC43C2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/>
        <a:stretch>
          <a:fillRect/>
        </a:stretch>
      </xdr:blipFill>
      <xdr:spPr>
        <a:xfrm>
          <a:off x="882491" y="988178070"/>
          <a:ext cx="871538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643175</xdr:colOff>
      <xdr:row>1145</xdr:row>
      <xdr:rowOff>60226</xdr:rowOff>
    </xdr:from>
    <xdr:to>
      <xdr:col>0</xdr:col>
      <xdr:colOff>1993344</xdr:colOff>
      <xdr:row>1145</xdr:row>
      <xdr:rowOff>838895</xdr:rowOff>
    </xdr:to>
    <xdr:pic>
      <xdr:nvPicPr>
        <xdr:cNvPr id="2291" name="Picture 2290" descr="Insight Picture 2290">
          <a:extLst>
            <a:ext uri="{FF2B5EF4-FFF2-40B4-BE49-F238E27FC236}">
              <a16:creationId xmlns:a16="http://schemas.microsoft.com/office/drawing/2014/main" id="{3283FF42-8156-771A-4F3D-856629258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/>
        <a:stretch>
          <a:fillRect/>
        </a:stretch>
      </xdr:blipFill>
      <xdr:spPr>
        <a:xfrm>
          <a:off x="643175" y="989136226"/>
          <a:ext cx="1350169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396716</xdr:colOff>
      <xdr:row>1146</xdr:row>
      <xdr:rowOff>62667</xdr:rowOff>
    </xdr:from>
    <xdr:to>
      <xdr:col>0</xdr:col>
      <xdr:colOff>2239804</xdr:colOff>
      <xdr:row>1146</xdr:row>
      <xdr:rowOff>798473</xdr:rowOff>
    </xdr:to>
    <xdr:pic>
      <xdr:nvPicPr>
        <xdr:cNvPr id="2293" name="Picture 2292" descr="Insight Picture 2292">
          <a:extLst>
            <a:ext uri="{FF2B5EF4-FFF2-40B4-BE49-F238E27FC236}">
              <a16:creationId xmlns:a16="http://schemas.microsoft.com/office/drawing/2014/main" id="{9D90B6CF-63BE-3F6E-980F-98883A555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/>
        <a:stretch>
          <a:fillRect/>
        </a:stretch>
      </xdr:blipFill>
      <xdr:spPr>
        <a:xfrm>
          <a:off x="396716" y="990037827"/>
          <a:ext cx="1843088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396716</xdr:colOff>
      <xdr:row>1147</xdr:row>
      <xdr:rowOff>61238</xdr:rowOff>
    </xdr:from>
    <xdr:to>
      <xdr:col>0</xdr:col>
      <xdr:colOff>2239804</xdr:colOff>
      <xdr:row>1147</xdr:row>
      <xdr:rowOff>754182</xdr:rowOff>
    </xdr:to>
    <xdr:pic>
      <xdr:nvPicPr>
        <xdr:cNvPr id="2295" name="Picture 2294" descr="Insight Picture 2294">
          <a:extLst>
            <a:ext uri="{FF2B5EF4-FFF2-40B4-BE49-F238E27FC236}">
              <a16:creationId xmlns:a16="http://schemas.microsoft.com/office/drawing/2014/main" id="{C6B81571-20FF-A56A-E8D1-B55BFD0A8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/>
        <a:stretch>
          <a:fillRect/>
        </a:stretch>
      </xdr:blipFill>
      <xdr:spPr>
        <a:xfrm>
          <a:off x="396716" y="990897458"/>
          <a:ext cx="1843088" cy="692944"/>
        </a:xfrm>
        <a:prstGeom prst="rect">
          <a:avLst/>
        </a:prstGeom>
      </xdr:spPr>
    </xdr:pic>
    <xdr:clientData/>
  </xdr:twoCellAnchor>
  <xdr:twoCellAnchor editAs="oneCell">
    <xdr:from>
      <xdr:col>0</xdr:col>
      <xdr:colOff>310991</xdr:colOff>
      <xdr:row>1148</xdr:row>
      <xdr:rowOff>63560</xdr:rowOff>
    </xdr:from>
    <xdr:to>
      <xdr:col>0</xdr:col>
      <xdr:colOff>2325529</xdr:colOff>
      <xdr:row>1148</xdr:row>
      <xdr:rowOff>599341</xdr:rowOff>
    </xdr:to>
    <xdr:pic>
      <xdr:nvPicPr>
        <xdr:cNvPr id="2297" name="Picture 2296" descr="Insight Picture 2296">
          <a:extLst>
            <a:ext uri="{FF2B5EF4-FFF2-40B4-BE49-F238E27FC236}">
              <a16:creationId xmlns:a16="http://schemas.microsoft.com/office/drawing/2014/main" id="{2692830E-2EA1-6469-ABF9-ADFFD14A8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/>
        <a:stretch>
          <a:fillRect/>
        </a:stretch>
      </xdr:blipFill>
      <xdr:spPr>
        <a:xfrm>
          <a:off x="310991" y="991715120"/>
          <a:ext cx="2014538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446722</xdr:colOff>
      <xdr:row>1149</xdr:row>
      <xdr:rowOff>62607</xdr:rowOff>
    </xdr:from>
    <xdr:to>
      <xdr:col>0</xdr:col>
      <xdr:colOff>2189797</xdr:colOff>
      <xdr:row>1149</xdr:row>
      <xdr:rowOff>684113</xdr:rowOff>
    </xdr:to>
    <xdr:pic>
      <xdr:nvPicPr>
        <xdr:cNvPr id="2299" name="Picture 2298" descr="Insight Picture 2298">
          <a:extLst>
            <a:ext uri="{FF2B5EF4-FFF2-40B4-BE49-F238E27FC236}">
              <a16:creationId xmlns:a16="http://schemas.microsoft.com/office/drawing/2014/main" id="{8592BED7-AC73-2C51-5924-5D74952F6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/>
        <a:stretch>
          <a:fillRect/>
        </a:stretch>
      </xdr:blipFill>
      <xdr:spPr>
        <a:xfrm>
          <a:off x="446722" y="992377107"/>
          <a:ext cx="1743075" cy="621506"/>
        </a:xfrm>
        <a:prstGeom prst="rect">
          <a:avLst/>
        </a:prstGeom>
      </xdr:spPr>
    </xdr:pic>
    <xdr:clientData/>
  </xdr:twoCellAnchor>
  <xdr:twoCellAnchor editAs="oneCell">
    <xdr:from>
      <xdr:col>0</xdr:col>
      <xdr:colOff>439578</xdr:colOff>
      <xdr:row>1150</xdr:row>
      <xdr:rowOff>63857</xdr:rowOff>
    </xdr:from>
    <xdr:to>
      <xdr:col>0</xdr:col>
      <xdr:colOff>2196941</xdr:colOff>
      <xdr:row>1150</xdr:row>
      <xdr:rowOff>721082</xdr:rowOff>
    </xdr:to>
    <xdr:pic>
      <xdr:nvPicPr>
        <xdr:cNvPr id="2301" name="Picture 2300" descr="Insight Picture 2300">
          <a:extLst>
            <a:ext uri="{FF2B5EF4-FFF2-40B4-BE49-F238E27FC236}">
              <a16:creationId xmlns:a16="http://schemas.microsoft.com/office/drawing/2014/main" id="{069FC63E-5D88-C6D9-1C3D-97D2F326B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/>
        <a:stretch>
          <a:fillRect/>
        </a:stretch>
      </xdr:blipFill>
      <xdr:spPr>
        <a:xfrm>
          <a:off x="439578" y="993125117"/>
          <a:ext cx="1757363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439578</xdr:colOff>
      <xdr:row>1151</xdr:row>
      <xdr:rowOff>62428</xdr:rowOff>
    </xdr:from>
    <xdr:to>
      <xdr:col>0</xdr:col>
      <xdr:colOff>2196941</xdr:colOff>
      <xdr:row>1151</xdr:row>
      <xdr:rowOff>676791</xdr:rowOff>
    </xdr:to>
    <xdr:pic>
      <xdr:nvPicPr>
        <xdr:cNvPr id="2303" name="Picture 2302" descr="Insight Picture 2302">
          <a:extLst>
            <a:ext uri="{FF2B5EF4-FFF2-40B4-BE49-F238E27FC236}">
              <a16:creationId xmlns:a16="http://schemas.microsoft.com/office/drawing/2014/main" id="{6022E216-36A0-1081-48A3-D44A95743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xfrm>
          <a:off x="439578" y="993908548"/>
          <a:ext cx="1757363" cy="614363"/>
        </a:xfrm>
        <a:prstGeom prst="rect">
          <a:avLst/>
        </a:prstGeom>
      </xdr:spPr>
    </xdr:pic>
    <xdr:clientData/>
  </xdr:twoCellAnchor>
  <xdr:twoCellAnchor editAs="oneCell">
    <xdr:from>
      <xdr:col>0</xdr:col>
      <xdr:colOff>407432</xdr:colOff>
      <xdr:row>1152</xdr:row>
      <xdr:rowOff>60980</xdr:rowOff>
    </xdr:from>
    <xdr:to>
      <xdr:col>0</xdr:col>
      <xdr:colOff>2229088</xdr:colOff>
      <xdr:row>1152</xdr:row>
      <xdr:rowOff>975380</xdr:rowOff>
    </xdr:to>
    <xdr:pic>
      <xdr:nvPicPr>
        <xdr:cNvPr id="2305" name="Picture 2304" descr="Insight Picture 2304">
          <a:extLst>
            <a:ext uri="{FF2B5EF4-FFF2-40B4-BE49-F238E27FC236}">
              <a16:creationId xmlns:a16="http://schemas.microsoft.com/office/drawing/2014/main" id="{876231CA-4781-27DF-8575-740F2F01F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/>
        <a:stretch>
          <a:fillRect/>
        </a:stretch>
      </xdr:blipFill>
      <xdr:spPr>
        <a:xfrm>
          <a:off x="407432" y="994646240"/>
          <a:ext cx="1821656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864632</xdr:colOff>
      <xdr:row>1153</xdr:row>
      <xdr:rowOff>63778</xdr:rowOff>
    </xdr:from>
    <xdr:to>
      <xdr:col>0</xdr:col>
      <xdr:colOff>1771888</xdr:colOff>
      <xdr:row>1153</xdr:row>
      <xdr:rowOff>835303</xdr:rowOff>
    </xdr:to>
    <xdr:pic>
      <xdr:nvPicPr>
        <xdr:cNvPr id="2307" name="Picture 2306" descr="Insight Picture 2306">
          <a:extLst>
            <a:ext uri="{FF2B5EF4-FFF2-40B4-BE49-F238E27FC236}">
              <a16:creationId xmlns:a16="http://schemas.microsoft.com/office/drawing/2014/main" id="{6DD3CBA6-AEBA-0EEB-32E8-D0F7287F1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/>
        <a:stretch>
          <a:fillRect/>
        </a:stretch>
      </xdr:blipFill>
      <xdr:spPr>
        <a:xfrm>
          <a:off x="864632" y="995685358"/>
          <a:ext cx="907256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918210</xdr:colOff>
      <xdr:row>1154</xdr:row>
      <xdr:rowOff>60960</xdr:rowOff>
    </xdr:from>
    <xdr:to>
      <xdr:col>0</xdr:col>
      <xdr:colOff>1718310</xdr:colOff>
      <xdr:row>1154</xdr:row>
      <xdr:rowOff>861060</xdr:rowOff>
    </xdr:to>
    <xdr:pic>
      <xdr:nvPicPr>
        <xdr:cNvPr id="2309" name="Picture 2308" descr="Insight Picture 2308">
          <a:extLst>
            <a:ext uri="{FF2B5EF4-FFF2-40B4-BE49-F238E27FC236}">
              <a16:creationId xmlns:a16="http://schemas.microsoft.com/office/drawing/2014/main" id="{7F28B5BB-AAA5-4C67-6929-B58C6BB48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/>
        <a:stretch>
          <a:fillRect/>
        </a:stretch>
      </xdr:blipFill>
      <xdr:spPr>
        <a:xfrm>
          <a:off x="918210" y="996581700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811053</xdr:colOff>
      <xdr:row>1155</xdr:row>
      <xdr:rowOff>60980</xdr:rowOff>
    </xdr:from>
    <xdr:to>
      <xdr:col>0</xdr:col>
      <xdr:colOff>1825466</xdr:colOff>
      <xdr:row>1155</xdr:row>
      <xdr:rowOff>861080</xdr:rowOff>
    </xdr:to>
    <xdr:pic>
      <xdr:nvPicPr>
        <xdr:cNvPr id="2311" name="Picture 2310" descr="Insight Picture 2310">
          <a:extLst>
            <a:ext uri="{FF2B5EF4-FFF2-40B4-BE49-F238E27FC236}">
              <a16:creationId xmlns:a16="http://schemas.microsoft.com/office/drawing/2014/main" id="{34881321-B1A4-4796-6455-035031379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/>
        <a:stretch>
          <a:fillRect/>
        </a:stretch>
      </xdr:blipFill>
      <xdr:spPr>
        <a:xfrm>
          <a:off x="811053" y="997503740"/>
          <a:ext cx="1014413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703897</xdr:colOff>
      <xdr:row>1156</xdr:row>
      <xdr:rowOff>62389</xdr:rowOff>
    </xdr:from>
    <xdr:to>
      <xdr:col>0</xdr:col>
      <xdr:colOff>1932622</xdr:colOff>
      <xdr:row>1156</xdr:row>
      <xdr:rowOff>1019652</xdr:rowOff>
    </xdr:to>
    <xdr:pic>
      <xdr:nvPicPr>
        <xdr:cNvPr id="2313" name="Picture 2312" descr="Insight Picture 2312">
          <a:extLst>
            <a:ext uri="{FF2B5EF4-FFF2-40B4-BE49-F238E27FC236}">
              <a16:creationId xmlns:a16="http://schemas.microsoft.com/office/drawing/2014/main" id="{623E51AC-3CA4-E885-4D89-98D548C1B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/>
        <a:stretch>
          <a:fillRect/>
        </a:stretch>
      </xdr:blipFill>
      <xdr:spPr>
        <a:xfrm>
          <a:off x="703897" y="998427169"/>
          <a:ext cx="1228725" cy="957263"/>
        </a:xfrm>
        <a:prstGeom prst="rect">
          <a:avLst/>
        </a:prstGeom>
      </xdr:spPr>
    </xdr:pic>
    <xdr:clientData/>
  </xdr:twoCellAnchor>
  <xdr:twoCellAnchor editAs="oneCell">
    <xdr:from>
      <xdr:col>0</xdr:col>
      <xdr:colOff>811053</xdr:colOff>
      <xdr:row>1157</xdr:row>
      <xdr:rowOff>62131</xdr:rowOff>
    </xdr:from>
    <xdr:to>
      <xdr:col>0</xdr:col>
      <xdr:colOff>1825466</xdr:colOff>
      <xdr:row>1157</xdr:row>
      <xdr:rowOff>897950</xdr:rowOff>
    </xdr:to>
    <xdr:pic>
      <xdr:nvPicPr>
        <xdr:cNvPr id="2315" name="Picture 2314" descr="Insight Picture 2314">
          <a:extLst>
            <a:ext uri="{FF2B5EF4-FFF2-40B4-BE49-F238E27FC236}">
              <a16:creationId xmlns:a16="http://schemas.microsoft.com/office/drawing/2014/main" id="{C03ACA35-688A-D354-B9B0-3AF3F42B4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/>
        <a:stretch>
          <a:fillRect/>
        </a:stretch>
      </xdr:blipFill>
      <xdr:spPr>
        <a:xfrm>
          <a:off x="811053" y="999508951"/>
          <a:ext cx="1014413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518160</xdr:colOff>
      <xdr:row>1158</xdr:row>
      <xdr:rowOff>60265</xdr:rowOff>
    </xdr:from>
    <xdr:to>
      <xdr:col>0</xdr:col>
      <xdr:colOff>2118360</xdr:colOff>
      <xdr:row>1158</xdr:row>
      <xdr:rowOff>496034</xdr:rowOff>
    </xdr:to>
    <xdr:pic>
      <xdr:nvPicPr>
        <xdr:cNvPr id="2317" name="Picture 2316" descr="Insight Picture 2316">
          <a:extLst>
            <a:ext uri="{FF2B5EF4-FFF2-40B4-BE49-F238E27FC236}">
              <a16:creationId xmlns:a16="http://schemas.microsoft.com/office/drawing/2014/main" id="{2C9D5716-5709-9F43-3D36-6CC34DA3F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/>
        <a:stretch>
          <a:fillRect/>
        </a:stretch>
      </xdr:blipFill>
      <xdr:spPr>
        <a:xfrm>
          <a:off x="518160" y="1000467205"/>
          <a:ext cx="1600200" cy="435769"/>
        </a:xfrm>
        <a:prstGeom prst="rect">
          <a:avLst/>
        </a:prstGeom>
      </xdr:spPr>
    </xdr:pic>
    <xdr:clientData/>
  </xdr:twoCellAnchor>
  <xdr:twoCellAnchor editAs="oneCell">
    <xdr:from>
      <xdr:col>0</xdr:col>
      <xdr:colOff>814625</xdr:colOff>
      <xdr:row>1159</xdr:row>
      <xdr:rowOff>61416</xdr:rowOff>
    </xdr:from>
    <xdr:to>
      <xdr:col>0</xdr:col>
      <xdr:colOff>1821894</xdr:colOff>
      <xdr:row>1159</xdr:row>
      <xdr:rowOff>761504</xdr:rowOff>
    </xdr:to>
    <xdr:pic>
      <xdr:nvPicPr>
        <xdr:cNvPr id="2319" name="Picture 2318" descr="Insight Picture 2318">
          <a:extLst>
            <a:ext uri="{FF2B5EF4-FFF2-40B4-BE49-F238E27FC236}">
              <a16:creationId xmlns:a16="http://schemas.microsoft.com/office/drawing/2014/main" id="{18F3AEAE-8EA6-7AE7-70B9-40F5C3DFE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/>
        <a:stretch>
          <a:fillRect/>
        </a:stretch>
      </xdr:blipFill>
      <xdr:spPr>
        <a:xfrm>
          <a:off x="814625" y="1001024616"/>
          <a:ext cx="1007269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793195</xdr:colOff>
      <xdr:row>1160</xdr:row>
      <xdr:rowOff>61476</xdr:rowOff>
    </xdr:from>
    <xdr:to>
      <xdr:col>0</xdr:col>
      <xdr:colOff>1843326</xdr:colOff>
      <xdr:row>1160</xdr:row>
      <xdr:rowOff>761564</xdr:rowOff>
    </xdr:to>
    <xdr:pic>
      <xdr:nvPicPr>
        <xdr:cNvPr id="2321" name="Picture 2320" descr="Insight Picture 2320">
          <a:extLst>
            <a:ext uri="{FF2B5EF4-FFF2-40B4-BE49-F238E27FC236}">
              <a16:creationId xmlns:a16="http://schemas.microsoft.com/office/drawing/2014/main" id="{1B40F849-0974-F3F3-5D35-EF70318C6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/>
        <a:stretch>
          <a:fillRect/>
        </a:stretch>
      </xdr:blipFill>
      <xdr:spPr>
        <a:xfrm>
          <a:off x="793195" y="1001847636"/>
          <a:ext cx="1050131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714613</xdr:colOff>
      <xdr:row>1161</xdr:row>
      <xdr:rowOff>61436</xdr:rowOff>
    </xdr:from>
    <xdr:to>
      <xdr:col>0</xdr:col>
      <xdr:colOff>1921907</xdr:colOff>
      <xdr:row>1161</xdr:row>
      <xdr:rowOff>761524</xdr:rowOff>
    </xdr:to>
    <xdr:pic>
      <xdr:nvPicPr>
        <xdr:cNvPr id="2323" name="Picture 2322" descr="Insight Picture 2322">
          <a:extLst>
            <a:ext uri="{FF2B5EF4-FFF2-40B4-BE49-F238E27FC236}">
              <a16:creationId xmlns:a16="http://schemas.microsoft.com/office/drawing/2014/main" id="{8790DF0B-7565-0D9B-E321-13EC88917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/>
        <a:stretch>
          <a:fillRect/>
        </a:stretch>
      </xdr:blipFill>
      <xdr:spPr>
        <a:xfrm>
          <a:off x="714613" y="1002670556"/>
          <a:ext cx="1207294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653891</xdr:colOff>
      <xdr:row>1162</xdr:row>
      <xdr:rowOff>62885</xdr:rowOff>
    </xdr:from>
    <xdr:to>
      <xdr:col>0</xdr:col>
      <xdr:colOff>1982629</xdr:colOff>
      <xdr:row>1162</xdr:row>
      <xdr:rowOff>805835</xdr:rowOff>
    </xdr:to>
    <xdr:pic>
      <xdr:nvPicPr>
        <xdr:cNvPr id="2325" name="Picture 2324" descr="Insight Picture 2324">
          <a:extLst>
            <a:ext uri="{FF2B5EF4-FFF2-40B4-BE49-F238E27FC236}">
              <a16:creationId xmlns:a16="http://schemas.microsoft.com/office/drawing/2014/main" id="{76B236FD-9AE8-F8FA-883E-94044F44E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/>
        <a:stretch>
          <a:fillRect/>
        </a:stretch>
      </xdr:blipFill>
      <xdr:spPr>
        <a:xfrm>
          <a:off x="653891" y="1003494965"/>
          <a:ext cx="1328738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668178</xdr:colOff>
      <xdr:row>1163</xdr:row>
      <xdr:rowOff>60484</xdr:rowOff>
    </xdr:from>
    <xdr:to>
      <xdr:col>0</xdr:col>
      <xdr:colOff>1968341</xdr:colOff>
      <xdr:row>1163</xdr:row>
      <xdr:rowOff>846297</xdr:rowOff>
    </xdr:to>
    <xdr:pic>
      <xdr:nvPicPr>
        <xdr:cNvPr id="2327" name="Picture 2326" descr="Insight Picture 2326">
          <a:extLst>
            <a:ext uri="{FF2B5EF4-FFF2-40B4-BE49-F238E27FC236}">
              <a16:creationId xmlns:a16="http://schemas.microsoft.com/office/drawing/2014/main" id="{ED7A5646-5F6B-FE64-F6F8-EC847AA83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/>
        <a:stretch>
          <a:fillRect/>
        </a:stretch>
      </xdr:blipFill>
      <xdr:spPr>
        <a:xfrm>
          <a:off x="668178" y="1004361244"/>
          <a:ext cx="1300163" cy="785813"/>
        </a:xfrm>
        <a:prstGeom prst="rect">
          <a:avLst/>
        </a:prstGeom>
      </xdr:spPr>
    </xdr:pic>
    <xdr:clientData/>
  </xdr:twoCellAnchor>
  <xdr:twoCellAnchor editAs="oneCell">
    <xdr:from>
      <xdr:col>0</xdr:col>
      <xdr:colOff>721757</xdr:colOff>
      <xdr:row>1164</xdr:row>
      <xdr:rowOff>61456</xdr:rowOff>
    </xdr:from>
    <xdr:to>
      <xdr:col>0</xdr:col>
      <xdr:colOff>1914763</xdr:colOff>
      <xdr:row>1164</xdr:row>
      <xdr:rowOff>990144</xdr:rowOff>
    </xdr:to>
    <xdr:pic>
      <xdr:nvPicPr>
        <xdr:cNvPr id="2329" name="Picture 2328" descr="Insight Picture 2328">
          <a:extLst>
            <a:ext uri="{FF2B5EF4-FFF2-40B4-BE49-F238E27FC236}">
              <a16:creationId xmlns:a16="http://schemas.microsoft.com/office/drawing/2014/main" id="{2DE19A33-BC72-B7D5-53DF-FD75D0351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/>
        <a:stretch>
          <a:fillRect/>
        </a:stretch>
      </xdr:blipFill>
      <xdr:spPr>
        <a:xfrm>
          <a:off x="721757" y="1005268996"/>
          <a:ext cx="1193006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639603</xdr:colOff>
      <xdr:row>1165</xdr:row>
      <xdr:rowOff>61218</xdr:rowOff>
    </xdr:from>
    <xdr:to>
      <xdr:col>0</xdr:col>
      <xdr:colOff>1996916</xdr:colOff>
      <xdr:row>1165</xdr:row>
      <xdr:rowOff>1097062</xdr:rowOff>
    </xdr:to>
    <xdr:pic>
      <xdr:nvPicPr>
        <xdr:cNvPr id="2331" name="Picture 2330" descr="Insight Picture 2330">
          <a:extLst>
            <a:ext uri="{FF2B5EF4-FFF2-40B4-BE49-F238E27FC236}">
              <a16:creationId xmlns:a16="http://schemas.microsoft.com/office/drawing/2014/main" id="{AD3A525B-942B-D9CD-CF06-9501F575D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/>
        <a:stretch>
          <a:fillRect/>
        </a:stretch>
      </xdr:blipFill>
      <xdr:spPr>
        <a:xfrm>
          <a:off x="639603" y="1006320318"/>
          <a:ext cx="1357313" cy="1035844"/>
        </a:xfrm>
        <a:prstGeom prst="rect">
          <a:avLst/>
        </a:prstGeom>
      </xdr:spPr>
    </xdr:pic>
    <xdr:clientData/>
  </xdr:twoCellAnchor>
  <xdr:twoCellAnchor editAs="oneCell">
    <xdr:from>
      <xdr:col>0</xdr:col>
      <xdr:colOff>771763</xdr:colOff>
      <xdr:row>1166</xdr:row>
      <xdr:rowOff>63540</xdr:rowOff>
    </xdr:from>
    <xdr:to>
      <xdr:col>0</xdr:col>
      <xdr:colOff>1864757</xdr:colOff>
      <xdr:row>1166</xdr:row>
      <xdr:rowOff>1285121</xdr:rowOff>
    </xdr:to>
    <xdr:pic>
      <xdr:nvPicPr>
        <xdr:cNvPr id="2333" name="Picture 2332" descr="Insight Picture 2332">
          <a:extLst>
            <a:ext uri="{FF2B5EF4-FFF2-40B4-BE49-F238E27FC236}">
              <a16:creationId xmlns:a16="http://schemas.microsoft.com/office/drawing/2014/main" id="{3E871373-8C41-0F44-8841-4A39D8285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/>
        <a:stretch>
          <a:fillRect/>
        </a:stretch>
      </xdr:blipFill>
      <xdr:spPr>
        <a:xfrm>
          <a:off x="771763" y="1007480880"/>
          <a:ext cx="1092994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789622</xdr:colOff>
      <xdr:row>1167</xdr:row>
      <xdr:rowOff>61893</xdr:rowOff>
    </xdr:from>
    <xdr:to>
      <xdr:col>0</xdr:col>
      <xdr:colOff>1846897</xdr:colOff>
      <xdr:row>1167</xdr:row>
      <xdr:rowOff>776268</xdr:rowOff>
    </xdr:to>
    <xdr:pic>
      <xdr:nvPicPr>
        <xdr:cNvPr id="2335" name="Picture 2334" descr="Insight Picture 2334">
          <a:extLst>
            <a:ext uri="{FF2B5EF4-FFF2-40B4-BE49-F238E27FC236}">
              <a16:creationId xmlns:a16="http://schemas.microsoft.com/office/drawing/2014/main" id="{5D8262E5-F7AD-329F-127B-4BAF0720F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/>
        <a:stretch>
          <a:fillRect/>
        </a:stretch>
      </xdr:blipFill>
      <xdr:spPr>
        <a:xfrm>
          <a:off x="789622" y="1008827973"/>
          <a:ext cx="105727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1021795</xdr:colOff>
      <xdr:row>1168</xdr:row>
      <xdr:rowOff>62190</xdr:rowOff>
    </xdr:from>
    <xdr:to>
      <xdr:col>0</xdr:col>
      <xdr:colOff>1614726</xdr:colOff>
      <xdr:row>1168</xdr:row>
      <xdr:rowOff>669409</xdr:rowOff>
    </xdr:to>
    <xdr:pic>
      <xdr:nvPicPr>
        <xdr:cNvPr id="2337" name="Picture 2336" descr="Insight Picture 2336">
          <a:extLst>
            <a:ext uri="{FF2B5EF4-FFF2-40B4-BE49-F238E27FC236}">
              <a16:creationId xmlns:a16="http://schemas.microsoft.com/office/drawing/2014/main" id="{A96C9F43-E363-78FC-9328-3679365B6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/>
        <a:stretch>
          <a:fillRect/>
        </a:stretch>
      </xdr:blipFill>
      <xdr:spPr>
        <a:xfrm>
          <a:off x="1021795" y="1009666470"/>
          <a:ext cx="592931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936070</xdr:colOff>
      <xdr:row>1169</xdr:row>
      <xdr:rowOff>63103</xdr:rowOff>
    </xdr:from>
    <xdr:to>
      <xdr:col>0</xdr:col>
      <xdr:colOff>1700451</xdr:colOff>
      <xdr:row>1169</xdr:row>
      <xdr:rowOff>698897</xdr:rowOff>
    </xdr:to>
    <xdr:pic>
      <xdr:nvPicPr>
        <xdr:cNvPr id="2339" name="Picture 2338" descr="Insight Picture 2338">
          <a:extLst>
            <a:ext uri="{FF2B5EF4-FFF2-40B4-BE49-F238E27FC236}">
              <a16:creationId xmlns:a16="http://schemas.microsoft.com/office/drawing/2014/main" id="{663DA818-5F25-1336-C654-B7A9921EC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/>
        <a:stretch>
          <a:fillRect/>
        </a:stretch>
      </xdr:blipFill>
      <xdr:spPr>
        <a:xfrm>
          <a:off x="936070" y="1010398903"/>
          <a:ext cx="764381" cy="635794"/>
        </a:xfrm>
        <a:prstGeom prst="rect">
          <a:avLst/>
        </a:prstGeom>
      </xdr:spPr>
    </xdr:pic>
    <xdr:clientData/>
  </xdr:twoCellAnchor>
  <xdr:twoCellAnchor editAs="oneCell">
    <xdr:from>
      <xdr:col>0</xdr:col>
      <xdr:colOff>596741</xdr:colOff>
      <xdr:row>1170</xdr:row>
      <xdr:rowOff>63103</xdr:rowOff>
    </xdr:from>
    <xdr:to>
      <xdr:col>0</xdr:col>
      <xdr:colOff>2039779</xdr:colOff>
      <xdr:row>1170</xdr:row>
      <xdr:rowOff>813197</xdr:rowOff>
    </xdr:to>
    <xdr:pic>
      <xdr:nvPicPr>
        <xdr:cNvPr id="2341" name="Picture 2340" descr="Insight Picture 2340">
          <a:extLst>
            <a:ext uri="{FF2B5EF4-FFF2-40B4-BE49-F238E27FC236}">
              <a16:creationId xmlns:a16="http://schemas.microsoft.com/office/drawing/2014/main" id="{445B424C-5A99-0573-24E3-AD970C1CC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/>
        <a:stretch>
          <a:fillRect/>
        </a:stretch>
      </xdr:blipFill>
      <xdr:spPr>
        <a:xfrm>
          <a:off x="596741" y="1011160903"/>
          <a:ext cx="1443038" cy="750094"/>
        </a:xfrm>
        <a:prstGeom prst="rect">
          <a:avLst/>
        </a:prstGeom>
      </xdr:spPr>
    </xdr:pic>
    <xdr:clientData/>
  </xdr:twoCellAnchor>
  <xdr:twoCellAnchor editAs="oneCell">
    <xdr:from>
      <xdr:col>0</xdr:col>
      <xdr:colOff>778907</xdr:colOff>
      <xdr:row>1171</xdr:row>
      <xdr:rowOff>62409</xdr:rowOff>
    </xdr:from>
    <xdr:to>
      <xdr:col>0</xdr:col>
      <xdr:colOff>1857613</xdr:colOff>
      <xdr:row>1171</xdr:row>
      <xdr:rowOff>1133972</xdr:rowOff>
    </xdr:to>
    <xdr:pic>
      <xdr:nvPicPr>
        <xdr:cNvPr id="2343" name="Picture 2342" descr="Insight Picture 2342">
          <a:extLst>
            <a:ext uri="{FF2B5EF4-FFF2-40B4-BE49-F238E27FC236}">
              <a16:creationId xmlns:a16="http://schemas.microsoft.com/office/drawing/2014/main" id="{274A1B18-8812-F992-A4D3-A830C9ECB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/>
        <a:stretch>
          <a:fillRect/>
        </a:stretch>
      </xdr:blipFill>
      <xdr:spPr>
        <a:xfrm>
          <a:off x="778907" y="1012036509"/>
          <a:ext cx="1078706" cy="1071563"/>
        </a:xfrm>
        <a:prstGeom prst="rect">
          <a:avLst/>
        </a:prstGeom>
      </xdr:spPr>
    </xdr:pic>
    <xdr:clientData/>
  </xdr:twoCellAnchor>
  <xdr:twoCellAnchor editAs="oneCell">
    <xdr:from>
      <xdr:col>0</xdr:col>
      <xdr:colOff>800338</xdr:colOff>
      <xdr:row>1172</xdr:row>
      <xdr:rowOff>61655</xdr:rowOff>
    </xdr:from>
    <xdr:to>
      <xdr:col>0</xdr:col>
      <xdr:colOff>1836182</xdr:colOff>
      <xdr:row>1172</xdr:row>
      <xdr:rowOff>540286</xdr:rowOff>
    </xdr:to>
    <xdr:pic>
      <xdr:nvPicPr>
        <xdr:cNvPr id="2345" name="Picture 2344" descr="Insight Picture 2344">
          <a:extLst>
            <a:ext uri="{FF2B5EF4-FFF2-40B4-BE49-F238E27FC236}">
              <a16:creationId xmlns:a16="http://schemas.microsoft.com/office/drawing/2014/main" id="{960AF4B1-4A1D-23AA-FD4A-66B60FD5A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/>
        <a:stretch>
          <a:fillRect/>
        </a:stretch>
      </xdr:blipFill>
      <xdr:spPr>
        <a:xfrm>
          <a:off x="800338" y="1013232095"/>
          <a:ext cx="1035844" cy="478631"/>
        </a:xfrm>
        <a:prstGeom prst="rect">
          <a:avLst/>
        </a:prstGeom>
      </xdr:spPr>
    </xdr:pic>
    <xdr:clientData/>
  </xdr:twoCellAnchor>
  <xdr:twoCellAnchor editAs="oneCell">
    <xdr:from>
      <xdr:col>0</xdr:col>
      <xdr:colOff>732472</xdr:colOff>
      <xdr:row>1173</xdr:row>
      <xdr:rowOff>60940</xdr:rowOff>
    </xdr:from>
    <xdr:to>
      <xdr:col>0</xdr:col>
      <xdr:colOff>1904047</xdr:colOff>
      <xdr:row>1173</xdr:row>
      <xdr:rowOff>632440</xdr:rowOff>
    </xdr:to>
    <xdr:pic>
      <xdr:nvPicPr>
        <xdr:cNvPr id="2347" name="Picture 2346" descr="Insight Picture 2346">
          <a:extLst>
            <a:ext uri="{FF2B5EF4-FFF2-40B4-BE49-F238E27FC236}">
              <a16:creationId xmlns:a16="http://schemas.microsoft.com/office/drawing/2014/main" id="{18A7780C-F512-1113-2A22-B2242930D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/>
        <a:stretch>
          <a:fillRect/>
        </a:stretch>
      </xdr:blipFill>
      <xdr:spPr>
        <a:xfrm>
          <a:off x="732472" y="1013833360"/>
          <a:ext cx="117157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521732</xdr:colOff>
      <xdr:row>1174</xdr:row>
      <xdr:rowOff>62151</xdr:rowOff>
    </xdr:from>
    <xdr:to>
      <xdr:col>0</xdr:col>
      <xdr:colOff>2114788</xdr:colOff>
      <xdr:row>1174</xdr:row>
      <xdr:rowOff>897970</xdr:rowOff>
    </xdr:to>
    <xdr:pic>
      <xdr:nvPicPr>
        <xdr:cNvPr id="2349" name="Picture 2348" descr="Insight Picture 2348">
          <a:extLst>
            <a:ext uri="{FF2B5EF4-FFF2-40B4-BE49-F238E27FC236}">
              <a16:creationId xmlns:a16="http://schemas.microsoft.com/office/drawing/2014/main" id="{59D754F7-8C28-87DF-668C-F828760A8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/>
        <a:stretch>
          <a:fillRect/>
        </a:stretch>
      </xdr:blipFill>
      <xdr:spPr>
        <a:xfrm>
          <a:off x="521732" y="1014527991"/>
          <a:ext cx="1593056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389572</xdr:colOff>
      <xdr:row>1175</xdr:row>
      <xdr:rowOff>63361</xdr:rowOff>
    </xdr:from>
    <xdr:to>
      <xdr:col>0</xdr:col>
      <xdr:colOff>2246947</xdr:colOff>
      <xdr:row>1175</xdr:row>
      <xdr:rowOff>934899</xdr:rowOff>
    </xdr:to>
    <xdr:pic>
      <xdr:nvPicPr>
        <xdr:cNvPr id="2351" name="Picture 2350" descr="Insight Picture 2350">
          <a:extLst>
            <a:ext uri="{FF2B5EF4-FFF2-40B4-BE49-F238E27FC236}">
              <a16:creationId xmlns:a16="http://schemas.microsoft.com/office/drawing/2014/main" id="{B9297122-85A1-2D5C-F308-4568CF9B5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/>
        <a:stretch>
          <a:fillRect/>
        </a:stretch>
      </xdr:blipFill>
      <xdr:spPr>
        <a:xfrm>
          <a:off x="389572" y="1015489321"/>
          <a:ext cx="1857375" cy="871538"/>
        </a:xfrm>
        <a:prstGeom prst="rect">
          <a:avLst/>
        </a:prstGeom>
      </xdr:spPr>
    </xdr:pic>
    <xdr:clientData/>
  </xdr:twoCellAnchor>
  <xdr:twoCellAnchor editAs="oneCell">
    <xdr:from>
      <xdr:col>0</xdr:col>
      <xdr:colOff>275272</xdr:colOff>
      <xdr:row>1176</xdr:row>
      <xdr:rowOff>60702</xdr:rowOff>
    </xdr:from>
    <xdr:to>
      <xdr:col>0</xdr:col>
      <xdr:colOff>2361247</xdr:colOff>
      <xdr:row>1176</xdr:row>
      <xdr:rowOff>739358</xdr:rowOff>
    </xdr:to>
    <xdr:pic>
      <xdr:nvPicPr>
        <xdr:cNvPr id="2353" name="Picture 2352" descr="Insight Picture 2352">
          <a:extLst>
            <a:ext uri="{FF2B5EF4-FFF2-40B4-BE49-F238E27FC236}">
              <a16:creationId xmlns:a16="http://schemas.microsoft.com/office/drawing/2014/main" id="{B26890DA-FBE8-BCA6-EA02-BAAA0ED25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/>
        <a:stretch>
          <a:fillRect/>
        </a:stretch>
      </xdr:blipFill>
      <xdr:spPr>
        <a:xfrm>
          <a:off x="275272" y="1016484882"/>
          <a:ext cx="2085975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264557</xdr:colOff>
      <xdr:row>1177</xdr:row>
      <xdr:rowOff>61694</xdr:rowOff>
    </xdr:from>
    <xdr:to>
      <xdr:col>0</xdr:col>
      <xdr:colOff>2371963</xdr:colOff>
      <xdr:row>1177</xdr:row>
      <xdr:rowOff>768925</xdr:rowOff>
    </xdr:to>
    <xdr:pic>
      <xdr:nvPicPr>
        <xdr:cNvPr id="2355" name="Picture 2354" descr="Insight Picture 2354">
          <a:extLst>
            <a:ext uri="{FF2B5EF4-FFF2-40B4-BE49-F238E27FC236}">
              <a16:creationId xmlns:a16="http://schemas.microsoft.com/office/drawing/2014/main" id="{B2AD0CB2-E740-DC70-2123-BF95D3E92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/>
        <a:stretch>
          <a:fillRect/>
        </a:stretch>
      </xdr:blipFill>
      <xdr:spPr>
        <a:xfrm>
          <a:off x="264557" y="1017285974"/>
          <a:ext cx="2107406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525303</xdr:colOff>
      <xdr:row>1178</xdr:row>
      <xdr:rowOff>60484</xdr:rowOff>
    </xdr:from>
    <xdr:to>
      <xdr:col>0</xdr:col>
      <xdr:colOff>2111216</xdr:colOff>
      <xdr:row>1178</xdr:row>
      <xdr:rowOff>731997</xdr:rowOff>
    </xdr:to>
    <xdr:pic>
      <xdr:nvPicPr>
        <xdr:cNvPr id="2357" name="Picture 2356" descr="Insight Picture 2356">
          <a:extLst>
            <a:ext uri="{FF2B5EF4-FFF2-40B4-BE49-F238E27FC236}">
              <a16:creationId xmlns:a16="http://schemas.microsoft.com/office/drawing/2014/main" id="{1638475D-CD28-EB2A-970E-F0DE94FAD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/>
        <a:stretch>
          <a:fillRect/>
        </a:stretch>
      </xdr:blipFill>
      <xdr:spPr>
        <a:xfrm>
          <a:off x="525303" y="1018115344"/>
          <a:ext cx="1585913" cy="671513"/>
        </a:xfrm>
        <a:prstGeom prst="rect">
          <a:avLst/>
        </a:prstGeom>
      </xdr:spPr>
    </xdr:pic>
    <xdr:clientData/>
  </xdr:twoCellAnchor>
  <xdr:twoCellAnchor editAs="oneCell">
    <xdr:from>
      <xdr:col>0</xdr:col>
      <xdr:colOff>461010</xdr:colOff>
      <xdr:row>1179</xdr:row>
      <xdr:rowOff>61456</xdr:rowOff>
    </xdr:from>
    <xdr:to>
      <xdr:col>0</xdr:col>
      <xdr:colOff>2175510</xdr:colOff>
      <xdr:row>1179</xdr:row>
      <xdr:rowOff>761544</xdr:rowOff>
    </xdr:to>
    <xdr:pic>
      <xdr:nvPicPr>
        <xdr:cNvPr id="2359" name="Picture 2358" descr="Insight Picture 2358">
          <a:extLst>
            <a:ext uri="{FF2B5EF4-FFF2-40B4-BE49-F238E27FC236}">
              <a16:creationId xmlns:a16="http://schemas.microsoft.com/office/drawing/2014/main" id="{07011E38-1209-97B8-44EA-1DF8F41A1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/>
        <a:stretch>
          <a:fillRect/>
        </a:stretch>
      </xdr:blipFill>
      <xdr:spPr>
        <a:xfrm>
          <a:off x="461010" y="1018908796"/>
          <a:ext cx="1714500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571738</xdr:colOff>
      <xdr:row>1180</xdr:row>
      <xdr:rowOff>61416</xdr:rowOff>
    </xdr:from>
    <xdr:to>
      <xdr:col>0</xdr:col>
      <xdr:colOff>2064782</xdr:colOff>
      <xdr:row>1180</xdr:row>
      <xdr:rowOff>761504</xdr:rowOff>
    </xdr:to>
    <xdr:pic>
      <xdr:nvPicPr>
        <xdr:cNvPr id="2361" name="Picture 2360" descr="Insight Picture 2360">
          <a:extLst>
            <a:ext uri="{FF2B5EF4-FFF2-40B4-BE49-F238E27FC236}">
              <a16:creationId xmlns:a16="http://schemas.microsoft.com/office/drawing/2014/main" id="{D8658B8F-1E06-D419-86CD-DECB2276B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/>
        <a:stretch>
          <a:fillRect/>
        </a:stretch>
      </xdr:blipFill>
      <xdr:spPr>
        <a:xfrm>
          <a:off x="571738" y="1019731716"/>
          <a:ext cx="1493044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621745</xdr:colOff>
      <xdr:row>1181</xdr:row>
      <xdr:rowOff>62667</xdr:rowOff>
    </xdr:from>
    <xdr:to>
      <xdr:col>0</xdr:col>
      <xdr:colOff>2014776</xdr:colOff>
      <xdr:row>1181</xdr:row>
      <xdr:rowOff>1141373</xdr:rowOff>
    </xdr:to>
    <xdr:pic>
      <xdr:nvPicPr>
        <xdr:cNvPr id="2363" name="Picture 2362" descr="Insight Picture 2362">
          <a:extLst>
            <a:ext uri="{FF2B5EF4-FFF2-40B4-BE49-F238E27FC236}">
              <a16:creationId xmlns:a16="http://schemas.microsoft.com/office/drawing/2014/main" id="{1F25C73D-429A-6766-0074-C1BA4C380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/>
        <a:stretch>
          <a:fillRect/>
        </a:stretch>
      </xdr:blipFill>
      <xdr:spPr>
        <a:xfrm>
          <a:off x="621745" y="1020555927"/>
          <a:ext cx="1393031" cy="1078706"/>
        </a:xfrm>
        <a:prstGeom prst="rect">
          <a:avLst/>
        </a:prstGeom>
      </xdr:spPr>
    </xdr:pic>
    <xdr:clientData/>
  </xdr:twoCellAnchor>
  <xdr:twoCellAnchor editAs="oneCell">
    <xdr:from>
      <xdr:col>0</xdr:col>
      <xdr:colOff>864632</xdr:colOff>
      <xdr:row>1182</xdr:row>
      <xdr:rowOff>60444</xdr:rowOff>
    </xdr:from>
    <xdr:to>
      <xdr:col>0</xdr:col>
      <xdr:colOff>1771888</xdr:colOff>
      <xdr:row>1182</xdr:row>
      <xdr:rowOff>846257</xdr:rowOff>
    </xdr:to>
    <xdr:pic>
      <xdr:nvPicPr>
        <xdr:cNvPr id="2365" name="Picture 2364" descr="Insight Picture 2364">
          <a:extLst>
            <a:ext uri="{FF2B5EF4-FFF2-40B4-BE49-F238E27FC236}">
              <a16:creationId xmlns:a16="http://schemas.microsoft.com/office/drawing/2014/main" id="{0C110171-533A-3EAF-A217-E0594AC53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/>
        <a:stretch>
          <a:fillRect/>
        </a:stretch>
      </xdr:blipFill>
      <xdr:spPr>
        <a:xfrm>
          <a:off x="864632" y="1021757664"/>
          <a:ext cx="907256" cy="785813"/>
        </a:xfrm>
        <a:prstGeom prst="rect">
          <a:avLst/>
        </a:prstGeom>
      </xdr:spPr>
    </xdr:pic>
    <xdr:clientData/>
  </xdr:twoCellAnchor>
  <xdr:twoCellAnchor editAs="oneCell">
    <xdr:from>
      <xdr:col>0</xdr:col>
      <xdr:colOff>957500</xdr:colOff>
      <xdr:row>1183</xdr:row>
      <xdr:rowOff>62905</xdr:rowOff>
    </xdr:from>
    <xdr:to>
      <xdr:col>0</xdr:col>
      <xdr:colOff>1679019</xdr:colOff>
      <xdr:row>1183</xdr:row>
      <xdr:rowOff>805855</xdr:rowOff>
    </xdr:to>
    <xdr:pic>
      <xdr:nvPicPr>
        <xdr:cNvPr id="2367" name="Picture 2366" descr="Insight Picture 2366">
          <a:extLst>
            <a:ext uri="{FF2B5EF4-FFF2-40B4-BE49-F238E27FC236}">
              <a16:creationId xmlns:a16="http://schemas.microsoft.com/office/drawing/2014/main" id="{B765D432-0ADF-0893-935C-9CBC49CAC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/>
        <a:stretch>
          <a:fillRect/>
        </a:stretch>
      </xdr:blipFill>
      <xdr:spPr>
        <a:xfrm>
          <a:off x="957500" y="1022666905"/>
          <a:ext cx="721519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628888</xdr:colOff>
      <xdr:row>1184</xdr:row>
      <xdr:rowOff>61694</xdr:rowOff>
    </xdr:from>
    <xdr:to>
      <xdr:col>0</xdr:col>
      <xdr:colOff>2007632</xdr:colOff>
      <xdr:row>1184</xdr:row>
      <xdr:rowOff>997525</xdr:rowOff>
    </xdr:to>
    <xdr:pic>
      <xdr:nvPicPr>
        <xdr:cNvPr id="2369" name="Picture 2368" descr="Insight Picture 2368">
          <a:extLst>
            <a:ext uri="{FF2B5EF4-FFF2-40B4-BE49-F238E27FC236}">
              <a16:creationId xmlns:a16="http://schemas.microsoft.com/office/drawing/2014/main" id="{8B2E1F88-755D-C05F-1543-395F5F811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/>
        <a:stretch>
          <a:fillRect/>
        </a:stretch>
      </xdr:blipFill>
      <xdr:spPr>
        <a:xfrm>
          <a:off x="628888" y="1023534374"/>
          <a:ext cx="1378744" cy="935831"/>
        </a:xfrm>
        <a:prstGeom prst="rect">
          <a:avLst/>
        </a:prstGeom>
      </xdr:spPr>
    </xdr:pic>
    <xdr:clientData/>
  </xdr:twoCellAnchor>
  <xdr:twoCellAnchor editAs="oneCell">
    <xdr:from>
      <xdr:col>0</xdr:col>
      <xdr:colOff>793195</xdr:colOff>
      <xdr:row>1185</xdr:row>
      <xdr:rowOff>60484</xdr:rowOff>
    </xdr:from>
    <xdr:to>
      <xdr:col>0</xdr:col>
      <xdr:colOff>1843326</xdr:colOff>
      <xdr:row>1185</xdr:row>
      <xdr:rowOff>846297</xdr:rowOff>
    </xdr:to>
    <xdr:pic>
      <xdr:nvPicPr>
        <xdr:cNvPr id="2371" name="Picture 2370" descr="Insight Picture 2370">
          <a:extLst>
            <a:ext uri="{FF2B5EF4-FFF2-40B4-BE49-F238E27FC236}">
              <a16:creationId xmlns:a16="http://schemas.microsoft.com/office/drawing/2014/main" id="{ED5DE27B-7E5B-2187-A7D8-CCFFA70F0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/>
        <a:stretch>
          <a:fillRect/>
        </a:stretch>
      </xdr:blipFill>
      <xdr:spPr>
        <a:xfrm>
          <a:off x="793195" y="1024592344"/>
          <a:ext cx="1050131" cy="785813"/>
        </a:xfrm>
        <a:prstGeom prst="rect">
          <a:avLst/>
        </a:prstGeom>
      </xdr:spPr>
    </xdr:pic>
    <xdr:clientData/>
  </xdr:twoCellAnchor>
  <xdr:twoCellAnchor editAs="oneCell">
    <xdr:from>
      <xdr:col>0</xdr:col>
      <xdr:colOff>828913</xdr:colOff>
      <xdr:row>1186</xdr:row>
      <xdr:rowOff>61456</xdr:rowOff>
    </xdr:from>
    <xdr:to>
      <xdr:col>0</xdr:col>
      <xdr:colOff>1807607</xdr:colOff>
      <xdr:row>1186</xdr:row>
      <xdr:rowOff>990144</xdr:rowOff>
    </xdr:to>
    <xdr:pic>
      <xdr:nvPicPr>
        <xdr:cNvPr id="2373" name="Picture 2372" descr="Insight Picture 2372">
          <a:extLst>
            <a:ext uri="{FF2B5EF4-FFF2-40B4-BE49-F238E27FC236}">
              <a16:creationId xmlns:a16="http://schemas.microsoft.com/office/drawing/2014/main" id="{77CD2CE1-6CD4-4E6B-C4F4-3D75A982E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/>
        <a:stretch>
          <a:fillRect/>
        </a:stretch>
      </xdr:blipFill>
      <xdr:spPr>
        <a:xfrm>
          <a:off x="828913" y="1025500096"/>
          <a:ext cx="978694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746760</xdr:colOff>
      <xdr:row>1187</xdr:row>
      <xdr:rowOff>61416</xdr:rowOff>
    </xdr:from>
    <xdr:to>
      <xdr:col>0</xdr:col>
      <xdr:colOff>1889760</xdr:colOff>
      <xdr:row>1187</xdr:row>
      <xdr:rowOff>990104</xdr:rowOff>
    </xdr:to>
    <xdr:pic>
      <xdr:nvPicPr>
        <xdr:cNvPr id="2375" name="Picture 2374" descr="Insight Picture 2374">
          <a:extLst>
            <a:ext uri="{FF2B5EF4-FFF2-40B4-BE49-F238E27FC236}">
              <a16:creationId xmlns:a16="http://schemas.microsoft.com/office/drawing/2014/main" id="{7C349BAE-A01B-A559-B521-A2C2337F0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/>
        <a:stretch>
          <a:fillRect/>
        </a:stretch>
      </xdr:blipFill>
      <xdr:spPr>
        <a:xfrm>
          <a:off x="746760" y="1026551616"/>
          <a:ext cx="1143000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668178</xdr:colOff>
      <xdr:row>1188</xdr:row>
      <xdr:rowOff>61476</xdr:rowOff>
    </xdr:from>
    <xdr:to>
      <xdr:col>0</xdr:col>
      <xdr:colOff>1968341</xdr:colOff>
      <xdr:row>1188</xdr:row>
      <xdr:rowOff>990164</xdr:rowOff>
    </xdr:to>
    <xdr:pic>
      <xdr:nvPicPr>
        <xdr:cNvPr id="2377" name="Picture 2376" descr="Insight Picture 2376">
          <a:extLst>
            <a:ext uri="{FF2B5EF4-FFF2-40B4-BE49-F238E27FC236}">
              <a16:creationId xmlns:a16="http://schemas.microsoft.com/office/drawing/2014/main" id="{78AB0ADB-9C64-FFF9-FABF-639A0B4BA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/>
        <a:stretch>
          <a:fillRect/>
        </a:stretch>
      </xdr:blipFill>
      <xdr:spPr>
        <a:xfrm>
          <a:off x="668178" y="1027603236"/>
          <a:ext cx="1300163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653891</xdr:colOff>
      <xdr:row>1189</xdr:row>
      <xdr:rowOff>62627</xdr:rowOff>
    </xdr:from>
    <xdr:to>
      <xdr:col>0</xdr:col>
      <xdr:colOff>1982629</xdr:colOff>
      <xdr:row>1189</xdr:row>
      <xdr:rowOff>798433</xdr:rowOff>
    </xdr:to>
    <xdr:pic>
      <xdr:nvPicPr>
        <xdr:cNvPr id="2379" name="Picture 2378" descr="Insight Picture 2378">
          <a:extLst>
            <a:ext uri="{FF2B5EF4-FFF2-40B4-BE49-F238E27FC236}">
              <a16:creationId xmlns:a16="http://schemas.microsoft.com/office/drawing/2014/main" id="{0CA6C1DC-B085-2337-44F8-5DE1224F8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/>
        <a:stretch>
          <a:fillRect/>
        </a:stretch>
      </xdr:blipFill>
      <xdr:spPr>
        <a:xfrm>
          <a:off x="653891" y="1028655947"/>
          <a:ext cx="1328738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921782</xdr:colOff>
      <xdr:row>1190</xdr:row>
      <xdr:rowOff>63579</xdr:rowOff>
    </xdr:from>
    <xdr:to>
      <xdr:col>0</xdr:col>
      <xdr:colOff>1714738</xdr:colOff>
      <xdr:row>1190</xdr:row>
      <xdr:rowOff>599360</xdr:rowOff>
    </xdr:to>
    <xdr:pic>
      <xdr:nvPicPr>
        <xdr:cNvPr id="2381" name="Picture 2380" descr="Insight Picture 2380">
          <a:extLst>
            <a:ext uri="{FF2B5EF4-FFF2-40B4-BE49-F238E27FC236}">
              <a16:creationId xmlns:a16="http://schemas.microsoft.com/office/drawing/2014/main" id="{5E356401-E154-4065-7E89-DD63B2D83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/>
        <a:stretch>
          <a:fillRect/>
        </a:stretch>
      </xdr:blipFill>
      <xdr:spPr>
        <a:xfrm>
          <a:off x="921782" y="1029517959"/>
          <a:ext cx="792956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821770</xdr:colOff>
      <xdr:row>1191</xdr:row>
      <xdr:rowOff>63619</xdr:rowOff>
    </xdr:from>
    <xdr:to>
      <xdr:col>0</xdr:col>
      <xdr:colOff>1814751</xdr:colOff>
      <xdr:row>1191</xdr:row>
      <xdr:rowOff>599400</xdr:rowOff>
    </xdr:to>
    <xdr:pic>
      <xdr:nvPicPr>
        <xdr:cNvPr id="2383" name="Picture 2382" descr="Insight Picture 2382">
          <a:extLst>
            <a:ext uri="{FF2B5EF4-FFF2-40B4-BE49-F238E27FC236}">
              <a16:creationId xmlns:a16="http://schemas.microsoft.com/office/drawing/2014/main" id="{F5304721-3088-F993-BAFB-5C8F7821E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/>
        <a:stretch>
          <a:fillRect/>
        </a:stretch>
      </xdr:blipFill>
      <xdr:spPr>
        <a:xfrm>
          <a:off x="821770" y="1030180939"/>
          <a:ext cx="992981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593170</xdr:colOff>
      <xdr:row>1192</xdr:row>
      <xdr:rowOff>61178</xdr:rowOff>
    </xdr:from>
    <xdr:to>
      <xdr:col>0</xdr:col>
      <xdr:colOff>2043351</xdr:colOff>
      <xdr:row>1192</xdr:row>
      <xdr:rowOff>982722</xdr:rowOff>
    </xdr:to>
    <xdr:pic>
      <xdr:nvPicPr>
        <xdr:cNvPr id="2385" name="Picture 2384" descr="Insight Picture 2384">
          <a:extLst>
            <a:ext uri="{FF2B5EF4-FFF2-40B4-BE49-F238E27FC236}">
              <a16:creationId xmlns:a16="http://schemas.microsoft.com/office/drawing/2014/main" id="{90AAE6CE-39C3-9AAB-2101-5D3188335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/>
        <a:stretch>
          <a:fillRect/>
        </a:stretch>
      </xdr:blipFill>
      <xdr:spPr>
        <a:xfrm>
          <a:off x="593170" y="1030841438"/>
          <a:ext cx="1450181" cy="921544"/>
        </a:xfrm>
        <a:prstGeom prst="rect">
          <a:avLst/>
        </a:prstGeom>
      </xdr:spPr>
    </xdr:pic>
    <xdr:clientData/>
  </xdr:twoCellAnchor>
  <xdr:twoCellAnchor editAs="oneCell">
    <xdr:from>
      <xdr:col>0</xdr:col>
      <xdr:colOff>718185</xdr:colOff>
      <xdr:row>1193</xdr:row>
      <xdr:rowOff>63103</xdr:rowOff>
    </xdr:from>
    <xdr:to>
      <xdr:col>0</xdr:col>
      <xdr:colOff>1918335</xdr:colOff>
      <xdr:row>1193</xdr:row>
      <xdr:rowOff>813197</xdr:rowOff>
    </xdr:to>
    <xdr:pic>
      <xdr:nvPicPr>
        <xdr:cNvPr id="2387" name="Picture 2386" descr="Insight Picture 2386">
          <a:extLst>
            <a:ext uri="{FF2B5EF4-FFF2-40B4-BE49-F238E27FC236}">
              <a16:creationId xmlns:a16="http://schemas.microsoft.com/office/drawing/2014/main" id="{1B813D0B-699A-1CB1-1EC4-641772073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/>
        <a:stretch>
          <a:fillRect/>
        </a:stretch>
      </xdr:blipFill>
      <xdr:spPr>
        <a:xfrm>
          <a:off x="718185" y="1031887303"/>
          <a:ext cx="1200150" cy="750094"/>
        </a:xfrm>
        <a:prstGeom prst="rect">
          <a:avLst/>
        </a:prstGeom>
      </xdr:spPr>
    </xdr:pic>
    <xdr:clientData/>
  </xdr:twoCellAnchor>
  <xdr:twoCellAnchor editAs="oneCell">
    <xdr:from>
      <xdr:col>0</xdr:col>
      <xdr:colOff>771763</xdr:colOff>
      <xdr:row>1194</xdr:row>
      <xdr:rowOff>60920</xdr:rowOff>
    </xdr:from>
    <xdr:to>
      <xdr:col>0</xdr:col>
      <xdr:colOff>1864757</xdr:colOff>
      <xdr:row>1194</xdr:row>
      <xdr:rowOff>518120</xdr:rowOff>
    </xdr:to>
    <xdr:pic>
      <xdr:nvPicPr>
        <xdr:cNvPr id="2389" name="Picture 2388" descr="Insight Picture 2388">
          <a:extLst>
            <a:ext uri="{FF2B5EF4-FFF2-40B4-BE49-F238E27FC236}">
              <a16:creationId xmlns:a16="http://schemas.microsoft.com/office/drawing/2014/main" id="{64F2DFBC-CBF2-AEDB-A9A1-51CA3F15C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/>
        <a:stretch>
          <a:fillRect/>
        </a:stretch>
      </xdr:blipFill>
      <xdr:spPr>
        <a:xfrm>
          <a:off x="771763" y="1032761420"/>
          <a:ext cx="1092994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225266</xdr:colOff>
      <xdr:row>1195</xdr:row>
      <xdr:rowOff>61238</xdr:rowOff>
    </xdr:from>
    <xdr:to>
      <xdr:col>0</xdr:col>
      <xdr:colOff>2411254</xdr:colOff>
      <xdr:row>1195</xdr:row>
      <xdr:rowOff>639882</xdr:rowOff>
    </xdr:to>
    <xdr:pic>
      <xdr:nvPicPr>
        <xdr:cNvPr id="2391" name="Picture 2390" descr="Insight Picture 2390">
          <a:extLst>
            <a:ext uri="{FF2B5EF4-FFF2-40B4-BE49-F238E27FC236}">
              <a16:creationId xmlns:a16="http://schemas.microsoft.com/office/drawing/2014/main" id="{D443837E-4004-4F28-78A4-99C7A887B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/>
        <a:stretch>
          <a:fillRect/>
        </a:stretch>
      </xdr:blipFill>
      <xdr:spPr>
        <a:xfrm>
          <a:off x="225266" y="1033340858"/>
          <a:ext cx="2185988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418147</xdr:colOff>
      <xdr:row>1196</xdr:row>
      <xdr:rowOff>63560</xdr:rowOff>
    </xdr:from>
    <xdr:to>
      <xdr:col>0</xdr:col>
      <xdr:colOff>2218372</xdr:colOff>
      <xdr:row>1196</xdr:row>
      <xdr:rowOff>599341</xdr:rowOff>
    </xdr:to>
    <xdr:pic>
      <xdr:nvPicPr>
        <xdr:cNvPr id="2393" name="Picture 2392" descr="Insight Picture 2392">
          <a:extLst>
            <a:ext uri="{FF2B5EF4-FFF2-40B4-BE49-F238E27FC236}">
              <a16:creationId xmlns:a16="http://schemas.microsoft.com/office/drawing/2014/main" id="{07312749-B8E3-FFBE-2F0E-23628CBD5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/>
        <a:stretch>
          <a:fillRect/>
        </a:stretch>
      </xdr:blipFill>
      <xdr:spPr>
        <a:xfrm>
          <a:off x="418147" y="1034044220"/>
          <a:ext cx="1800225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457438</xdr:colOff>
      <xdr:row>1197</xdr:row>
      <xdr:rowOff>62607</xdr:rowOff>
    </xdr:from>
    <xdr:to>
      <xdr:col>0</xdr:col>
      <xdr:colOff>2179082</xdr:colOff>
      <xdr:row>1197</xdr:row>
      <xdr:rowOff>684113</xdr:rowOff>
    </xdr:to>
    <xdr:pic>
      <xdr:nvPicPr>
        <xdr:cNvPr id="2395" name="Picture 2394" descr="Insight Picture 2394">
          <a:extLst>
            <a:ext uri="{FF2B5EF4-FFF2-40B4-BE49-F238E27FC236}">
              <a16:creationId xmlns:a16="http://schemas.microsoft.com/office/drawing/2014/main" id="{4E1907CD-4357-EC53-3183-EE2D86F3B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/>
        <a:stretch>
          <a:fillRect/>
        </a:stretch>
      </xdr:blipFill>
      <xdr:spPr>
        <a:xfrm>
          <a:off x="457438" y="1034706207"/>
          <a:ext cx="1721644" cy="621506"/>
        </a:xfrm>
        <a:prstGeom prst="rect">
          <a:avLst/>
        </a:prstGeom>
      </xdr:spPr>
    </xdr:pic>
    <xdr:clientData/>
  </xdr:twoCellAnchor>
  <xdr:twoCellAnchor editAs="oneCell">
    <xdr:from>
      <xdr:col>0</xdr:col>
      <xdr:colOff>536020</xdr:colOff>
      <xdr:row>1198</xdr:row>
      <xdr:rowOff>61178</xdr:rowOff>
    </xdr:from>
    <xdr:to>
      <xdr:col>0</xdr:col>
      <xdr:colOff>2100501</xdr:colOff>
      <xdr:row>1198</xdr:row>
      <xdr:rowOff>982722</xdr:rowOff>
    </xdr:to>
    <xdr:pic>
      <xdr:nvPicPr>
        <xdr:cNvPr id="2397" name="Picture 2396" descr="Insight Picture 2396">
          <a:extLst>
            <a:ext uri="{FF2B5EF4-FFF2-40B4-BE49-F238E27FC236}">
              <a16:creationId xmlns:a16="http://schemas.microsoft.com/office/drawing/2014/main" id="{6ECDC56E-008F-B709-82D7-51CDF7E2E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/>
        <a:stretch>
          <a:fillRect/>
        </a:stretch>
      </xdr:blipFill>
      <xdr:spPr>
        <a:xfrm>
          <a:off x="536020" y="1035451538"/>
          <a:ext cx="1564481" cy="921544"/>
        </a:xfrm>
        <a:prstGeom prst="rect">
          <a:avLst/>
        </a:prstGeom>
      </xdr:spPr>
    </xdr:pic>
    <xdr:clientData/>
  </xdr:twoCellAnchor>
  <xdr:twoCellAnchor editAs="oneCell">
    <xdr:from>
      <xdr:col>0</xdr:col>
      <xdr:colOff>707470</xdr:colOff>
      <xdr:row>1199</xdr:row>
      <xdr:rowOff>61218</xdr:rowOff>
    </xdr:from>
    <xdr:to>
      <xdr:col>0</xdr:col>
      <xdr:colOff>1929051</xdr:colOff>
      <xdr:row>1199</xdr:row>
      <xdr:rowOff>639862</xdr:rowOff>
    </xdr:to>
    <xdr:pic>
      <xdr:nvPicPr>
        <xdr:cNvPr id="2399" name="Picture 2398" descr="Insight Picture 2398">
          <a:extLst>
            <a:ext uri="{FF2B5EF4-FFF2-40B4-BE49-F238E27FC236}">
              <a16:creationId xmlns:a16="http://schemas.microsoft.com/office/drawing/2014/main" id="{32819D96-E8DE-8EA0-5B1D-1636074A3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/>
        <a:stretch>
          <a:fillRect/>
        </a:stretch>
      </xdr:blipFill>
      <xdr:spPr>
        <a:xfrm>
          <a:off x="707470" y="1036495518"/>
          <a:ext cx="1221581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707470</xdr:colOff>
      <xdr:row>1200</xdr:row>
      <xdr:rowOff>61158</xdr:rowOff>
    </xdr:from>
    <xdr:to>
      <xdr:col>0</xdr:col>
      <xdr:colOff>1929051</xdr:colOff>
      <xdr:row>1200</xdr:row>
      <xdr:rowOff>639802</xdr:rowOff>
    </xdr:to>
    <xdr:pic>
      <xdr:nvPicPr>
        <xdr:cNvPr id="2401" name="Picture 2400" descr="Insight Picture 2400">
          <a:extLst>
            <a:ext uri="{FF2B5EF4-FFF2-40B4-BE49-F238E27FC236}">
              <a16:creationId xmlns:a16="http://schemas.microsoft.com/office/drawing/2014/main" id="{1EF648C8-4B04-161A-871B-4BA1E3126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/>
        <a:stretch>
          <a:fillRect/>
        </a:stretch>
      </xdr:blipFill>
      <xdr:spPr>
        <a:xfrm>
          <a:off x="707470" y="1037196498"/>
          <a:ext cx="1221581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650320</xdr:colOff>
      <xdr:row>1201</xdr:row>
      <xdr:rowOff>63778</xdr:rowOff>
    </xdr:from>
    <xdr:to>
      <xdr:col>0</xdr:col>
      <xdr:colOff>1986201</xdr:colOff>
      <xdr:row>1201</xdr:row>
      <xdr:rowOff>721003</xdr:rowOff>
    </xdr:to>
    <xdr:pic>
      <xdr:nvPicPr>
        <xdr:cNvPr id="2403" name="Picture 2402" descr="Insight Picture 2402">
          <a:extLst>
            <a:ext uri="{FF2B5EF4-FFF2-40B4-BE49-F238E27FC236}">
              <a16:creationId xmlns:a16="http://schemas.microsoft.com/office/drawing/2014/main" id="{77B79D25-8504-F328-34C8-84364194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/>
        <a:stretch>
          <a:fillRect/>
        </a:stretch>
      </xdr:blipFill>
      <xdr:spPr>
        <a:xfrm>
          <a:off x="650320" y="1037900158"/>
          <a:ext cx="1335881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603885</xdr:colOff>
      <xdr:row>1202</xdr:row>
      <xdr:rowOff>63341</xdr:rowOff>
    </xdr:from>
    <xdr:to>
      <xdr:col>0</xdr:col>
      <xdr:colOff>2032635</xdr:colOff>
      <xdr:row>1202</xdr:row>
      <xdr:rowOff>934879</xdr:rowOff>
    </xdr:to>
    <xdr:pic>
      <xdr:nvPicPr>
        <xdr:cNvPr id="2405" name="Picture 2404" descr="Insight Picture 2404">
          <a:extLst>
            <a:ext uri="{FF2B5EF4-FFF2-40B4-BE49-F238E27FC236}">
              <a16:creationId xmlns:a16="http://schemas.microsoft.com/office/drawing/2014/main" id="{4908D763-BF8F-1A84-FDD4-0E89AB9B5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/>
        <a:stretch>
          <a:fillRect/>
        </a:stretch>
      </xdr:blipFill>
      <xdr:spPr>
        <a:xfrm>
          <a:off x="603885" y="1038684581"/>
          <a:ext cx="1428750" cy="871538"/>
        </a:xfrm>
        <a:prstGeom prst="rect">
          <a:avLst/>
        </a:prstGeom>
      </xdr:spPr>
    </xdr:pic>
    <xdr:clientData/>
  </xdr:twoCellAnchor>
  <xdr:twoCellAnchor editAs="oneCell">
    <xdr:from>
      <xdr:col>0</xdr:col>
      <xdr:colOff>693182</xdr:colOff>
      <xdr:row>1203</xdr:row>
      <xdr:rowOff>60285</xdr:rowOff>
    </xdr:from>
    <xdr:to>
      <xdr:col>0</xdr:col>
      <xdr:colOff>1943338</xdr:colOff>
      <xdr:row>1203</xdr:row>
      <xdr:rowOff>1181854</xdr:rowOff>
    </xdr:to>
    <xdr:pic>
      <xdr:nvPicPr>
        <xdr:cNvPr id="2407" name="Picture 2406" descr="Insight Picture 2406">
          <a:extLst>
            <a:ext uri="{FF2B5EF4-FFF2-40B4-BE49-F238E27FC236}">
              <a16:creationId xmlns:a16="http://schemas.microsoft.com/office/drawing/2014/main" id="{DC8E2ED3-0FAE-4194-58A1-30FB8789D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3"/>
        <a:stretch>
          <a:fillRect/>
        </a:stretch>
      </xdr:blipFill>
      <xdr:spPr>
        <a:xfrm>
          <a:off x="693182" y="1039679745"/>
          <a:ext cx="1250156" cy="1121569"/>
        </a:xfrm>
        <a:prstGeom prst="rect">
          <a:avLst/>
        </a:prstGeom>
      </xdr:spPr>
    </xdr:pic>
    <xdr:clientData/>
  </xdr:twoCellAnchor>
  <xdr:twoCellAnchor editAs="oneCell">
    <xdr:from>
      <xdr:col>0</xdr:col>
      <xdr:colOff>518160</xdr:colOff>
      <xdr:row>1204</xdr:row>
      <xdr:rowOff>62131</xdr:rowOff>
    </xdr:from>
    <xdr:to>
      <xdr:col>0</xdr:col>
      <xdr:colOff>2118360</xdr:colOff>
      <xdr:row>1204</xdr:row>
      <xdr:rowOff>669350</xdr:rowOff>
    </xdr:to>
    <xdr:pic>
      <xdr:nvPicPr>
        <xdr:cNvPr id="2409" name="Picture 2408" descr="Insight Picture 2408">
          <a:extLst>
            <a:ext uri="{FF2B5EF4-FFF2-40B4-BE49-F238E27FC236}">
              <a16:creationId xmlns:a16="http://schemas.microsoft.com/office/drawing/2014/main" id="{E31FD3A3-B104-5712-E499-F0ADDBC37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/>
        <a:stretch>
          <a:fillRect/>
        </a:stretch>
      </xdr:blipFill>
      <xdr:spPr>
        <a:xfrm>
          <a:off x="518160" y="1040923651"/>
          <a:ext cx="1600200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518160</xdr:colOff>
      <xdr:row>1205</xdr:row>
      <xdr:rowOff>62349</xdr:rowOff>
    </xdr:from>
    <xdr:to>
      <xdr:col>0</xdr:col>
      <xdr:colOff>2118360</xdr:colOff>
      <xdr:row>1205</xdr:row>
      <xdr:rowOff>676712</xdr:rowOff>
    </xdr:to>
    <xdr:pic>
      <xdr:nvPicPr>
        <xdr:cNvPr id="2411" name="Picture 2410" descr="Insight Picture 2410">
          <a:extLst>
            <a:ext uri="{FF2B5EF4-FFF2-40B4-BE49-F238E27FC236}">
              <a16:creationId xmlns:a16="http://schemas.microsoft.com/office/drawing/2014/main" id="{51D3C52F-8E4C-1658-6915-FB668395E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/>
        <a:stretch>
          <a:fillRect/>
        </a:stretch>
      </xdr:blipFill>
      <xdr:spPr>
        <a:xfrm>
          <a:off x="518160" y="1041655389"/>
          <a:ext cx="1600200" cy="614363"/>
        </a:xfrm>
        <a:prstGeom prst="rect">
          <a:avLst/>
        </a:prstGeom>
      </xdr:spPr>
    </xdr:pic>
    <xdr:clientData/>
  </xdr:twoCellAnchor>
  <xdr:twoCellAnchor editAs="oneCell">
    <xdr:from>
      <xdr:col>0</xdr:col>
      <xdr:colOff>721757</xdr:colOff>
      <xdr:row>1206</xdr:row>
      <xdr:rowOff>61893</xdr:rowOff>
    </xdr:from>
    <xdr:to>
      <xdr:col>0</xdr:col>
      <xdr:colOff>1914763</xdr:colOff>
      <xdr:row>1206</xdr:row>
      <xdr:rowOff>890568</xdr:rowOff>
    </xdr:to>
    <xdr:pic>
      <xdr:nvPicPr>
        <xdr:cNvPr id="2413" name="Picture 2412" descr="Insight Picture 2412">
          <a:extLst>
            <a:ext uri="{FF2B5EF4-FFF2-40B4-BE49-F238E27FC236}">
              <a16:creationId xmlns:a16="http://schemas.microsoft.com/office/drawing/2014/main" id="{744CA76A-01C5-E235-942A-10F2BD760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/>
        <a:stretch>
          <a:fillRect/>
        </a:stretch>
      </xdr:blipFill>
      <xdr:spPr>
        <a:xfrm>
          <a:off x="721757" y="1042394073"/>
          <a:ext cx="1193006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678895</xdr:colOff>
      <xdr:row>1207</xdr:row>
      <xdr:rowOff>62885</xdr:rowOff>
    </xdr:from>
    <xdr:to>
      <xdr:col>0</xdr:col>
      <xdr:colOff>1957626</xdr:colOff>
      <xdr:row>1207</xdr:row>
      <xdr:rowOff>1034435</xdr:rowOff>
    </xdr:to>
    <xdr:pic>
      <xdr:nvPicPr>
        <xdr:cNvPr id="2415" name="Picture 2414" descr="Insight Picture 2414">
          <a:extLst>
            <a:ext uri="{FF2B5EF4-FFF2-40B4-BE49-F238E27FC236}">
              <a16:creationId xmlns:a16="http://schemas.microsoft.com/office/drawing/2014/main" id="{1C630C55-16A1-75A2-2630-842C570A3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/>
        <a:stretch>
          <a:fillRect/>
        </a:stretch>
      </xdr:blipFill>
      <xdr:spPr>
        <a:xfrm>
          <a:off x="678895" y="1043347565"/>
          <a:ext cx="1278731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632460</xdr:colOff>
      <xdr:row>1208</xdr:row>
      <xdr:rowOff>62865</xdr:rowOff>
    </xdr:from>
    <xdr:to>
      <xdr:col>0</xdr:col>
      <xdr:colOff>2004060</xdr:colOff>
      <xdr:row>1208</xdr:row>
      <xdr:rowOff>1034415</xdr:rowOff>
    </xdr:to>
    <xdr:pic>
      <xdr:nvPicPr>
        <xdr:cNvPr id="2417" name="Picture 2416" descr="Insight Picture 2416">
          <a:extLst>
            <a:ext uri="{FF2B5EF4-FFF2-40B4-BE49-F238E27FC236}">
              <a16:creationId xmlns:a16="http://schemas.microsoft.com/office/drawing/2014/main" id="{C8C5F48F-0D98-966F-C66B-EB6A20D6E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8"/>
        <a:stretch>
          <a:fillRect/>
        </a:stretch>
      </xdr:blipFill>
      <xdr:spPr>
        <a:xfrm>
          <a:off x="632460" y="1044444825"/>
          <a:ext cx="1371600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689610</xdr:colOff>
      <xdr:row>1209</xdr:row>
      <xdr:rowOff>62151</xdr:rowOff>
    </xdr:from>
    <xdr:to>
      <xdr:col>0</xdr:col>
      <xdr:colOff>1946910</xdr:colOff>
      <xdr:row>1209</xdr:row>
      <xdr:rowOff>1126570</xdr:rowOff>
    </xdr:to>
    <xdr:pic>
      <xdr:nvPicPr>
        <xdr:cNvPr id="2419" name="Picture 2418" descr="Insight Picture 2418">
          <a:extLst>
            <a:ext uri="{FF2B5EF4-FFF2-40B4-BE49-F238E27FC236}">
              <a16:creationId xmlns:a16="http://schemas.microsoft.com/office/drawing/2014/main" id="{1100F5BD-A065-2EB2-DC6E-3F3253CB2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/>
        <a:stretch>
          <a:fillRect/>
        </a:stretch>
      </xdr:blipFill>
      <xdr:spPr>
        <a:xfrm>
          <a:off x="689610" y="1045541391"/>
          <a:ext cx="1257300" cy="1064419"/>
        </a:xfrm>
        <a:prstGeom prst="rect">
          <a:avLst/>
        </a:prstGeom>
      </xdr:spPr>
    </xdr:pic>
    <xdr:clientData/>
  </xdr:twoCellAnchor>
  <xdr:twoCellAnchor editAs="oneCell">
    <xdr:from>
      <xdr:col>0</xdr:col>
      <xdr:colOff>518160</xdr:colOff>
      <xdr:row>1210</xdr:row>
      <xdr:rowOff>60980</xdr:rowOff>
    </xdr:from>
    <xdr:to>
      <xdr:col>0</xdr:col>
      <xdr:colOff>2118360</xdr:colOff>
      <xdr:row>1210</xdr:row>
      <xdr:rowOff>975380</xdr:rowOff>
    </xdr:to>
    <xdr:pic>
      <xdr:nvPicPr>
        <xdr:cNvPr id="2421" name="Picture 2420" descr="Insight Picture 2420">
          <a:extLst>
            <a:ext uri="{FF2B5EF4-FFF2-40B4-BE49-F238E27FC236}">
              <a16:creationId xmlns:a16="http://schemas.microsoft.com/office/drawing/2014/main" id="{47AE90C0-2F9E-2DE5-DA3B-45ED9FD81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/>
        <a:stretch>
          <a:fillRect/>
        </a:stretch>
      </xdr:blipFill>
      <xdr:spPr>
        <a:xfrm>
          <a:off x="518160" y="1046728940"/>
          <a:ext cx="1600200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414576</xdr:colOff>
      <xdr:row>1211</xdr:row>
      <xdr:rowOff>60702</xdr:rowOff>
    </xdr:from>
    <xdr:to>
      <xdr:col>0</xdr:col>
      <xdr:colOff>2221945</xdr:colOff>
      <xdr:row>1211</xdr:row>
      <xdr:rowOff>1082258</xdr:rowOff>
    </xdr:to>
    <xdr:pic>
      <xdr:nvPicPr>
        <xdr:cNvPr id="2423" name="Picture 2422" descr="Insight Picture 2422">
          <a:extLst>
            <a:ext uri="{FF2B5EF4-FFF2-40B4-BE49-F238E27FC236}">
              <a16:creationId xmlns:a16="http://schemas.microsoft.com/office/drawing/2014/main" id="{CC7EEC49-EF78-56D3-3A09-328F2D6E2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/>
        <a:stretch>
          <a:fillRect/>
        </a:stretch>
      </xdr:blipFill>
      <xdr:spPr>
        <a:xfrm>
          <a:off x="414576" y="1047764982"/>
          <a:ext cx="1807369" cy="1021556"/>
        </a:xfrm>
        <a:prstGeom prst="rect">
          <a:avLst/>
        </a:prstGeom>
      </xdr:spPr>
    </xdr:pic>
    <xdr:clientData/>
  </xdr:twoCellAnchor>
  <xdr:twoCellAnchor editAs="oneCell">
    <xdr:from>
      <xdr:col>0</xdr:col>
      <xdr:colOff>871775</xdr:colOff>
      <xdr:row>1212</xdr:row>
      <xdr:rowOff>61893</xdr:rowOff>
    </xdr:from>
    <xdr:to>
      <xdr:col>0</xdr:col>
      <xdr:colOff>1764744</xdr:colOff>
      <xdr:row>1212</xdr:row>
      <xdr:rowOff>1004868</xdr:rowOff>
    </xdr:to>
    <xdr:pic>
      <xdr:nvPicPr>
        <xdr:cNvPr id="2425" name="Picture 2424" descr="Insight Picture 2424">
          <a:extLst>
            <a:ext uri="{FF2B5EF4-FFF2-40B4-BE49-F238E27FC236}">
              <a16:creationId xmlns:a16="http://schemas.microsoft.com/office/drawing/2014/main" id="{D197B474-DF88-DDC8-CAC3-D3A03F220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/>
        <a:stretch>
          <a:fillRect/>
        </a:stretch>
      </xdr:blipFill>
      <xdr:spPr>
        <a:xfrm>
          <a:off x="871775" y="1048909173"/>
          <a:ext cx="892969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803910</xdr:colOff>
      <xdr:row>1213</xdr:row>
      <xdr:rowOff>61893</xdr:rowOff>
    </xdr:from>
    <xdr:to>
      <xdr:col>0</xdr:col>
      <xdr:colOff>1832610</xdr:colOff>
      <xdr:row>1213</xdr:row>
      <xdr:rowOff>890568</xdr:rowOff>
    </xdr:to>
    <xdr:pic>
      <xdr:nvPicPr>
        <xdr:cNvPr id="2427" name="Picture 2426" descr="Insight Picture 2426">
          <a:extLst>
            <a:ext uri="{FF2B5EF4-FFF2-40B4-BE49-F238E27FC236}">
              <a16:creationId xmlns:a16="http://schemas.microsoft.com/office/drawing/2014/main" id="{FB15757B-30F9-F583-7231-AB5DA9E2E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/>
        <a:stretch>
          <a:fillRect/>
        </a:stretch>
      </xdr:blipFill>
      <xdr:spPr>
        <a:xfrm>
          <a:off x="803910" y="1049975973"/>
          <a:ext cx="102870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828913</xdr:colOff>
      <xdr:row>1214</xdr:row>
      <xdr:rowOff>61397</xdr:rowOff>
    </xdr:from>
    <xdr:to>
      <xdr:col>0</xdr:col>
      <xdr:colOff>1807607</xdr:colOff>
      <xdr:row>1214</xdr:row>
      <xdr:rowOff>990085</xdr:rowOff>
    </xdr:to>
    <xdr:pic>
      <xdr:nvPicPr>
        <xdr:cNvPr id="2429" name="Picture 2428" descr="Insight Picture 2428">
          <a:extLst>
            <a:ext uri="{FF2B5EF4-FFF2-40B4-BE49-F238E27FC236}">
              <a16:creationId xmlns:a16="http://schemas.microsoft.com/office/drawing/2014/main" id="{45130883-C2A1-77C6-370B-7C9A59C54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/>
        <a:stretch>
          <a:fillRect/>
        </a:stretch>
      </xdr:blipFill>
      <xdr:spPr>
        <a:xfrm>
          <a:off x="828913" y="1050927977"/>
          <a:ext cx="978694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828913</xdr:colOff>
      <xdr:row>1215</xdr:row>
      <xdr:rowOff>61456</xdr:rowOff>
    </xdr:from>
    <xdr:to>
      <xdr:col>0</xdr:col>
      <xdr:colOff>1807607</xdr:colOff>
      <xdr:row>1215</xdr:row>
      <xdr:rowOff>990144</xdr:rowOff>
    </xdr:to>
    <xdr:pic>
      <xdr:nvPicPr>
        <xdr:cNvPr id="2431" name="Picture 2430" descr="Insight Picture 2430">
          <a:extLst>
            <a:ext uri="{FF2B5EF4-FFF2-40B4-BE49-F238E27FC236}">
              <a16:creationId xmlns:a16="http://schemas.microsoft.com/office/drawing/2014/main" id="{D4B67C00-F4F7-4553-865C-3A22016FA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/>
        <a:stretch>
          <a:fillRect/>
        </a:stretch>
      </xdr:blipFill>
      <xdr:spPr>
        <a:xfrm>
          <a:off x="828913" y="1051979596"/>
          <a:ext cx="978694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721757</xdr:colOff>
      <xdr:row>1216</xdr:row>
      <xdr:rowOff>61416</xdr:rowOff>
    </xdr:from>
    <xdr:to>
      <xdr:col>0</xdr:col>
      <xdr:colOff>1914763</xdr:colOff>
      <xdr:row>1216</xdr:row>
      <xdr:rowOff>990104</xdr:rowOff>
    </xdr:to>
    <xdr:pic>
      <xdr:nvPicPr>
        <xdr:cNvPr id="2433" name="Picture 2432" descr="Insight Picture 2432">
          <a:extLst>
            <a:ext uri="{FF2B5EF4-FFF2-40B4-BE49-F238E27FC236}">
              <a16:creationId xmlns:a16="http://schemas.microsoft.com/office/drawing/2014/main" id="{F0739933-A961-6E67-1B45-D1AF98962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/>
        <a:stretch>
          <a:fillRect/>
        </a:stretch>
      </xdr:blipFill>
      <xdr:spPr>
        <a:xfrm>
          <a:off x="721757" y="1053031116"/>
          <a:ext cx="1193006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721757</xdr:colOff>
      <xdr:row>1217</xdr:row>
      <xdr:rowOff>61476</xdr:rowOff>
    </xdr:from>
    <xdr:to>
      <xdr:col>0</xdr:col>
      <xdr:colOff>1914763</xdr:colOff>
      <xdr:row>1217</xdr:row>
      <xdr:rowOff>990164</xdr:rowOff>
    </xdr:to>
    <xdr:pic>
      <xdr:nvPicPr>
        <xdr:cNvPr id="2435" name="Picture 2434" descr="Insight Picture 2434">
          <a:extLst>
            <a:ext uri="{FF2B5EF4-FFF2-40B4-BE49-F238E27FC236}">
              <a16:creationId xmlns:a16="http://schemas.microsoft.com/office/drawing/2014/main" id="{C3D2D322-BBCC-612F-33C3-6A6118B90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/>
        <a:stretch>
          <a:fillRect/>
        </a:stretch>
      </xdr:blipFill>
      <xdr:spPr>
        <a:xfrm>
          <a:off x="721757" y="1054082736"/>
          <a:ext cx="1193006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782478</xdr:colOff>
      <xdr:row>1218</xdr:row>
      <xdr:rowOff>62428</xdr:rowOff>
    </xdr:from>
    <xdr:to>
      <xdr:col>0</xdr:col>
      <xdr:colOff>1854041</xdr:colOff>
      <xdr:row>1218</xdr:row>
      <xdr:rowOff>1133991</xdr:rowOff>
    </xdr:to>
    <xdr:pic>
      <xdr:nvPicPr>
        <xdr:cNvPr id="2437" name="Picture 2436" descr="Insight Picture 2436">
          <a:extLst>
            <a:ext uri="{FF2B5EF4-FFF2-40B4-BE49-F238E27FC236}">
              <a16:creationId xmlns:a16="http://schemas.microsoft.com/office/drawing/2014/main" id="{30ADE1EB-A5A5-60C1-7D38-04BAAF92E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/>
        <a:stretch>
          <a:fillRect/>
        </a:stretch>
      </xdr:blipFill>
      <xdr:spPr>
        <a:xfrm>
          <a:off x="782478" y="1055135248"/>
          <a:ext cx="1071563" cy="1071563"/>
        </a:xfrm>
        <a:prstGeom prst="rect">
          <a:avLst/>
        </a:prstGeom>
      </xdr:spPr>
    </xdr:pic>
    <xdr:clientData/>
  </xdr:twoCellAnchor>
  <xdr:twoCellAnchor editAs="oneCell">
    <xdr:from>
      <xdr:col>0</xdr:col>
      <xdr:colOff>689610</xdr:colOff>
      <xdr:row>1219</xdr:row>
      <xdr:rowOff>63560</xdr:rowOff>
    </xdr:from>
    <xdr:to>
      <xdr:col>0</xdr:col>
      <xdr:colOff>1946910</xdr:colOff>
      <xdr:row>1219</xdr:row>
      <xdr:rowOff>942241</xdr:rowOff>
    </xdr:to>
    <xdr:pic>
      <xdr:nvPicPr>
        <xdr:cNvPr id="2439" name="Picture 2438" descr="Insight Picture 2438">
          <a:extLst>
            <a:ext uri="{FF2B5EF4-FFF2-40B4-BE49-F238E27FC236}">
              <a16:creationId xmlns:a16="http://schemas.microsoft.com/office/drawing/2014/main" id="{5253473A-06E2-6578-A379-437AF59DE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9"/>
        <a:stretch>
          <a:fillRect/>
        </a:stretch>
      </xdr:blipFill>
      <xdr:spPr>
        <a:xfrm>
          <a:off x="689610" y="1056332720"/>
          <a:ext cx="1257300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821770</xdr:colOff>
      <xdr:row>1220</xdr:row>
      <xdr:rowOff>63599</xdr:rowOff>
    </xdr:from>
    <xdr:to>
      <xdr:col>0</xdr:col>
      <xdr:colOff>1814751</xdr:colOff>
      <xdr:row>1220</xdr:row>
      <xdr:rowOff>1285180</xdr:rowOff>
    </xdr:to>
    <xdr:pic>
      <xdr:nvPicPr>
        <xdr:cNvPr id="2441" name="Picture 2440" descr="Insight Picture 2440">
          <a:extLst>
            <a:ext uri="{FF2B5EF4-FFF2-40B4-BE49-F238E27FC236}">
              <a16:creationId xmlns:a16="http://schemas.microsoft.com/office/drawing/2014/main" id="{37C83BBD-2284-585B-8C9F-A09D5E407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0"/>
        <a:stretch>
          <a:fillRect/>
        </a:stretch>
      </xdr:blipFill>
      <xdr:spPr>
        <a:xfrm>
          <a:off x="821770" y="1057338599"/>
          <a:ext cx="992981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764620</xdr:colOff>
      <xdr:row>1221</xdr:row>
      <xdr:rowOff>61655</xdr:rowOff>
    </xdr:from>
    <xdr:to>
      <xdr:col>0</xdr:col>
      <xdr:colOff>1871901</xdr:colOff>
      <xdr:row>1221</xdr:row>
      <xdr:rowOff>883186</xdr:rowOff>
    </xdr:to>
    <xdr:pic>
      <xdr:nvPicPr>
        <xdr:cNvPr id="2443" name="Picture 2442" descr="Insight Picture 2442">
          <a:extLst>
            <a:ext uri="{FF2B5EF4-FFF2-40B4-BE49-F238E27FC236}">
              <a16:creationId xmlns:a16="http://schemas.microsoft.com/office/drawing/2014/main" id="{B7615487-6C89-D941-BA61-58240003D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/>
        <a:stretch>
          <a:fillRect/>
        </a:stretch>
      </xdr:blipFill>
      <xdr:spPr>
        <a:xfrm>
          <a:off x="764620" y="1058685395"/>
          <a:ext cx="1107281" cy="821531"/>
        </a:xfrm>
        <a:prstGeom prst="rect">
          <a:avLst/>
        </a:prstGeom>
      </xdr:spPr>
    </xdr:pic>
    <xdr:clientData/>
  </xdr:twoCellAnchor>
  <xdr:twoCellAnchor editAs="oneCell">
    <xdr:from>
      <xdr:col>0</xdr:col>
      <xdr:colOff>618172</xdr:colOff>
      <xdr:row>1222</xdr:row>
      <xdr:rowOff>60742</xdr:rowOff>
    </xdr:from>
    <xdr:to>
      <xdr:col>0</xdr:col>
      <xdr:colOff>2018347</xdr:colOff>
      <xdr:row>1222</xdr:row>
      <xdr:rowOff>853698</xdr:rowOff>
    </xdr:to>
    <xdr:pic>
      <xdr:nvPicPr>
        <xdr:cNvPr id="2445" name="Picture 2444" descr="Insight Picture 2444">
          <a:extLst>
            <a:ext uri="{FF2B5EF4-FFF2-40B4-BE49-F238E27FC236}">
              <a16:creationId xmlns:a16="http://schemas.microsoft.com/office/drawing/2014/main" id="{E4D55AD3-79F8-9E5D-EEA0-FA158B880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2"/>
        <a:stretch>
          <a:fillRect/>
        </a:stretch>
      </xdr:blipFill>
      <xdr:spPr>
        <a:xfrm>
          <a:off x="618172" y="1059629362"/>
          <a:ext cx="1400175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721757</xdr:colOff>
      <xdr:row>1223</xdr:row>
      <xdr:rowOff>62428</xdr:rowOff>
    </xdr:from>
    <xdr:to>
      <xdr:col>0</xdr:col>
      <xdr:colOff>1914763</xdr:colOff>
      <xdr:row>1223</xdr:row>
      <xdr:rowOff>562491</xdr:rowOff>
    </xdr:to>
    <xdr:pic>
      <xdr:nvPicPr>
        <xdr:cNvPr id="2447" name="Picture 2446" descr="Insight Picture 2446">
          <a:extLst>
            <a:ext uri="{FF2B5EF4-FFF2-40B4-BE49-F238E27FC236}">
              <a16:creationId xmlns:a16="http://schemas.microsoft.com/office/drawing/2014/main" id="{C79DF946-ED36-1A0F-A410-0F82BBD02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/>
        <a:stretch>
          <a:fillRect/>
        </a:stretch>
      </xdr:blipFill>
      <xdr:spPr>
        <a:xfrm>
          <a:off x="721757" y="1060545448"/>
          <a:ext cx="1193006" cy="500063"/>
        </a:xfrm>
        <a:prstGeom prst="rect">
          <a:avLst/>
        </a:prstGeom>
      </xdr:spPr>
    </xdr:pic>
    <xdr:clientData/>
  </xdr:twoCellAnchor>
  <xdr:twoCellAnchor editAs="oneCell">
    <xdr:from>
      <xdr:col>0</xdr:col>
      <xdr:colOff>700325</xdr:colOff>
      <xdr:row>1224</xdr:row>
      <xdr:rowOff>61178</xdr:rowOff>
    </xdr:from>
    <xdr:to>
      <xdr:col>0</xdr:col>
      <xdr:colOff>1936194</xdr:colOff>
      <xdr:row>1224</xdr:row>
      <xdr:rowOff>982722</xdr:rowOff>
    </xdr:to>
    <xdr:pic>
      <xdr:nvPicPr>
        <xdr:cNvPr id="2449" name="Picture 2448" descr="Insight Picture 2448">
          <a:extLst>
            <a:ext uri="{FF2B5EF4-FFF2-40B4-BE49-F238E27FC236}">
              <a16:creationId xmlns:a16="http://schemas.microsoft.com/office/drawing/2014/main" id="{497A8E71-B52F-905D-45E0-49BA938E0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/>
        <a:stretch>
          <a:fillRect/>
        </a:stretch>
      </xdr:blipFill>
      <xdr:spPr>
        <a:xfrm>
          <a:off x="700325" y="1061169038"/>
          <a:ext cx="1235869" cy="921544"/>
        </a:xfrm>
        <a:prstGeom prst="rect">
          <a:avLst/>
        </a:prstGeom>
      </xdr:spPr>
    </xdr:pic>
    <xdr:clientData/>
  </xdr:twoCellAnchor>
  <xdr:twoCellAnchor editAs="oneCell">
    <xdr:from>
      <xdr:col>0</xdr:col>
      <xdr:colOff>757475</xdr:colOff>
      <xdr:row>1225</xdr:row>
      <xdr:rowOff>60920</xdr:rowOff>
    </xdr:from>
    <xdr:to>
      <xdr:col>0</xdr:col>
      <xdr:colOff>1879044</xdr:colOff>
      <xdr:row>1225</xdr:row>
      <xdr:rowOff>1089620</xdr:rowOff>
    </xdr:to>
    <xdr:pic>
      <xdr:nvPicPr>
        <xdr:cNvPr id="2451" name="Picture 2450" descr="Insight Picture 2450">
          <a:extLst>
            <a:ext uri="{FF2B5EF4-FFF2-40B4-BE49-F238E27FC236}">
              <a16:creationId xmlns:a16="http://schemas.microsoft.com/office/drawing/2014/main" id="{46D29EFD-4BB8-31EB-DC63-B45B7B6A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5"/>
        <a:stretch>
          <a:fillRect/>
        </a:stretch>
      </xdr:blipFill>
      <xdr:spPr>
        <a:xfrm>
          <a:off x="757475" y="1062212720"/>
          <a:ext cx="1121569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678895</xdr:colOff>
      <xdr:row>1226</xdr:row>
      <xdr:rowOff>60246</xdr:rowOff>
    </xdr:from>
    <xdr:to>
      <xdr:col>0</xdr:col>
      <xdr:colOff>1957626</xdr:colOff>
      <xdr:row>1226</xdr:row>
      <xdr:rowOff>838915</xdr:rowOff>
    </xdr:to>
    <xdr:pic>
      <xdr:nvPicPr>
        <xdr:cNvPr id="2453" name="Picture 2452" descr="Insight Picture 2452">
          <a:extLst>
            <a:ext uri="{FF2B5EF4-FFF2-40B4-BE49-F238E27FC236}">
              <a16:creationId xmlns:a16="http://schemas.microsoft.com/office/drawing/2014/main" id="{65E754E9-8047-077B-21F9-33E0F1DD8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/>
        <a:stretch>
          <a:fillRect/>
        </a:stretch>
      </xdr:blipFill>
      <xdr:spPr>
        <a:xfrm>
          <a:off x="678895" y="1063362666"/>
          <a:ext cx="1278731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921782</xdr:colOff>
      <xdr:row>1227</xdr:row>
      <xdr:rowOff>63778</xdr:rowOff>
    </xdr:from>
    <xdr:to>
      <xdr:col>0</xdr:col>
      <xdr:colOff>1714738</xdr:colOff>
      <xdr:row>1227</xdr:row>
      <xdr:rowOff>721003</xdr:rowOff>
    </xdr:to>
    <xdr:pic>
      <xdr:nvPicPr>
        <xdr:cNvPr id="2455" name="Picture 2454" descr="Insight Picture 2454">
          <a:extLst>
            <a:ext uri="{FF2B5EF4-FFF2-40B4-BE49-F238E27FC236}">
              <a16:creationId xmlns:a16="http://schemas.microsoft.com/office/drawing/2014/main" id="{8204E6CC-7975-9F33-BAD4-128D8E9C2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xfrm>
          <a:off x="921782" y="1064265358"/>
          <a:ext cx="792956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671750</xdr:colOff>
      <xdr:row>1228</xdr:row>
      <xdr:rowOff>62845</xdr:rowOff>
    </xdr:from>
    <xdr:to>
      <xdr:col>0</xdr:col>
      <xdr:colOff>1964769</xdr:colOff>
      <xdr:row>1228</xdr:row>
      <xdr:rowOff>805795</xdr:rowOff>
    </xdr:to>
    <xdr:pic>
      <xdr:nvPicPr>
        <xdr:cNvPr id="2457" name="Picture 2456" descr="Insight Picture 2456">
          <a:extLst>
            <a:ext uri="{FF2B5EF4-FFF2-40B4-BE49-F238E27FC236}">
              <a16:creationId xmlns:a16="http://schemas.microsoft.com/office/drawing/2014/main" id="{DFA0B42F-CB49-9F17-6AA8-19D5BB276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/>
        <a:stretch>
          <a:fillRect/>
        </a:stretch>
      </xdr:blipFill>
      <xdr:spPr>
        <a:xfrm>
          <a:off x="671750" y="1065049285"/>
          <a:ext cx="1293019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532447</xdr:colOff>
      <xdr:row>1229</xdr:row>
      <xdr:rowOff>62428</xdr:rowOff>
    </xdr:from>
    <xdr:to>
      <xdr:col>0</xdr:col>
      <xdr:colOff>2104072</xdr:colOff>
      <xdr:row>1229</xdr:row>
      <xdr:rowOff>791091</xdr:rowOff>
    </xdr:to>
    <xdr:pic>
      <xdr:nvPicPr>
        <xdr:cNvPr id="2459" name="Picture 2458" descr="Insight Picture 2458">
          <a:extLst>
            <a:ext uri="{FF2B5EF4-FFF2-40B4-BE49-F238E27FC236}">
              <a16:creationId xmlns:a16="http://schemas.microsoft.com/office/drawing/2014/main" id="{D28E6969-75BD-0501-F51A-FEA157617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/>
        <a:stretch>
          <a:fillRect/>
        </a:stretch>
      </xdr:blipFill>
      <xdr:spPr>
        <a:xfrm>
          <a:off x="532447" y="1065917548"/>
          <a:ext cx="1571625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800338</xdr:colOff>
      <xdr:row>1230</xdr:row>
      <xdr:rowOff>61476</xdr:rowOff>
    </xdr:from>
    <xdr:to>
      <xdr:col>0</xdr:col>
      <xdr:colOff>1836182</xdr:colOff>
      <xdr:row>1230</xdr:row>
      <xdr:rowOff>532964</xdr:rowOff>
    </xdr:to>
    <xdr:pic>
      <xdr:nvPicPr>
        <xdr:cNvPr id="2461" name="Picture 2460" descr="Insight Picture 2460">
          <a:extLst>
            <a:ext uri="{FF2B5EF4-FFF2-40B4-BE49-F238E27FC236}">
              <a16:creationId xmlns:a16="http://schemas.microsoft.com/office/drawing/2014/main" id="{D844E121-CD8D-77FE-E8CE-D2C9EAB61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xfrm>
          <a:off x="800338" y="1066770036"/>
          <a:ext cx="1035844" cy="471488"/>
        </a:xfrm>
        <a:prstGeom prst="rect">
          <a:avLst/>
        </a:prstGeom>
      </xdr:spPr>
    </xdr:pic>
    <xdr:clientData/>
  </xdr:twoCellAnchor>
  <xdr:twoCellAnchor editAs="oneCell">
    <xdr:from>
      <xdr:col>0</xdr:col>
      <xdr:colOff>800338</xdr:colOff>
      <xdr:row>1231</xdr:row>
      <xdr:rowOff>63321</xdr:rowOff>
    </xdr:from>
    <xdr:to>
      <xdr:col>0</xdr:col>
      <xdr:colOff>1836182</xdr:colOff>
      <xdr:row>1231</xdr:row>
      <xdr:rowOff>591959</xdr:rowOff>
    </xdr:to>
    <xdr:pic>
      <xdr:nvPicPr>
        <xdr:cNvPr id="2463" name="Picture 2462" descr="Insight Picture 2462">
          <a:extLst>
            <a:ext uri="{FF2B5EF4-FFF2-40B4-BE49-F238E27FC236}">
              <a16:creationId xmlns:a16="http://schemas.microsoft.com/office/drawing/2014/main" id="{CF88F011-DAB2-E3B0-EC14-6943013D6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xfrm>
          <a:off x="800338" y="1067366241"/>
          <a:ext cx="1035844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707470</xdr:colOff>
      <xdr:row>1232</xdr:row>
      <xdr:rowOff>61158</xdr:rowOff>
    </xdr:from>
    <xdr:to>
      <xdr:col>0</xdr:col>
      <xdr:colOff>1929051</xdr:colOff>
      <xdr:row>1232</xdr:row>
      <xdr:rowOff>754102</xdr:rowOff>
    </xdr:to>
    <xdr:pic>
      <xdr:nvPicPr>
        <xdr:cNvPr id="2465" name="Picture 2464" descr="Insight Picture 2464">
          <a:extLst>
            <a:ext uri="{FF2B5EF4-FFF2-40B4-BE49-F238E27FC236}">
              <a16:creationId xmlns:a16="http://schemas.microsoft.com/office/drawing/2014/main" id="{10ED7A34-0612-2D1C-1FBD-CFAC158D1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/>
        <a:stretch>
          <a:fillRect/>
        </a:stretch>
      </xdr:blipFill>
      <xdr:spPr>
        <a:xfrm>
          <a:off x="707470" y="1068019398"/>
          <a:ext cx="1221581" cy="692944"/>
        </a:xfrm>
        <a:prstGeom prst="rect">
          <a:avLst/>
        </a:prstGeom>
      </xdr:spPr>
    </xdr:pic>
    <xdr:clientData/>
  </xdr:twoCellAnchor>
  <xdr:twoCellAnchor editAs="oneCell">
    <xdr:from>
      <xdr:col>0</xdr:col>
      <xdr:colOff>636032</xdr:colOff>
      <xdr:row>1233</xdr:row>
      <xdr:rowOff>60206</xdr:rowOff>
    </xdr:from>
    <xdr:to>
      <xdr:col>0</xdr:col>
      <xdr:colOff>2000488</xdr:colOff>
      <xdr:row>1233</xdr:row>
      <xdr:rowOff>838875</xdr:rowOff>
    </xdr:to>
    <xdr:pic>
      <xdr:nvPicPr>
        <xdr:cNvPr id="2467" name="Picture 2466" descr="Insight Picture 2466">
          <a:extLst>
            <a:ext uri="{FF2B5EF4-FFF2-40B4-BE49-F238E27FC236}">
              <a16:creationId xmlns:a16="http://schemas.microsoft.com/office/drawing/2014/main" id="{53EBB755-4DC9-20C5-4492-60FD4C542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xfrm>
          <a:off x="636032" y="1068833786"/>
          <a:ext cx="1364456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625316</xdr:colOff>
      <xdr:row>1234</xdr:row>
      <xdr:rowOff>63540</xdr:rowOff>
    </xdr:from>
    <xdr:to>
      <xdr:col>0</xdr:col>
      <xdr:colOff>2011204</xdr:colOff>
      <xdr:row>1234</xdr:row>
      <xdr:rowOff>713621</xdr:rowOff>
    </xdr:to>
    <xdr:pic>
      <xdr:nvPicPr>
        <xdr:cNvPr id="2469" name="Picture 2468" descr="Insight Picture 2468">
          <a:extLst>
            <a:ext uri="{FF2B5EF4-FFF2-40B4-BE49-F238E27FC236}">
              <a16:creationId xmlns:a16="http://schemas.microsoft.com/office/drawing/2014/main" id="{3E031E5D-C76E-9270-4459-2C3A8F49A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xfrm>
          <a:off x="625316" y="1069736280"/>
          <a:ext cx="1385888" cy="650081"/>
        </a:xfrm>
        <a:prstGeom prst="rect">
          <a:avLst/>
        </a:prstGeom>
      </xdr:spPr>
    </xdr:pic>
    <xdr:clientData/>
  </xdr:twoCellAnchor>
  <xdr:twoCellAnchor editAs="oneCell">
    <xdr:from>
      <xdr:col>0</xdr:col>
      <xdr:colOff>675322</xdr:colOff>
      <xdr:row>1235</xdr:row>
      <xdr:rowOff>63579</xdr:rowOff>
    </xdr:from>
    <xdr:to>
      <xdr:col>0</xdr:col>
      <xdr:colOff>1961197</xdr:colOff>
      <xdr:row>1235</xdr:row>
      <xdr:rowOff>827960</xdr:rowOff>
    </xdr:to>
    <xdr:pic>
      <xdr:nvPicPr>
        <xdr:cNvPr id="2471" name="Picture 2470" descr="Insight Picture 2470">
          <a:extLst>
            <a:ext uri="{FF2B5EF4-FFF2-40B4-BE49-F238E27FC236}">
              <a16:creationId xmlns:a16="http://schemas.microsoft.com/office/drawing/2014/main" id="{08894295-0E20-27D9-54C6-9B1495B8B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5"/>
        <a:stretch>
          <a:fillRect/>
        </a:stretch>
      </xdr:blipFill>
      <xdr:spPr>
        <a:xfrm>
          <a:off x="675322" y="1070513559"/>
          <a:ext cx="1285875" cy="764381"/>
        </a:xfrm>
        <a:prstGeom prst="rect">
          <a:avLst/>
        </a:prstGeom>
      </xdr:spPr>
    </xdr:pic>
    <xdr:clientData/>
  </xdr:twoCellAnchor>
  <xdr:twoCellAnchor editAs="oneCell">
    <xdr:from>
      <xdr:col>0</xdr:col>
      <xdr:colOff>871775</xdr:colOff>
      <xdr:row>1236</xdr:row>
      <xdr:rowOff>62131</xdr:rowOff>
    </xdr:from>
    <xdr:to>
      <xdr:col>0</xdr:col>
      <xdr:colOff>1764744</xdr:colOff>
      <xdr:row>1236</xdr:row>
      <xdr:rowOff>1126550</xdr:rowOff>
    </xdr:to>
    <xdr:pic>
      <xdr:nvPicPr>
        <xdr:cNvPr id="2473" name="Picture 2472" descr="Insight Picture 2472">
          <a:extLst>
            <a:ext uri="{FF2B5EF4-FFF2-40B4-BE49-F238E27FC236}">
              <a16:creationId xmlns:a16="http://schemas.microsoft.com/office/drawing/2014/main" id="{A8DCC0A7-8966-E002-71D0-68A0C0AA6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/>
        <a:stretch>
          <a:fillRect/>
        </a:stretch>
      </xdr:blipFill>
      <xdr:spPr>
        <a:xfrm>
          <a:off x="871775" y="1071403651"/>
          <a:ext cx="892969" cy="1064419"/>
        </a:xfrm>
        <a:prstGeom prst="rect">
          <a:avLst/>
        </a:prstGeom>
      </xdr:spPr>
    </xdr:pic>
    <xdr:clientData/>
  </xdr:twoCellAnchor>
  <xdr:twoCellAnchor editAs="oneCell">
    <xdr:from>
      <xdr:col>0</xdr:col>
      <xdr:colOff>793195</xdr:colOff>
      <xdr:row>1237</xdr:row>
      <xdr:rowOff>61952</xdr:rowOff>
    </xdr:from>
    <xdr:to>
      <xdr:col>0</xdr:col>
      <xdr:colOff>1843326</xdr:colOff>
      <xdr:row>1237</xdr:row>
      <xdr:rowOff>890627</xdr:rowOff>
    </xdr:to>
    <xdr:pic>
      <xdr:nvPicPr>
        <xdr:cNvPr id="2475" name="Picture 2474" descr="Insight Picture 2474">
          <a:extLst>
            <a:ext uri="{FF2B5EF4-FFF2-40B4-BE49-F238E27FC236}">
              <a16:creationId xmlns:a16="http://schemas.microsoft.com/office/drawing/2014/main" id="{8F9A84EF-0451-9B6A-F86E-411EA1AC2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7"/>
        <a:stretch>
          <a:fillRect/>
        </a:stretch>
      </xdr:blipFill>
      <xdr:spPr>
        <a:xfrm>
          <a:off x="793195" y="1072592192"/>
          <a:ext cx="1050131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836057</xdr:colOff>
      <xdr:row>1238</xdr:row>
      <xdr:rowOff>61952</xdr:rowOff>
    </xdr:from>
    <xdr:to>
      <xdr:col>0</xdr:col>
      <xdr:colOff>1800463</xdr:colOff>
      <xdr:row>1238</xdr:row>
      <xdr:rowOff>1119227</xdr:rowOff>
    </xdr:to>
    <xdr:pic>
      <xdr:nvPicPr>
        <xdr:cNvPr id="2477" name="Picture 2476" descr="Insight Picture 2476">
          <a:extLst>
            <a:ext uri="{FF2B5EF4-FFF2-40B4-BE49-F238E27FC236}">
              <a16:creationId xmlns:a16="http://schemas.microsoft.com/office/drawing/2014/main" id="{E22A90DC-E382-8106-524D-94F0475CF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/>
        <a:stretch>
          <a:fillRect/>
        </a:stretch>
      </xdr:blipFill>
      <xdr:spPr>
        <a:xfrm>
          <a:off x="836057" y="1073544692"/>
          <a:ext cx="964406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828913</xdr:colOff>
      <xdr:row>1239</xdr:row>
      <xdr:rowOff>62845</xdr:rowOff>
    </xdr:from>
    <xdr:to>
      <xdr:col>0</xdr:col>
      <xdr:colOff>1807607</xdr:colOff>
      <xdr:row>1239</xdr:row>
      <xdr:rowOff>1034395</xdr:rowOff>
    </xdr:to>
    <xdr:pic>
      <xdr:nvPicPr>
        <xdr:cNvPr id="2479" name="Picture 2478" descr="Insight Picture 2478">
          <a:extLst>
            <a:ext uri="{FF2B5EF4-FFF2-40B4-BE49-F238E27FC236}">
              <a16:creationId xmlns:a16="http://schemas.microsoft.com/office/drawing/2014/main" id="{9A428985-77FF-4D37-083E-A37125FF3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9"/>
        <a:stretch>
          <a:fillRect/>
        </a:stretch>
      </xdr:blipFill>
      <xdr:spPr>
        <a:xfrm>
          <a:off x="828913" y="1074726685"/>
          <a:ext cx="978694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739616</xdr:colOff>
      <xdr:row>1240</xdr:row>
      <xdr:rowOff>63321</xdr:rowOff>
    </xdr:from>
    <xdr:to>
      <xdr:col>0</xdr:col>
      <xdr:colOff>1896904</xdr:colOff>
      <xdr:row>1240</xdr:row>
      <xdr:rowOff>1049159</xdr:rowOff>
    </xdr:to>
    <xdr:pic>
      <xdr:nvPicPr>
        <xdr:cNvPr id="2481" name="Picture 2480" descr="Insight Picture 2480">
          <a:extLst>
            <a:ext uri="{FF2B5EF4-FFF2-40B4-BE49-F238E27FC236}">
              <a16:creationId xmlns:a16="http://schemas.microsoft.com/office/drawing/2014/main" id="{55DC6DC9-8905-BAA0-9E0B-FBB3FEEFD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/>
        <a:stretch>
          <a:fillRect/>
        </a:stretch>
      </xdr:blipFill>
      <xdr:spPr>
        <a:xfrm>
          <a:off x="739616" y="1075824441"/>
          <a:ext cx="1157288" cy="985838"/>
        </a:xfrm>
        <a:prstGeom prst="rect">
          <a:avLst/>
        </a:prstGeom>
      </xdr:spPr>
    </xdr:pic>
    <xdr:clientData/>
  </xdr:twoCellAnchor>
  <xdr:twoCellAnchor editAs="oneCell">
    <xdr:from>
      <xdr:col>0</xdr:col>
      <xdr:colOff>732472</xdr:colOff>
      <xdr:row>1241</xdr:row>
      <xdr:rowOff>63341</xdr:rowOff>
    </xdr:from>
    <xdr:to>
      <xdr:col>0</xdr:col>
      <xdr:colOff>1904047</xdr:colOff>
      <xdr:row>1241</xdr:row>
      <xdr:rowOff>1049179</xdr:rowOff>
    </xdr:to>
    <xdr:pic>
      <xdr:nvPicPr>
        <xdr:cNvPr id="2483" name="Picture 2482" descr="Insight Picture 2482">
          <a:extLst>
            <a:ext uri="{FF2B5EF4-FFF2-40B4-BE49-F238E27FC236}">
              <a16:creationId xmlns:a16="http://schemas.microsoft.com/office/drawing/2014/main" id="{21ABDEB8-FEC6-F6FA-D7CC-1BBF948BC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/>
        <a:stretch>
          <a:fillRect/>
        </a:stretch>
      </xdr:blipFill>
      <xdr:spPr>
        <a:xfrm>
          <a:off x="732472" y="1076936981"/>
          <a:ext cx="1171575" cy="985838"/>
        </a:xfrm>
        <a:prstGeom prst="rect">
          <a:avLst/>
        </a:prstGeom>
      </xdr:spPr>
    </xdr:pic>
    <xdr:clientData/>
  </xdr:twoCellAnchor>
  <xdr:twoCellAnchor editAs="oneCell">
    <xdr:from>
      <xdr:col>0</xdr:col>
      <xdr:colOff>693182</xdr:colOff>
      <xdr:row>1242</xdr:row>
      <xdr:rowOff>61476</xdr:rowOff>
    </xdr:from>
    <xdr:to>
      <xdr:col>0</xdr:col>
      <xdr:colOff>1943338</xdr:colOff>
      <xdr:row>1242</xdr:row>
      <xdr:rowOff>761564</xdr:rowOff>
    </xdr:to>
    <xdr:pic>
      <xdr:nvPicPr>
        <xdr:cNvPr id="2485" name="Picture 2484" descr="Insight Picture 2484">
          <a:extLst>
            <a:ext uri="{FF2B5EF4-FFF2-40B4-BE49-F238E27FC236}">
              <a16:creationId xmlns:a16="http://schemas.microsoft.com/office/drawing/2014/main" id="{647E9555-137E-0E23-991C-2D1CE4B8D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2"/>
        <a:stretch>
          <a:fillRect/>
        </a:stretch>
      </xdr:blipFill>
      <xdr:spPr>
        <a:xfrm>
          <a:off x="693182" y="1078047636"/>
          <a:ext cx="1250156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689610</xdr:colOff>
      <xdr:row>1243</xdr:row>
      <xdr:rowOff>60246</xdr:rowOff>
    </xdr:from>
    <xdr:to>
      <xdr:col>0</xdr:col>
      <xdr:colOff>1946910</xdr:colOff>
      <xdr:row>1243</xdr:row>
      <xdr:rowOff>838915</xdr:rowOff>
    </xdr:to>
    <xdr:pic>
      <xdr:nvPicPr>
        <xdr:cNvPr id="2487" name="Picture 2486" descr="Insight Picture 2486">
          <a:extLst>
            <a:ext uri="{FF2B5EF4-FFF2-40B4-BE49-F238E27FC236}">
              <a16:creationId xmlns:a16="http://schemas.microsoft.com/office/drawing/2014/main" id="{AFA38923-F81A-776E-066A-F63781ED1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3"/>
        <a:stretch>
          <a:fillRect/>
        </a:stretch>
      </xdr:blipFill>
      <xdr:spPr>
        <a:xfrm>
          <a:off x="689610" y="1078869366"/>
          <a:ext cx="1257300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550307</xdr:colOff>
      <xdr:row>1244</xdr:row>
      <xdr:rowOff>61694</xdr:rowOff>
    </xdr:from>
    <xdr:to>
      <xdr:col>0</xdr:col>
      <xdr:colOff>2086213</xdr:colOff>
      <xdr:row>1244</xdr:row>
      <xdr:rowOff>540325</xdr:rowOff>
    </xdr:to>
    <xdr:pic>
      <xdr:nvPicPr>
        <xdr:cNvPr id="2489" name="Picture 2488" descr="Insight Picture 2488">
          <a:extLst>
            <a:ext uri="{FF2B5EF4-FFF2-40B4-BE49-F238E27FC236}">
              <a16:creationId xmlns:a16="http://schemas.microsoft.com/office/drawing/2014/main" id="{E9FFF762-29BE-FABC-57AB-9B6FB54B0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/>
        <a:stretch>
          <a:fillRect/>
        </a:stretch>
      </xdr:blipFill>
      <xdr:spPr>
        <a:xfrm>
          <a:off x="550307" y="1079769974"/>
          <a:ext cx="1535906" cy="478631"/>
        </a:xfrm>
        <a:prstGeom prst="rect">
          <a:avLst/>
        </a:prstGeom>
      </xdr:spPr>
    </xdr:pic>
    <xdr:clientData/>
  </xdr:twoCellAnchor>
  <xdr:twoCellAnchor editAs="oneCell">
    <xdr:from>
      <xdr:col>0</xdr:col>
      <xdr:colOff>732472</xdr:colOff>
      <xdr:row>1245</xdr:row>
      <xdr:rowOff>62170</xdr:rowOff>
    </xdr:from>
    <xdr:to>
      <xdr:col>0</xdr:col>
      <xdr:colOff>1904047</xdr:colOff>
      <xdr:row>1245</xdr:row>
      <xdr:rowOff>669389</xdr:rowOff>
    </xdr:to>
    <xdr:pic>
      <xdr:nvPicPr>
        <xdr:cNvPr id="2491" name="Picture 2490" descr="Insight Picture 2490">
          <a:extLst>
            <a:ext uri="{FF2B5EF4-FFF2-40B4-BE49-F238E27FC236}">
              <a16:creationId xmlns:a16="http://schemas.microsoft.com/office/drawing/2014/main" id="{7C120194-9084-A8CB-ED37-7D2B393BF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/>
        <a:stretch>
          <a:fillRect/>
        </a:stretch>
      </xdr:blipFill>
      <xdr:spPr>
        <a:xfrm>
          <a:off x="732472" y="1080372430"/>
          <a:ext cx="1171575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807482</xdr:colOff>
      <xdr:row>1246</xdr:row>
      <xdr:rowOff>60206</xdr:rowOff>
    </xdr:from>
    <xdr:to>
      <xdr:col>0</xdr:col>
      <xdr:colOff>1829038</xdr:colOff>
      <xdr:row>1246</xdr:row>
      <xdr:rowOff>838875</xdr:rowOff>
    </xdr:to>
    <xdr:pic>
      <xdr:nvPicPr>
        <xdr:cNvPr id="2493" name="Picture 2492" descr="Insight Picture 2492">
          <a:extLst>
            <a:ext uri="{FF2B5EF4-FFF2-40B4-BE49-F238E27FC236}">
              <a16:creationId xmlns:a16="http://schemas.microsoft.com/office/drawing/2014/main" id="{068D060B-FD34-24B3-D672-A87844E3E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/>
        <a:stretch>
          <a:fillRect/>
        </a:stretch>
      </xdr:blipFill>
      <xdr:spPr>
        <a:xfrm>
          <a:off x="807482" y="1081101986"/>
          <a:ext cx="1021556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678895</xdr:colOff>
      <xdr:row>1247</xdr:row>
      <xdr:rowOff>62349</xdr:rowOff>
    </xdr:from>
    <xdr:to>
      <xdr:col>0</xdr:col>
      <xdr:colOff>1957626</xdr:colOff>
      <xdr:row>1247</xdr:row>
      <xdr:rowOff>791012</xdr:rowOff>
    </xdr:to>
    <xdr:pic>
      <xdr:nvPicPr>
        <xdr:cNvPr id="2495" name="Picture 2494" descr="Insight Picture 2494">
          <a:extLst>
            <a:ext uri="{FF2B5EF4-FFF2-40B4-BE49-F238E27FC236}">
              <a16:creationId xmlns:a16="http://schemas.microsoft.com/office/drawing/2014/main" id="{2121156E-FA2D-8D6D-3F34-193F706BB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/>
        <a:stretch>
          <a:fillRect/>
        </a:stretch>
      </xdr:blipFill>
      <xdr:spPr>
        <a:xfrm>
          <a:off x="678895" y="1082003289"/>
          <a:ext cx="1278731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543163</xdr:colOff>
      <xdr:row>1248</xdr:row>
      <xdr:rowOff>62389</xdr:rowOff>
    </xdr:from>
    <xdr:to>
      <xdr:col>0</xdr:col>
      <xdr:colOff>2093357</xdr:colOff>
      <xdr:row>1248</xdr:row>
      <xdr:rowOff>791052</xdr:rowOff>
    </xdr:to>
    <xdr:pic>
      <xdr:nvPicPr>
        <xdr:cNvPr id="2497" name="Picture 2496" descr="Insight Picture 2496">
          <a:extLst>
            <a:ext uri="{FF2B5EF4-FFF2-40B4-BE49-F238E27FC236}">
              <a16:creationId xmlns:a16="http://schemas.microsoft.com/office/drawing/2014/main" id="{2C0C2124-6AF8-9749-0BAC-9846A889C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/>
        <a:stretch>
          <a:fillRect/>
        </a:stretch>
      </xdr:blipFill>
      <xdr:spPr>
        <a:xfrm>
          <a:off x="543163" y="1082856769"/>
          <a:ext cx="1550194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718185</xdr:colOff>
      <xdr:row>1249</xdr:row>
      <xdr:rowOff>60742</xdr:rowOff>
    </xdr:from>
    <xdr:to>
      <xdr:col>0</xdr:col>
      <xdr:colOff>1918335</xdr:colOff>
      <xdr:row>1249</xdr:row>
      <xdr:rowOff>625098</xdr:rowOff>
    </xdr:to>
    <xdr:pic>
      <xdr:nvPicPr>
        <xdr:cNvPr id="2499" name="Picture 2498" descr="Insight Picture 2498">
          <a:extLst>
            <a:ext uri="{FF2B5EF4-FFF2-40B4-BE49-F238E27FC236}">
              <a16:creationId xmlns:a16="http://schemas.microsoft.com/office/drawing/2014/main" id="{517A0BD4-4E4B-D4E6-D260-A50D3C84F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/>
        <a:stretch>
          <a:fillRect/>
        </a:stretch>
      </xdr:blipFill>
      <xdr:spPr>
        <a:xfrm>
          <a:off x="718185" y="1083708562"/>
          <a:ext cx="1200150" cy="564356"/>
        </a:xfrm>
        <a:prstGeom prst="rect">
          <a:avLst/>
        </a:prstGeom>
      </xdr:spPr>
    </xdr:pic>
    <xdr:clientData/>
  </xdr:twoCellAnchor>
  <xdr:twoCellAnchor editAs="oneCell">
    <xdr:from>
      <xdr:col>0</xdr:col>
      <xdr:colOff>664607</xdr:colOff>
      <xdr:row>1250</xdr:row>
      <xdr:rowOff>63619</xdr:rowOff>
    </xdr:from>
    <xdr:to>
      <xdr:col>0</xdr:col>
      <xdr:colOff>1971913</xdr:colOff>
      <xdr:row>1250</xdr:row>
      <xdr:rowOff>599400</xdr:rowOff>
    </xdr:to>
    <xdr:pic>
      <xdr:nvPicPr>
        <xdr:cNvPr id="2501" name="Picture 2500" descr="Insight Picture 2500">
          <a:extLst>
            <a:ext uri="{FF2B5EF4-FFF2-40B4-BE49-F238E27FC236}">
              <a16:creationId xmlns:a16="http://schemas.microsoft.com/office/drawing/2014/main" id="{32024926-964E-85ED-5440-8312CF0E9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/>
        <a:stretch>
          <a:fillRect/>
        </a:stretch>
      </xdr:blipFill>
      <xdr:spPr>
        <a:xfrm>
          <a:off x="664607" y="1084397239"/>
          <a:ext cx="1307306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846773</xdr:colOff>
      <xdr:row>1251</xdr:row>
      <xdr:rowOff>63560</xdr:rowOff>
    </xdr:from>
    <xdr:to>
      <xdr:col>0</xdr:col>
      <xdr:colOff>1789748</xdr:colOff>
      <xdr:row>1251</xdr:row>
      <xdr:rowOff>1285141</xdr:rowOff>
    </xdr:to>
    <xdr:pic>
      <xdr:nvPicPr>
        <xdr:cNvPr id="2503" name="Picture 2502" descr="Insight Picture 2502">
          <a:extLst>
            <a:ext uri="{FF2B5EF4-FFF2-40B4-BE49-F238E27FC236}">
              <a16:creationId xmlns:a16="http://schemas.microsoft.com/office/drawing/2014/main" id="{CC7EA309-8D69-C938-3DBA-96F133221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/>
        <a:stretch>
          <a:fillRect/>
        </a:stretch>
      </xdr:blipFill>
      <xdr:spPr>
        <a:xfrm>
          <a:off x="846773" y="1085060120"/>
          <a:ext cx="942975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743188</xdr:colOff>
      <xdr:row>1252</xdr:row>
      <xdr:rowOff>61218</xdr:rowOff>
    </xdr:from>
    <xdr:to>
      <xdr:col>0</xdr:col>
      <xdr:colOff>1893332</xdr:colOff>
      <xdr:row>1252</xdr:row>
      <xdr:rowOff>868462</xdr:rowOff>
    </xdr:to>
    <xdr:pic>
      <xdr:nvPicPr>
        <xdr:cNvPr id="2505" name="Picture 2504" descr="Insight Picture 2504">
          <a:extLst>
            <a:ext uri="{FF2B5EF4-FFF2-40B4-BE49-F238E27FC236}">
              <a16:creationId xmlns:a16="http://schemas.microsoft.com/office/drawing/2014/main" id="{E982ACF1-4D42-BCA7-3A10-7C3F7357F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/>
        <a:stretch>
          <a:fillRect/>
        </a:stretch>
      </xdr:blipFill>
      <xdr:spPr>
        <a:xfrm>
          <a:off x="743188" y="1086406518"/>
          <a:ext cx="1150144" cy="807244"/>
        </a:xfrm>
        <a:prstGeom prst="rect">
          <a:avLst/>
        </a:prstGeom>
      </xdr:spPr>
    </xdr:pic>
    <xdr:clientData/>
  </xdr:twoCellAnchor>
  <xdr:twoCellAnchor editAs="oneCell">
    <xdr:from>
      <xdr:col>0</xdr:col>
      <xdr:colOff>818198</xdr:colOff>
      <xdr:row>1253</xdr:row>
      <xdr:rowOff>63540</xdr:rowOff>
    </xdr:from>
    <xdr:to>
      <xdr:col>0</xdr:col>
      <xdr:colOff>1818323</xdr:colOff>
      <xdr:row>1253</xdr:row>
      <xdr:rowOff>1285121</xdr:rowOff>
    </xdr:to>
    <xdr:pic>
      <xdr:nvPicPr>
        <xdr:cNvPr id="2507" name="Picture 2506" descr="Insight Picture 2506">
          <a:extLst>
            <a:ext uri="{FF2B5EF4-FFF2-40B4-BE49-F238E27FC236}">
              <a16:creationId xmlns:a16="http://schemas.microsoft.com/office/drawing/2014/main" id="{878C71CB-7AC6-91DB-8C96-D4CE13DA4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/>
        <a:stretch>
          <a:fillRect/>
        </a:stretch>
      </xdr:blipFill>
      <xdr:spPr>
        <a:xfrm>
          <a:off x="818198" y="1087338480"/>
          <a:ext cx="1000125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611028</xdr:colOff>
      <xdr:row>1254</xdr:row>
      <xdr:rowOff>62190</xdr:rowOff>
    </xdr:from>
    <xdr:to>
      <xdr:col>0</xdr:col>
      <xdr:colOff>2025491</xdr:colOff>
      <xdr:row>1254</xdr:row>
      <xdr:rowOff>669409</xdr:rowOff>
    </xdr:to>
    <xdr:pic>
      <xdr:nvPicPr>
        <xdr:cNvPr id="2509" name="Picture 2508" descr="Insight Picture 2508">
          <a:extLst>
            <a:ext uri="{FF2B5EF4-FFF2-40B4-BE49-F238E27FC236}">
              <a16:creationId xmlns:a16="http://schemas.microsoft.com/office/drawing/2014/main" id="{36101C38-74D5-ACA2-372F-42E1974C5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4"/>
        <a:stretch>
          <a:fillRect/>
        </a:stretch>
      </xdr:blipFill>
      <xdr:spPr>
        <a:xfrm>
          <a:off x="611028" y="1088685870"/>
          <a:ext cx="1414463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771763</xdr:colOff>
      <xdr:row>1255</xdr:row>
      <xdr:rowOff>62905</xdr:rowOff>
    </xdr:from>
    <xdr:to>
      <xdr:col>0</xdr:col>
      <xdr:colOff>1864757</xdr:colOff>
      <xdr:row>1255</xdr:row>
      <xdr:rowOff>691555</xdr:rowOff>
    </xdr:to>
    <xdr:pic>
      <xdr:nvPicPr>
        <xdr:cNvPr id="2511" name="Picture 2510" descr="Insight Picture 2510">
          <a:extLst>
            <a:ext uri="{FF2B5EF4-FFF2-40B4-BE49-F238E27FC236}">
              <a16:creationId xmlns:a16="http://schemas.microsoft.com/office/drawing/2014/main" id="{02498297-C7DF-5C33-538A-7E881E931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/>
        <a:stretch>
          <a:fillRect/>
        </a:stretch>
      </xdr:blipFill>
      <xdr:spPr>
        <a:xfrm>
          <a:off x="771763" y="1089418105"/>
          <a:ext cx="1092994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964645</xdr:colOff>
      <xdr:row>1256</xdr:row>
      <xdr:rowOff>62885</xdr:rowOff>
    </xdr:from>
    <xdr:to>
      <xdr:col>0</xdr:col>
      <xdr:colOff>1671876</xdr:colOff>
      <xdr:row>1256</xdr:row>
      <xdr:rowOff>805835</xdr:rowOff>
    </xdr:to>
    <xdr:pic>
      <xdr:nvPicPr>
        <xdr:cNvPr id="2513" name="Picture 2512" descr="Insight Picture 2512">
          <a:extLst>
            <a:ext uri="{FF2B5EF4-FFF2-40B4-BE49-F238E27FC236}">
              <a16:creationId xmlns:a16="http://schemas.microsoft.com/office/drawing/2014/main" id="{B2254423-A485-8C57-CCE6-2B71923B2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6"/>
        <a:stretch>
          <a:fillRect/>
        </a:stretch>
      </xdr:blipFill>
      <xdr:spPr>
        <a:xfrm>
          <a:off x="964645" y="1090172465"/>
          <a:ext cx="707231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896778</xdr:colOff>
      <xdr:row>1257</xdr:row>
      <xdr:rowOff>60484</xdr:rowOff>
    </xdr:from>
    <xdr:to>
      <xdr:col>0</xdr:col>
      <xdr:colOff>1739741</xdr:colOff>
      <xdr:row>1257</xdr:row>
      <xdr:rowOff>846297</xdr:rowOff>
    </xdr:to>
    <xdr:pic>
      <xdr:nvPicPr>
        <xdr:cNvPr id="2515" name="Picture 2514" descr="Insight Picture 2514">
          <a:extLst>
            <a:ext uri="{FF2B5EF4-FFF2-40B4-BE49-F238E27FC236}">
              <a16:creationId xmlns:a16="http://schemas.microsoft.com/office/drawing/2014/main" id="{B9C1E71F-79F2-0896-2EBB-9A3928299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/>
        <a:stretch>
          <a:fillRect/>
        </a:stretch>
      </xdr:blipFill>
      <xdr:spPr>
        <a:xfrm>
          <a:off x="896778" y="1091038744"/>
          <a:ext cx="842963" cy="785813"/>
        </a:xfrm>
        <a:prstGeom prst="rect">
          <a:avLst/>
        </a:prstGeom>
      </xdr:spPr>
    </xdr:pic>
    <xdr:clientData/>
  </xdr:twoCellAnchor>
  <xdr:twoCellAnchor editAs="oneCell">
    <xdr:from>
      <xdr:col>0</xdr:col>
      <xdr:colOff>721757</xdr:colOff>
      <xdr:row>1258</xdr:row>
      <xdr:rowOff>62845</xdr:rowOff>
    </xdr:from>
    <xdr:to>
      <xdr:col>0</xdr:col>
      <xdr:colOff>1914763</xdr:colOff>
      <xdr:row>1258</xdr:row>
      <xdr:rowOff>691495</xdr:rowOff>
    </xdr:to>
    <xdr:pic>
      <xdr:nvPicPr>
        <xdr:cNvPr id="2517" name="Picture 2516" descr="Insight Picture 2516">
          <a:extLst>
            <a:ext uri="{FF2B5EF4-FFF2-40B4-BE49-F238E27FC236}">
              <a16:creationId xmlns:a16="http://schemas.microsoft.com/office/drawing/2014/main" id="{C5914877-C8F1-C084-EBDB-3FEF09FA6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8"/>
        <a:stretch>
          <a:fillRect/>
        </a:stretch>
      </xdr:blipFill>
      <xdr:spPr>
        <a:xfrm>
          <a:off x="721757" y="1091947885"/>
          <a:ext cx="1193006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625316</xdr:colOff>
      <xdr:row>1259</xdr:row>
      <xdr:rowOff>63818</xdr:rowOff>
    </xdr:from>
    <xdr:to>
      <xdr:col>0</xdr:col>
      <xdr:colOff>2011204</xdr:colOff>
      <xdr:row>1259</xdr:row>
      <xdr:rowOff>721043</xdr:rowOff>
    </xdr:to>
    <xdr:pic>
      <xdr:nvPicPr>
        <xdr:cNvPr id="2519" name="Picture 2518" descr="Insight Picture 2518">
          <a:extLst>
            <a:ext uri="{FF2B5EF4-FFF2-40B4-BE49-F238E27FC236}">
              <a16:creationId xmlns:a16="http://schemas.microsoft.com/office/drawing/2014/main" id="{9D6AF94D-FF55-B501-9D37-1390D64B2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9"/>
        <a:stretch>
          <a:fillRect/>
        </a:stretch>
      </xdr:blipFill>
      <xdr:spPr>
        <a:xfrm>
          <a:off x="625316" y="1092703238"/>
          <a:ext cx="1385888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618172</xdr:colOff>
      <xdr:row>1260</xdr:row>
      <xdr:rowOff>60206</xdr:rowOff>
    </xdr:from>
    <xdr:to>
      <xdr:col>0</xdr:col>
      <xdr:colOff>2018347</xdr:colOff>
      <xdr:row>1260</xdr:row>
      <xdr:rowOff>724575</xdr:rowOff>
    </xdr:to>
    <xdr:pic>
      <xdr:nvPicPr>
        <xdr:cNvPr id="2521" name="Picture 2520" descr="Insight Picture 2520">
          <a:extLst>
            <a:ext uri="{FF2B5EF4-FFF2-40B4-BE49-F238E27FC236}">
              <a16:creationId xmlns:a16="http://schemas.microsoft.com/office/drawing/2014/main" id="{5475007E-B528-F517-9DD4-B9B583400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/>
        <a:stretch>
          <a:fillRect/>
        </a:stretch>
      </xdr:blipFill>
      <xdr:spPr>
        <a:xfrm>
          <a:off x="618172" y="1093484486"/>
          <a:ext cx="1400175" cy="664369"/>
        </a:xfrm>
        <a:prstGeom prst="rect">
          <a:avLst/>
        </a:prstGeom>
      </xdr:spPr>
    </xdr:pic>
    <xdr:clientData/>
  </xdr:twoCellAnchor>
  <xdr:twoCellAnchor editAs="oneCell">
    <xdr:from>
      <xdr:col>0</xdr:col>
      <xdr:colOff>664607</xdr:colOff>
      <xdr:row>1261</xdr:row>
      <xdr:rowOff>62845</xdr:rowOff>
    </xdr:from>
    <xdr:to>
      <xdr:col>0</xdr:col>
      <xdr:colOff>1971913</xdr:colOff>
      <xdr:row>1261</xdr:row>
      <xdr:rowOff>691495</xdr:rowOff>
    </xdr:to>
    <xdr:pic>
      <xdr:nvPicPr>
        <xdr:cNvPr id="2523" name="Picture 2522" descr="Insight Picture 2522">
          <a:extLst>
            <a:ext uri="{FF2B5EF4-FFF2-40B4-BE49-F238E27FC236}">
              <a16:creationId xmlns:a16="http://schemas.microsoft.com/office/drawing/2014/main" id="{2E1A89A1-FE55-07BE-0F60-3494D805A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/>
        <a:stretch>
          <a:fillRect/>
        </a:stretch>
      </xdr:blipFill>
      <xdr:spPr>
        <a:xfrm>
          <a:off x="664607" y="1094271985"/>
          <a:ext cx="1307306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721757</xdr:colOff>
      <xdr:row>1262</xdr:row>
      <xdr:rowOff>61436</xdr:rowOff>
    </xdr:from>
    <xdr:to>
      <xdr:col>0</xdr:col>
      <xdr:colOff>1914763</xdr:colOff>
      <xdr:row>1262</xdr:row>
      <xdr:rowOff>990124</xdr:rowOff>
    </xdr:to>
    <xdr:pic>
      <xdr:nvPicPr>
        <xdr:cNvPr id="2525" name="Picture 2524" descr="Insight Picture 2524">
          <a:extLst>
            <a:ext uri="{FF2B5EF4-FFF2-40B4-BE49-F238E27FC236}">
              <a16:creationId xmlns:a16="http://schemas.microsoft.com/office/drawing/2014/main" id="{836854F4-F2B0-EC75-442D-D72D5285B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/>
        <a:stretch>
          <a:fillRect/>
        </a:stretch>
      </xdr:blipFill>
      <xdr:spPr>
        <a:xfrm>
          <a:off x="721757" y="1095024956"/>
          <a:ext cx="1193006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786050</xdr:colOff>
      <xdr:row>1263</xdr:row>
      <xdr:rowOff>60206</xdr:rowOff>
    </xdr:from>
    <xdr:to>
      <xdr:col>0</xdr:col>
      <xdr:colOff>1850469</xdr:colOff>
      <xdr:row>1263</xdr:row>
      <xdr:rowOff>838875</xdr:rowOff>
    </xdr:to>
    <xdr:pic>
      <xdr:nvPicPr>
        <xdr:cNvPr id="2527" name="Picture 2526" descr="Insight Picture 2526">
          <a:extLst>
            <a:ext uri="{FF2B5EF4-FFF2-40B4-BE49-F238E27FC236}">
              <a16:creationId xmlns:a16="http://schemas.microsoft.com/office/drawing/2014/main" id="{1F51AFFF-6571-112C-7C97-2E939FE82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/>
        <a:stretch>
          <a:fillRect/>
        </a:stretch>
      </xdr:blipFill>
      <xdr:spPr>
        <a:xfrm>
          <a:off x="786050" y="1096075286"/>
          <a:ext cx="1064419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757475</xdr:colOff>
      <xdr:row>1264</xdr:row>
      <xdr:rowOff>62349</xdr:rowOff>
    </xdr:from>
    <xdr:to>
      <xdr:col>0</xdr:col>
      <xdr:colOff>1879044</xdr:colOff>
      <xdr:row>1264</xdr:row>
      <xdr:rowOff>791012</xdr:rowOff>
    </xdr:to>
    <xdr:pic>
      <xdr:nvPicPr>
        <xdr:cNvPr id="2529" name="Picture 2528" descr="Insight Picture 2528">
          <a:extLst>
            <a:ext uri="{FF2B5EF4-FFF2-40B4-BE49-F238E27FC236}">
              <a16:creationId xmlns:a16="http://schemas.microsoft.com/office/drawing/2014/main" id="{AAD2C6CB-2C55-EC1E-40D5-1CF99AC1B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/>
        <a:stretch>
          <a:fillRect/>
        </a:stretch>
      </xdr:blipFill>
      <xdr:spPr>
        <a:xfrm>
          <a:off x="757475" y="1096976589"/>
          <a:ext cx="1121569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643175</xdr:colOff>
      <xdr:row>1265</xdr:row>
      <xdr:rowOff>62389</xdr:rowOff>
    </xdr:from>
    <xdr:to>
      <xdr:col>0</xdr:col>
      <xdr:colOff>1993344</xdr:colOff>
      <xdr:row>1265</xdr:row>
      <xdr:rowOff>791052</xdr:rowOff>
    </xdr:to>
    <xdr:pic>
      <xdr:nvPicPr>
        <xdr:cNvPr id="2531" name="Picture 2530" descr="Insight Picture 2530">
          <a:extLst>
            <a:ext uri="{FF2B5EF4-FFF2-40B4-BE49-F238E27FC236}">
              <a16:creationId xmlns:a16="http://schemas.microsoft.com/office/drawing/2014/main" id="{C13654A1-ADF7-E504-7395-97F403270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/>
        <a:stretch>
          <a:fillRect/>
        </a:stretch>
      </xdr:blipFill>
      <xdr:spPr>
        <a:xfrm>
          <a:off x="643175" y="1097830069"/>
          <a:ext cx="1350169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418147</xdr:colOff>
      <xdr:row>1266</xdr:row>
      <xdr:rowOff>61238</xdr:rowOff>
    </xdr:from>
    <xdr:to>
      <xdr:col>0</xdr:col>
      <xdr:colOff>2218372</xdr:colOff>
      <xdr:row>1266</xdr:row>
      <xdr:rowOff>754182</xdr:rowOff>
    </xdr:to>
    <xdr:pic>
      <xdr:nvPicPr>
        <xdr:cNvPr id="2533" name="Picture 2532" descr="Insight Picture 2532">
          <a:extLst>
            <a:ext uri="{FF2B5EF4-FFF2-40B4-BE49-F238E27FC236}">
              <a16:creationId xmlns:a16="http://schemas.microsoft.com/office/drawing/2014/main" id="{C22C687D-1454-2882-D303-EF67B7853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/>
        <a:stretch>
          <a:fillRect/>
        </a:stretch>
      </xdr:blipFill>
      <xdr:spPr>
        <a:xfrm>
          <a:off x="418147" y="1098682358"/>
          <a:ext cx="1800225" cy="692944"/>
        </a:xfrm>
        <a:prstGeom prst="rect">
          <a:avLst/>
        </a:prstGeom>
      </xdr:spPr>
    </xdr:pic>
    <xdr:clientData/>
  </xdr:twoCellAnchor>
  <xdr:twoCellAnchor editAs="oneCell">
    <xdr:from>
      <xdr:col>0</xdr:col>
      <xdr:colOff>346710</xdr:colOff>
      <xdr:row>1267</xdr:row>
      <xdr:rowOff>61178</xdr:rowOff>
    </xdr:from>
    <xdr:to>
      <xdr:col>0</xdr:col>
      <xdr:colOff>2289810</xdr:colOff>
      <xdr:row>1267</xdr:row>
      <xdr:rowOff>639822</xdr:rowOff>
    </xdr:to>
    <xdr:pic>
      <xdr:nvPicPr>
        <xdr:cNvPr id="2535" name="Picture 2534" descr="Insight Picture 2534">
          <a:extLst>
            <a:ext uri="{FF2B5EF4-FFF2-40B4-BE49-F238E27FC236}">
              <a16:creationId xmlns:a16="http://schemas.microsoft.com/office/drawing/2014/main" id="{3B05BDD6-CA76-6B0F-C07E-17575AB0C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/>
        <a:stretch>
          <a:fillRect/>
        </a:stretch>
      </xdr:blipFill>
      <xdr:spPr>
        <a:xfrm>
          <a:off x="346710" y="1099497638"/>
          <a:ext cx="1943100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857488</xdr:colOff>
      <xdr:row>1268</xdr:row>
      <xdr:rowOff>61416</xdr:rowOff>
    </xdr:from>
    <xdr:to>
      <xdr:col>0</xdr:col>
      <xdr:colOff>1779032</xdr:colOff>
      <xdr:row>1268</xdr:row>
      <xdr:rowOff>761504</xdr:rowOff>
    </xdr:to>
    <xdr:pic>
      <xdr:nvPicPr>
        <xdr:cNvPr id="2537" name="Picture 2536" descr="Insight Picture 2536">
          <a:extLst>
            <a:ext uri="{FF2B5EF4-FFF2-40B4-BE49-F238E27FC236}">
              <a16:creationId xmlns:a16="http://schemas.microsoft.com/office/drawing/2014/main" id="{5E933A24-4120-3A1F-49A0-BDD9B2617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/>
        <a:stretch>
          <a:fillRect/>
        </a:stretch>
      </xdr:blipFill>
      <xdr:spPr>
        <a:xfrm>
          <a:off x="857488" y="1100198916"/>
          <a:ext cx="921544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603885</xdr:colOff>
      <xdr:row>1269</xdr:row>
      <xdr:rowOff>62170</xdr:rowOff>
    </xdr:from>
    <xdr:to>
      <xdr:col>0</xdr:col>
      <xdr:colOff>2032635</xdr:colOff>
      <xdr:row>1269</xdr:row>
      <xdr:rowOff>669389</xdr:rowOff>
    </xdr:to>
    <xdr:pic>
      <xdr:nvPicPr>
        <xdr:cNvPr id="2539" name="Picture 2538" descr="Insight Picture 2538">
          <a:extLst>
            <a:ext uri="{FF2B5EF4-FFF2-40B4-BE49-F238E27FC236}">
              <a16:creationId xmlns:a16="http://schemas.microsoft.com/office/drawing/2014/main" id="{8ED25C41-D127-AFE4-C179-5AB49A424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/>
        <a:stretch>
          <a:fillRect/>
        </a:stretch>
      </xdr:blipFill>
      <xdr:spPr>
        <a:xfrm>
          <a:off x="603885" y="1101022630"/>
          <a:ext cx="1428750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689610</xdr:colOff>
      <xdr:row>1270</xdr:row>
      <xdr:rowOff>62190</xdr:rowOff>
    </xdr:from>
    <xdr:to>
      <xdr:col>0</xdr:col>
      <xdr:colOff>1946910</xdr:colOff>
      <xdr:row>1270</xdr:row>
      <xdr:rowOff>1126609</xdr:rowOff>
    </xdr:to>
    <xdr:pic>
      <xdr:nvPicPr>
        <xdr:cNvPr id="2541" name="Picture 2540" descr="Insight Picture 2540">
          <a:extLst>
            <a:ext uri="{FF2B5EF4-FFF2-40B4-BE49-F238E27FC236}">
              <a16:creationId xmlns:a16="http://schemas.microsoft.com/office/drawing/2014/main" id="{E15AFBA3-7C88-7E50-1A09-B56740394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/>
        <a:stretch>
          <a:fillRect/>
        </a:stretch>
      </xdr:blipFill>
      <xdr:spPr>
        <a:xfrm>
          <a:off x="689610" y="1101754170"/>
          <a:ext cx="1257300" cy="1064419"/>
        </a:xfrm>
        <a:prstGeom prst="rect">
          <a:avLst/>
        </a:prstGeom>
      </xdr:spPr>
    </xdr:pic>
    <xdr:clientData/>
  </xdr:twoCellAnchor>
  <xdr:twoCellAnchor editAs="oneCell">
    <xdr:from>
      <xdr:col>0</xdr:col>
      <xdr:colOff>678895</xdr:colOff>
      <xdr:row>1271</xdr:row>
      <xdr:rowOff>61913</xdr:rowOff>
    </xdr:from>
    <xdr:to>
      <xdr:col>0</xdr:col>
      <xdr:colOff>1957626</xdr:colOff>
      <xdr:row>1271</xdr:row>
      <xdr:rowOff>1119188</xdr:rowOff>
    </xdr:to>
    <xdr:pic>
      <xdr:nvPicPr>
        <xdr:cNvPr id="2543" name="Picture 2542" descr="Insight Picture 2542">
          <a:extLst>
            <a:ext uri="{FF2B5EF4-FFF2-40B4-BE49-F238E27FC236}">
              <a16:creationId xmlns:a16="http://schemas.microsoft.com/office/drawing/2014/main" id="{1722F572-4D26-F246-20BE-80B52BC8B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/>
        <a:stretch>
          <a:fillRect/>
        </a:stretch>
      </xdr:blipFill>
      <xdr:spPr>
        <a:xfrm>
          <a:off x="678895" y="1102942613"/>
          <a:ext cx="1278731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589597</xdr:colOff>
      <xdr:row>1272</xdr:row>
      <xdr:rowOff>61714</xdr:rowOff>
    </xdr:from>
    <xdr:to>
      <xdr:col>0</xdr:col>
      <xdr:colOff>2046922</xdr:colOff>
      <xdr:row>1272</xdr:row>
      <xdr:rowOff>540345</xdr:rowOff>
    </xdr:to>
    <xdr:pic>
      <xdr:nvPicPr>
        <xdr:cNvPr id="2545" name="Picture 2544" descr="Insight Picture 2544">
          <a:extLst>
            <a:ext uri="{FF2B5EF4-FFF2-40B4-BE49-F238E27FC236}">
              <a16:creationId xmlns:a16="http://schemas.microsoft.com/office/drawing/2014/main" id="{93CC13AE-F84A-7868-DC43-E2E692946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/>
        <a:stretch>
          <a:fillRect/>
        </a:stretch>
      </xdr:blipFill>
      <xdr:spPr>
        <a:xfrm>
          <a:off x="589597" y="1104123514"/>
          <a:ext cx="1457325" cy="478631"/>
        </a:xfrm>
        <a:prstGeom prst="rect">
          <a:avLst/>
        </a:prstGeom>
      </xdr:spPr>
    </xdr:pic>
    <xdr:clientData/>
  </xdr:twoCellAnchor>
  <xdr:twoCellAnchor editAs="oneCell">
    <xdr:from>
      <xdr:col>0</xdr:col>
      <xdr:colOff>693182</xdr:colOff>
      <xdr:row>1273</xdr:row>
      <xdr:rowOff>62389</xdr:rowOff>
    </xdr:from>
    <xdr:to>
      <xdr:col>0</xdr:col>
      <xdr:colOff>1943338</xdr:colOff>
      <xdr:row>1273</xdr:row>
      <xdr:rowOff>1133952</xdr:rowOff>
    </xdr:to>
    <xdr:pic>
      <xdr:nvPicPr>
        <xdr:cNvPr id="2547" name="Picture 2546" descr="Insight Picture 2546">
          <a:extLst>
            <a:ext uri="{FF2B5EF4-FFF2-40B4-BE49-F238E27FC236}">
              <a16:creationId xmlns:a16="http://schemas.microsoft.com/office/drawing/2014/main" id="{9F988128-06B5-224D-1F26-78C37CFFF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/>
        <a:stretch>
          <a:fillRect/>
        </a:stretch>
      </xdr:blipFill>
      <xdr:spPr>
        <a:xfrm>
          <a:off x="693182" y="1104726169"/>
          <a:ext cx="1250156" cy="1071563"/>
        </a:xfrm>
        <a:prstGeom prst="rect">
          <a:avLst/>
        </a:prstGeom>
      </xdr:spPr>
    </xdr:pic>
    <xdr:clientData/>
  </xdr:twoCellAnchor>
  <xdr:twoCellAnchor editAs="oneCell">
    <xdr:from>
      <xdr:col>0</xdr:col>
      <xdr:colOff>689610</xdr:colOff>
      <xdr:row>1274</xdr:row>
      <xdr:rowOff>63619</xdr:rowOff>
    </xdr:from>
    <xdr:to>
      <xdr:col>0</xdr:col>
      <xdr:colOff>1946910</xdr:colOff>
      <xdr:row>1274</xdr:row>
      <xdr:rowOff>942300</xdr:rowOff>
    </xdr:to>
    <xdr:pic>
      <xdr:nvPicPr>
        <xdr:cNvPr id="2549" name="Picture 2548" descr="Insight Picture 2548">
          <a:extLst>
            <a:ext uri="{FF2B5EF4-FFF2-40B4-BE49-F238E27FC236}">
              <a16:creationId xmlns:a16="http://schemas.microsoft.com/office/drawing/2014/main" id="{0A0714A9-CE29-F663-48B1-CEB9A35FA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/>
        <a:stretch>
          <a:fillRect/>
        </a:stretch>
      </xdr:blipFill>
      <xdr:spPr>
        <a:xfrm>
          <a:off x="689610" y="1105923739"/>
          <a:ext cx="1257300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693182</xdr:colOff>
      <xdr:row>1275</xdr:row>
      <xdr:rowOff>63560</xdr:rowOff>
    </xdr:from>
    <xdr:to>
      <xdr:col>0</xdr:col>
      <xdr:colOff>1943338</xdr:colOff>
      <xdr:row>1275</xdr:row>
      <xdr:rowOff>1285141</xdr:rowOff>
    </xdr:to>
    <xdr:pic>
      <xdr:nvPicPr>
        <xdr:cNvPr id="2551" name="Picture 2550" descr="Insight Picture 2550">
          <a:extLst>
            <a:ext uri="{FF2B5EF4-FFF2-40B4-BE49-F238E27FC236}">
              <a16:creationId xmlns:a16="http://schemas.microsoft.com/office/drawing/2014/main" id="{801433A8-183B-A22E-1CA5-9C3EDC21D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/>
        <a:stretch>
          <a:fillRect/>
        </a:stretch>
      </xdr:blipFill>
      <xdr:spPr>
        <a:xfrm>
          <a:off x="693182" y="1106929520"/>
          <a:ext cx="1250156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861060</xdr:colOff>
      <xdr:row>1276</xdr:row>
      <xdr:rowOff>60226</xdr:rowOff>
    </xdr:from>
    <xdr:to>
      <xdr:col>0</xdr:col>
      <xdr:colOff>1775460</xdr:colOff>
      <xdr:row>1276</xdr:row>
      <xdr:rowOff>838895</xdr:rowOff>
    </xdr:to>
    <xdr:pic>
      <xdr:nvPicPr>
        <xdr:cNvPr id="2553" name="Picture 2552" descr="Insight Picture 2552">
          <a:extLst>
            <a:ext uri="{FF2B5EF4-FFF2-40B4-BE49-F238E27FC236}">
              <a16:creationId xmlns:a16="http://schemas.microsoft.com/office/drawing/2014/main" id="{3C24B3BE-8E38-F1D1-F95D-9BC871E3A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/>
        <a:stretch>
          <a:fillRect/>
        </a:stretch>
      </xdr:blipFill>
      <xdr:spPr>
        <a:xfrm>
          <a:off x="861060" y="1108274926"/>
          <a:ext cx="914400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771763</xdr:colOff>
      <xdr:row>1277</xdr:row>
      <xdr:rowOff>60285</xdr:rowOff>
    </xdr:from>
    <xdr:to>
      <xdr:col>0</xdr:col>
      <xdr:colOff>1864757</xdr:colOff>
      <xdr:row>1277</xdr:row>
      <xdr:rowOff>838954</xdr:rowOff>
    </xdr:to>
    <xdr:pic>
      <xdr:nvPicPr>
        <xdr:cNvPr id="2555" name="Picture 2554" descr="Insight Picture 2554">
          <a:extLst>
            <a:ext uri="{FF2B5EF4-FFF2-40B4-BE49-F238E27FC236}">
              <a16:creationId xmlns:a16="http://schemas.microsoft.com/office/drawing/2014/main" id="{75417C53-87AD-4DB6-08BD-ADCF02BC0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7"/>
        <a:stretch>
          <a:fillRect/>
        </a:stretch>
      </xdr:blipFill>
      <xdr:spPr>
        <a:xfrm>
          <a:off x="771763" y="1109174145"/>
          <a:ext cx="1092994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818198</xdr:colOff>
      <xdr:row>1278</xdr:row>
      <xdr:rowOff>61238</xdr:rowOff>
    </xdr:from>
    <xdr:to>
      <xdr:col>0</xdr:col>
      <xdr:colOff>1818323</xdr:colOff>
      <xdr:row>1278</xdr:row>
      <xdr:rowOff>754182</xdr:rowOff>
    </xdr:to>
    <xdr:pic>
      <xdr:nvPicPr>
        <xdr:cNvPr id="2557" name="Picture 2556" descr="Insight Picture 2556">
          <a:extLst>
            <a:ext uri="{FF2B5EF4-FFF2-40B4-BE49-F238E27FC236}">
              <a16:creationId xmlns:a16="http://schemas.microsoft.com/office/drawing/2014/main" id="{A77E7106-E087-BFE3-4FA4-CC97D54A2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/>
        <a:stretch>
          <a:fillRect/>
        </a:stretch>
      </xdr:blipFill>
      <xdr:spPr>
        <a:xfrm>
          <a:off x="818198" y="1110074258"/>
          <a:ext cx="1000125" cy="692944"/>
        </a:xfrm>
        <a:prstGeom prst="rect">
          <a:avLst/>
        </a:prstGeom>
      </xdr:spPr>
    </xdr:pic>
    <xdr:clientData/>
  </xdr:twoCellAnchor>
  <xdr:twoCellAnchor editAs="oneCell">
    <xdr:from>
      <xdr:col>0</xdr:col>
      <xdr:colOff>839628</xdr:colOff>
      <xdr:row>1279</xdr:row>
      <xdr:rowOff>63560</xdr:rowOff>
    </xdr:from>
    <xdr:to>
      <xdr:col>0</xdr:col>
      <xdr:colOff>1796891</xdr:colOff>
      <xdr:row>1279</xdr:row>
      <xdr:rowOff>942241</xdr:rowOff>
    </xdr:to>
    <xdr:pic>
      <xdr:nvPicPr>
        <xdr:cNvPr id="2559" name="Picture 2558" descr="Insight Picture 2558">
          <a:extLst>
            <a:ext uri="{FF2B5EF4-FFF2-40B4-BE49-F238E27FC236}">
              <a16:creationId xmlns:a16="http://schemas.microsoft.com/office/drawing/2014/main" id="{557948D3-D2B5-0F63-A83F-20BECB239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/>
        <a:stretch>
          <a:fillRect/>
        </a:stretch>
      </xdr:blipFill>
      <xdr:spPr>
        <a:xfrm>
          <a:off x="839628" y="1110891920"/>
          <a:ext cx="957263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657463</xdr:colOff>
      <xdr:row>1280</xdr:row>
      <xdr:rowOff>62905</xdr:rowOff>
    </xdr:from>
    <xdr:to>
      <xdr:col>0</xdr:col>
      <xdr:colOff>1979057</xdr:colOff>
      <xdr:row>1280</xdr:row>
      <xdr:rowOff>1034455</xdr:rowOff>
    </xdr:to>
    <xdr:pic>
      <xdr:nvPicPr>
        <xdr:cNvPr id="2561" name="Picture 2560" descr="Insight Picture 2560">
          <a:extLst>
            <a:ext uri="{FF2B5EF4-FFF2-40B4-BE49-F238E27FC236}">
              <a16:creationId xmlns:a16="http://schemas.microsoft.com/office/drawing/2014/main" id="{FF1E92DF-939C-9174-87AC-35ED9142D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/>
        <a:stretch>
          <a:fillRect/>
        </a:stretch>
      </xdr:blipFill>
      <xdr:spPr>
        <a:xfrm>
          <a:off x="657463" y="1111897105"/>
          <a:ext cx="1321594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843200</xdr:colOff>
      <xdr:row>1281</xdr:row>
      <xdr:rowOff>63579</xdr:rowOff>
    </xdr:from>
    <xdr:to>
      <xdr:col>0</xdr:col>
      <xdr:colOff>1793319</xdr:colOff>
      <xdr:row>1281</xdr:row>
      <xdr:rowOff>1285160</xdr:rowOff>
    </xdr:to>
    <xdr:pic>
      <xdr:nvPicPr>
        <xdr:cNvPr id="2563" name="Picture 2562" descr="Insight Picture 2562">
          <a:extLst>
            <a:ext uri="{FF2B5EF4-FFF2-40B4-BE49-F238E27FC236}">
              <a16:creationId xmlns:a16="http://schemas.microsoft.com/office/drawing/2014/main" id="{3E348A9B-5466-AE94-D274-96FE7C5C9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/>
        <a:stretch>
          <a:fillRect/>
        </a:stretch>
      </xdr:blipFill>
      <xdr:spPr>
        <a:xfrm>
          <a:off x="843200" y="1112995059"/>
          <a:ext cx="950119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728900</xdr:colOff>
      <xdr:row>1282</xdr:row>
      <xdr:rowOff>63321</xdr:rowOff>
    </xdr:from>
    <xdr:to>
      <xdr:col>0</xdr:col>
      <xdr:colOff>1907619</xdr:colOff>
      <xdr:row>1282</xdr:row>
      <xdr:rowOff>706259</xdr:rowOff>
    </xdr:to>
    <xdr:pic>
      <xdr:nvPicPr>
        <xdr:cNvPr id="2565" name="Picture 2564" descr="Insight Picture 2564">
          <a:extLst>
            <a:ext uri="{FF2B5EF4-FFF2-40B4-BE49-F238E27FC236}">
              <a16:creationId xmlns:a16="http://schemas.microsoft.com/office/drawing/2014/main" id="{9B76FC8D-60E3-FD00-06AF-F256D79E9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/>
        <a:stretch>
          <a:fillRect/>
        </a:stretch>
      </xdr:blipFill>
      <xdr:spPr>
        <a:xfrm>
          <a:off x="728900" y="1114343541"/>
          <a:ext cx="1178719" cy="642938"/>
        </a:xfrm>
        <a:prstGeom prst="rect">
          <a:avLst/>
        </a:prstGeom>
      </xdr:spPr>
    </xdr:pic>
    <xdr:clientData/>
  </xdr:twoCellAnchor>
  <xdr:twoCellAnchor editAs="oneCell">
    <xdr:from>
      <xdr:col>0</xdr:col>
      <xdr:colOff>646747</xdr:colOff>
      <xdr:row>1283</xdr:row>
      <xdr:rowOff>62349</xdr:rowOff>
    </xdr:from>
    <xdr:to>
      <xdr:col>0</xdr:col>
      <xdr:colOff>1989772</xdr:colOff>
      <xdr:row>1283</xdr:row>
      <xdr:rowOff>791012</xdr:rowOff>
    </xdr:to>
    <xdr:pic>
      <xdr:nvPicPr>
        <xdr:cNvPr id="2567" name="Picture 2566" descr="Insight Picture 2566">
          <a:extLst>
            <a:ext uri="{FF2B5EF4-FFF2-40B4-BE49-F238E27FC236}">
              <a16:creationId xmlns:a16="http://schemas.microsoft.com/office/drawing/2014/main" id="{FF5E1A20-B0CD-08E7-7B6F-51079B29D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/>
        <a:stretch>
          <a:fillRect/>
        </a:stretch>
      </xdr:blipFill>
      <xdr:spPr>
        <a:xfrm>
          <a:off x="646747" y="1115112189"/>
          <a:ext cx="1343025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668178</xdr:colOff>
      <xdr:row>1284</xdr:row>
      <xdr:rowOff>60206</xdr:rowOff>
    </xdr:from>
    <xdr:to>
      <xdr:col>0</xdr:col>
      <xdr:colOff>1968341</xdr:colOff>
      <xdr:row>1284</xdr:row>
      <xdr:rowOff>838875</xdr:rowOff>
    </xdr:to>
    <xdr:pic>
      <xdr:nvPicPr>
        <xdr:cNvPr id="2569" name="Picture 2568" descr="Insight Picture 2568">
          <a:extLst>
            <a:ext uri="{FF2B5EF4-FFF2-40B4-BE49-F238E27FC236}">
              <a16:creationId xmlns:a16="http://schemas.microsoft.com/office/drawing/2014/main" id="{C31B9A44-25C7-D1B3-C5C0-9C70DEE40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/>
        <a:stretch>
          <a:fillRect/>
        </a:stretch>
      </xdr:blipFill>
      <xdr:spPr>
        <a:xfrm>
          <a:off x="668178" y="1115963486"/>
          <a:ext cx="1300163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771763</xdr:colOff>
      <xdr:row>1285</xdr:row>
      <xdr:rowOff>62647</xdr:rowOff>
    </xdr:from>
    <xdr:to>
      <xdr:col>0</xdr:col>
      <xdr:colOff>1864757</xdr:colOff>
      <xdr:row>1285</xdr:row>
      <xdr:rowOff>798453</xdr:rowOff>
    </xdr:to>
    <xdr:pic>
      <xdr:nvPicPr>
        <xdr:cNvPr id="2571" name="Picture 2570" descr="Insight Picture 2570">
          <a:extLst>
            <a:ext uri="{FF2B5EF4-FFF2-40B4-BE49-F238E27FC236}">
              <a16:creationId xmlns:a16="http://schemas.microsoft.com/office/drawing/2014/main" id="{0823FA2B-F53C-0A3A-C340-624AE8481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/>
        <a:stretch>
          <a:fillRect/>
        </a:stretch>
      </xdr:blipFill>
      <xdr:spPr>
        <a:xfrm>
          <a:off x="771763" y="1116865087"/>
          <a:ext cx="1092994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707470</xdr:colOff>
      <xdr:row>1286</xdr:row>
      <xdr:rowOff>63302</xdr:rowOff>
    </xdr:from>
    <xdr:to>
      <xdr:col>0</xdr:col>
      <xdr:colOff>1929051</xdr:colOff>
      <xdr:row>1286</xdr:row>
      <xdr:rowOff>706240</xdr:rowOff>
    </xdr:to>
    <xdr:pic>
      <xdr:nvPicPr>
        <xdr:cNvPr id="2573" name="Picture 2572" descr="Insight Picture 2572">
          <a:extLst>
            <a:ext uri="{FF2B5EF4-FFF2-40B4-BE49-F238E27FC236}">
              <a16:creationId xmlns:a16="http://schemas.microsoft.com/office/drawing/2014/main" id="{6288DE93-1891-4730-2604-35BA884D5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/>
        <a:stretch>
          <a:fillRect/>
        </a:stretch>
      </xdr:blipFill>
      <xdr:spPr>
        <a:xfrm>
          <a:off x="707470" y="1117726802"/>
          <a:ext cx="1221581" cy="642938"/>
        </a:xfrm>
        <a:prstGeom prst="rect">
          <a:avLst/>
        </a:prstGeom>
      </xdr:spPr>
    </xdr:pic>
    <xdr:clientData/>
  </xdr:twoCellAnchor>
  <xdr:twoCellAnchor editAs="oneCell">
    <xdr:from>
      <xdr:col>0</xdr:col>
      <xdr:colOff>643175</xdr:colOff>
      <xdr:row>1287</xdr:row>
      <xdr:rowOff>63619</xdr:rowOff>
    </xdr:from>
    <xdr:to>
      <xdr:col>0</xdr:col>
      <xdr:colOff>1993344</xdr:colOff>
      <xdr:row>1287</xdr:row>
      <xdr:rowOff>942300</xdr:rowOff>
    </xdr:to>
    <xdr:pic>
      <xdr:nvPicPr>
        <xdr:cNvPr id="2575" name="Picture 2574" descr="Insight Picture 2574">
          <a:extLst>
            <a:ext uri="{FF2B5EF4-FFF2-40B4-BE49-F238E27FC236}">
              <a16:creationId xmlns:a16="http://schemas.microsoft.com/office/drawing/2014/main" id="{F5DF77DC-8536-D55B-D18B-2FE3A729D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/>
        <a:stretch>
          <a:fillRect/>
        </a:stretch>
      </xdr:blipFill>
      <xdr:spPr>
        <a:xfrm>
          <a:off x="643175" y="1118496739"/>
          <a:ext cx="1350169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803910</xdr:colOff>
      <xdr:row>1288</xdr:row>
      <xdr:rowOff>63560</xdr:rowOff>
    </xdr:from>
    <xdr:to>
      <xdr:col>0</xdr:col>
      <xdr:colOff>1832610</xdr:colOff>
      <xdr:row>1288</xdr:row>
      <xdr:rowOff>942241</xdr:rowOff>
    </xdr:to>
    <xdr:pic>
      <xdr:nvPicPr>
        <xdr:cNvPr id="2577" name="Picture 2576" descr="Insight Picture 2576">
          <a:extLst>
            <a:ext uri="{FF2B5EF4-FFF2-40B4-BE49-F238E27FC236}">
              <a16:creationId xmlns:a16="http://schemas.microsoft.com/office/drawing/2014/main" id="{B5332FCB-41AC-4D30-66D2-7CF33CA54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/>
        <a:stretch>
          <a:fillRect/>
        </a:stretch>
      </xdr:blipFill>
      <xdr:spPr>
        <a:xfrm>
          <a:off x="803910" y="1119502520"/>
          <a:ext cx="1028700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650320</xdr:colOff>
      <xdr:row>1289</xdr:row>
      <xdr:rowOff>63302</xdr:rowOff>
    </xdr:from>
    <xdr:to>
      <xdr:col>0</xdr:col>
      <xdr:colOff>1986201</xdr:colOff>
      <xdr:row>1289</xdr:row>
      <xdr:rowOff>934840</xdr:rowOff>
    </xdr:to>
    <xdr:pic>
      <xdr:nvPicPr>
        <xdr:cNvPr id="2579" name="Picture 2578" descr="Insight Picture 2578">
          <a:extLst>
            <a:ext uri="{FF2B5EF4-FFF2-40B4-BE49-F238E27FC236}">
              <a16:creationId xmlns:a16="http://schemas.microsoft.com/office/drawing/2014/main" id="{169A006D-1FB1-E6D5-B9CE-6B5F1D6C6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/>
        <a:stretch>
          <a:fillRect/>
        </a:stretch>
      </xdr:blipFill>
      <xdr:spPr>
        <a:xfrm>
          <a:off x="650320" y="1120508102"/>
          <a:ext cx="1335881" cy="871538"/>
        </a:xfrm>
        <a:prstGeom prst="rect">
          <a:avLst/>
        </a:prstGeom>
      </xdr:spPr>
    </xdr:pic>
    <xdr:clientData/>
  </xdr:twoCellAnchor>
  <xdr:twoCellAnchor editAs="oneCell">
    <xdr:from>
      <xdr:col>0</xdr:col>
      <xdr:colOff>825341</xdr:colOff>
      <xdr:row>1290</xdr:row>
      <xdr:rowOff>60940</xdr:rowOff>
    </xdr:from>
    <xdr:to>
      <xdr:col>0</xdr:col>
      <xdr:colOff>1811179</xdr:colOff>
      <xdr:row>1290</xdr:row>
      <xdr:rowOff>975340</xdr:rowOff>
    </xdr:to>
    <xdr:pic>
      <xdr:nvPicPr>
        <xdr:cNvPr id="2581" name="Picture 2580" descr="Insight Picture 2580">
          <a:extLst>
            <a:ext uri="{FF2B5EF4-FFF2-40B4-BE49-F238E27FC236}">
              <a16:creationId xmlns:a16="http://schemas.microsoft.com/office/drawing/2014/main" id="{5B570D06-6267-D38D-F918-6D0F87FE4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/>
        <a:stretch>
          <a:fillRect/>
        </a:stretch>
      </xdr:blipFill>
      <xdr:spPr>
        <a:xfrm>
          <a:off x="825341" y="1121503960"/>
          <a:ext cx="985838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828913</xdr:colOff>
      <xdr:row>1291</xdr:row>
      <xdr:rowOff>61456</xdr:rowOff>
    </xdr:from>
    <xdr:to>
      <xdr:col>0</xdr:col>
      <xdr:colOff>1807607</xdr:colOff>
      <xdr:row>1291</xdr:row>
      <xdr:rowOff>990144</xdr:rowOff>
    </xdr:to>
    <xdr:pic>
      <xdr:nvPicPr>
        <xdr:cNvPr id="2583" name="Picture 2582" descr="Insight Picture 2582">
          <a:extLst>
            <a:ext uri="{FF2B5EF4-FFF2-40B4-BE49-F238E27FC236}">
              <a16:creationId xmlns:a16="http://schemas.microsoft.com/office/drawing/2014/main" id="{422F7A94-A3B0-126B-B181-901519798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/>
        <a:stretch>
          <a:fillRect/>
        </a:stretch>
      </xdr:blipFill>
      <xdr:spPr>
        <a:xfrm>
          <a:off x="828913" y="1122540796"/>
          <a:ext cx="978694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664607</xdr:colOff>
      <xdr:row>1292</xdr:row>
      <xdr:rowOff>60226</xdr:rowOff>
    </xdr:from>
    <xdr:to>
      <xdr:col>0</xdr:col>
      <xdr:colOff>1971913</xdr:colOff>
      <xdr:row>1292</xdr:row>
      <xdr:rowOff>838895</xdr:rowOff>
    </xdr:to>
    <xdr:pic>
      <xdr:nvPicPr>
        <xdr:cNvPr id="2585" name="Picture 2584" descr="Insight Picture 2584">
          <a:extLst>
            <a:ext uri="{FF2B5EF4-FFF2-40B4-BE49-F238E27FC236}">
              <a16:creationId xmlns:a16="http://schemas.microsoft.com/office/drawing/2014/main" id="{075276BE-10EA-2D64-EE3A-78AE68FB5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/>
        <a:stretch>
          <a:fillRect/>
        </a:stretch>
      </xdr:blipFill>
      <xdr:spPr>
        <a:xfrm>
          <a:off x="664607" y="1123591126"/>
          <a:ext cx="1307306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557450</xdr:colOff>
      <xdr:row>1293</xdr:row>
      <xdr:rowOff>61178</xdr:rowOff>
    </xdr:from>
    <xdr:to>
      <xdr:col>0</xdr:col>
      <xdr:colOff>2079069</xdr:colOff>
      <xdr:row>1293</xdr:row>
      <xdr:rowOff>639822</xdr:rowOff>
    </xdr:to>
    <xdr:pic>
      <xdr:nvPicPr>
        <xdr:cNvPr id="2587" name="Picture 2586" descr="Insight Picture 2586">
          <a:extLst>
            <a:ext uri="{FF2B5EF4-FFF2-40B4-BE49-F238E27FC236}">
              <a16:creationId xmlns:a16="http://schemas.microsoft.com/office/drawing/2014/main" id="{84C38FDF-80D7-FA47-5344-64E219034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/>
        <a:stretch>
          <a:fillRect/>
        </a:stretch>
      </xdr:blipFill>
      <xdr:spPr>
        <a:xfrm>
          <a:off x="557450" y="1124491238"/>
          <a:ext cx="1521619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925353</xdr:colOff>
      <xdr:row>1294</xdr:row>
      <xdr:rowOff>63599</xdr:rowOff>
    </xdr:from>
    <xdr:to>
      <xdr:col>0</xdr:col>
      <xdr:colOff>1711166</xdr:colOff>
      <xdr:row>1294</xdr:row>
      <xdr:rowOff>942280</xdr:rowOff>
    </xdr:to>
    <xdr:pic>
      <xdr:nvPicPr>
        <xdr:cNvPr id="2589" name="Picture 2588" descr="Insight Picture 2588">
          <a:extLst>
            <a:ext uri="{FF2B5EF4-FFF2-40B4-BE49-F238E27FC236}">
              <a16:creationId xmlns:a16="http://schemas.microsoft.com/office/drawing/2014/main" id="{3C9EAEA9-E9E4-4DBB-2149-054B46ACF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/>
        <a:stretch>
          <a:fillRect/>
        </a:stretch>
      </xdr:blipFill>
      <xdr:spPr>
        <a:xfrm>
          <a:off x="925353" y="1125194699"/>
          <a:ext cx="785813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586025</xdr:colOff>
      <xdr:row>1295</xdr:row>
      <xdr:rowOff>61158</xdr:rowOff>
    </xdr:from>
    <xdr:to>
      <xdr:col>0</xdr:col>
      <xdr:colOff>2050494</xdr:colOff>
      <xdr:row>1295</xdr:row>
      <xdr:rowOff>639802</xdr:rowOff>
    </xdr:to>
    <xdr:pic>
      <xdr:nvPicPr>
        <xdr:cNvPr id="2591" name="Picture 2590" descr="Insight Picture 2590">
          <a:extLst>
            <a:ext uri="{FF2B5EF4-FFF2-40B4-BE49-F238E27FC236}">
              <a16:creationId xmlns:a16="http://schemas.microsoft.com/office/drawing/2014/main" id="{6DC4A768-F52B-C42E-6C73-571800182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/>
        <a:stretch>
          <a:fillRect/>
        </a:stretch>
      </xdr:blipFill>
      <xdr:spPr>
        <a:xfrm>
          <a:off x="586025" y="1126198098"/>
          <a:ext cx="1464469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689610</xdr:colOff>
      <xdr:row>1296</xdr:row>
      <xdr:rowOff>60206</xdr:rowOff>
    </xdr:from>
    <xdr:to>
      <xdr:col>0</xdr:col>
      <xdr:colOff>1946910</xdr:colOff>
      <xdr:row>1296</xdr:row>
      <xdr:rowOff>838875</xdr:rowOff>
    </xdr:to>
    <xdr:pic>
      <xdr:nvPicPr>
        <xdr:cNvPr id="2593" name="Picture 2592" descr="Insight Picture 2592">
          <a:extLst>
            <a:ext uri="{FF2B5EF4-FFF2-40B4-BE49-F238E27FC236}">
              <a16:creationId xmlns:a16="http://schemas.microsoft.com/office/drawing/2014/main" id="{91AB9DFB-327A-3FBF-4640-8E45CBB4C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/>
        <a:stretch>
          <a:fillRect/>
        </a:stretch>
      </xdr:blipFill>
      <xdr:spPr>
        <a:xfrm>
          <a:off x="689610" y="1126898186"/>
          <a:ext cx="1257300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811053</xdr:colOff>
      <xdr:row>1297</xdr:row>
      <xdr:rowOff>63540</xdr:rowOff>
    </xdr:from>
    <xdr:to>
      <xdr:col>0</xdr:col>
      <xdr:colOff>1825466</xdr:colOff>
      <xdr:row>1297</xdr:row>
      <xdr:rowOff>1285121</xdr:rowOff>
    </xdr:to>
    <xdr:pic>
      <xdr:nvPicPr>
        <xdr:cNvPr id="2595" name="Picture 2594" descr="Insight Picture 2594">
          <a:extLst>
            <a:ext uri="{FF2B5EF4-FFF2-40B4-BE49-F238E27FC236}">
              <a16:creationId xmlns:a16="http://schemas.microsoft.com/office/drawing/2014/main" id="{C97FD0F5-62E1-FE94-98F9-A9394FB86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/>
        <a:stretch>
          <a:fillRect/>
        </a:stretch>
      </xdr:blipFill>
      <xdr:spPr>
        <a:xfrm>
          <a:off x="811053" y="1127800680"/>
          <a:ext cx="1014413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750332</xdr:colOff>
      <xdr:row>1298</xdr:row>
      <xdr:rowOff>62885</xdr:rowOff>
    </xdr:from>
    <xdr:to>
      <xdr:col>0</xdr:col>
      <xdr:colOff>1886188</xdr:colOff>
      <xdr:row>1298</xdr:row>
      <xdr:rowOff>805835</xdr:rowOff>
    </xdr:to>
    <xdr:pic>
      <xdr:nvPicPr>
        <xdr:cNvPr id="2597" name="Picture 2596" descr="Insight Picture 2596">
          <a:extLst>
            <a:ext uri="{FF2B5EF4-FFF2-40B4-BE49-F238E27FC236}">
              <a16:creationId xmlns:a16="http://schemas.microsoft.com/office/drawing/2014/main" id="{73100CB1-710B-458B-39A5-8D72DCD16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/>
        <a:stretch>
          <a:fillRect/>
        </a:stretch>
      </xdr:blipFill>
      <xdr:spPr>
        <a:xfrm>
          <a:off x="750332" y="1129148765"/>
          <a:ext cx="1135856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721757</xdr:colOff>
      <xdr:row>1299</xdr:row>
      <xdr:rowOff>62865</xdr:rowOff>
    </xdr:from>
    <xdr:to>
      <xdr:col>0</xdr:col>
      <xdr:colOff>1914763</xdr:colOff>
      <xdr:row>1299</xdr:row>
      <xdr:rowOff>691515</xdr:rowOff>
    </xdr:to>
    <xdr:pic>
      <xdr:nvPicPr>
        <xdr:cNvPr id="2599" name="Picture 2598" descr="Insight Picture 2598">
          <a:extLst>
            <a:ext uri="{FF2B5EF4-FFF2-40B4-BE49-F238E27FC236}">
              <a16:creationId xmlns:a16="http://schemas.microsoft.com/office/drawing/2014/main" id="{1AA04DF2-E341-642F-4BC2-1B336D2AB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/>
        <a:stretch>
          <a:fillRect/>
        </a:stretch>
      </xdr:blipFill>
      <xdr:spPr>
        <a:xfrm>
          <a:off x="721757" y="1130017425"/>
          <a:ext cx="1193006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753903</xdr:colOff>
      <xdr:row>1300</xdr:row>
      <xdr:rowOff>61952</xdr:rowOff>
    </xdr:from>
    <xdr:to>
      <xdr:col>0</xdr:col>
      <xdr:colOff>1882616</xdr:colOff>
      <xdr:row>1300</xdr:row>
      <xdr:rowOff>662027</xdr:rowOff>
    </xdr:to>
    <xdr:pic>
      <xdr:nvPicPr>
        <xdr:cNvPr id="2601" name="Picture 2600" descr="Insight Picture 2600">
          <a:extLst>
            <a:ext uri="{FF2B5EF4-FFF2-40B4-BE49-F238E27FC236}">
              <a16:creationId xmlns:a16="http://schemas.microsoft.com/office/drawing/2014/main" id="{DECA271C-B745-E610-FE80-B347D8E23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/>
        <a:stretch>
          <a:fillRect/>
        </a:stretch>
      </xdr:blipFill>
      <xdr:spPr>
        <a:xfrm>
          <a:off x="753903" y="1130770892"/>
          <a:ext cx="1128713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600313</xdr:colOff>
      <xdr:row>1301</xdr:row>
      <xdr:rowOff>61456</xdr:rowOff>
    </xdr:from>
    <xdr:to>
      <xdr:col>0</xdr:col>
      <xdr:colOff>2036207</xdr:colOff>
      <xdr:row>1301</xdr:row>
      <xdr:rowOff>761544</xdr:rowOff>
    </xdr:to>
    <xdr:pic>
      <xdr:nvPicPr>
        <xdr:cNvPr id="2603" name="Picture 2602" descr="Insight Picture 2602">
          <a:extLst>
            <a:ext uri="{FF2B5EF4-FFF2-40B4-BE49-F238E27FC236}">
              <a16:creationId xmlns:a16="http://schemas.microsoft.com/office/drawing/2014/main" id="{6909FA3F-62CD-564C-64F2-028136B08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/>
        <a:stretch>
          <a:fillRect/>
        </a:stretch>
      </xdr:blipFill>
      <xdr:spPr>
        <a:xfrm>
          <a:off x="600313" y="1131494296"/>
          <a:ext cx="1435894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739616</xdr:colOff>
      <xdr:row>1302</xdr:row>
      <xdr:rowOff>63599</xdr:rowOff>
    </xdr:from>
    <xdr:to>
      <xdr:col>0</xdr:col>
      <xdr:colOff>1896904</xdr:colOff>
      <xdr:row>1302</xdr:row>
      <xdr:rowOff>942280</xdr:rowOff>
    </xdr:to>
    <xdr:pic>
      <xdr:nvPicPr>
        <xdr:cNvPr id="2605" name="Picture 2604" descr="Insight Picture 2604">
          <a:extLst>
            <a:ext uri="{FF2B5EF4-FFF2-40B4-BE49-F238E27FC236}">
              <a16:creationId xmlns:a16="http://schemas.microsoft.com/office/drawing/2014/main" id="{08C2CE2C-214A-6F79-EAF7-7A32C3F70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/>
        <a:stretch>
          <a:fillRect/>
        </a:stretch>
      </xdr:blipFill>
      <xdr:spPr>
        <a:xfrm>
          <a:off x="739616" y="1132319399"/>
          <a:ext cx="1157288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839628</xdr:colOff>
      <xdr:row>1303</xdr:row>
      <xdr:rowOff>63540</xdr:rowOff>
    </xdr:from>
    <xdr:to>
      <xdr:col>0</xdr:col>
      <xdr:colOff>1796891</xdr:colOff>
      <xdr:row>1303</xdr:row>
      <xdr:rowOff>942221</xdr:rowOff>
    </xdr:to>
    <xdr:pic>
      <xdr:nvPicPr>
        <xdr:cNvPr id="2607" name="Picture 2606" descr="Insight Picture 2606">
          <a:extLst>
            <a:ext uri="{FF2B5EF4-FFF2-40B4-BE49-F238E27FC236}">
              <a16:creationId xmlns:a16="http://schemas.microsoft.com/office/drawing/2014/main" id="{1F061277-C61F-A504-6AF8-2EF55454D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/>
        <a:stretch>
          <a:fillRect/>
        </a:stretch>
      </xdr:blipFill>
      <xdr:spPr>
        <a:xfrm>
          <a:off x="839628" y="1133325180"/>
          <a:ext cx="957263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578882</xdr:colOff>
      <xdr:row>1304</xdr:row>
      <xdr:rowOff>62190</xdr:rowOff>
    </xdr:from>
    <xdr:to>
      <xdr:col>0</xdr:col>
      <xdr:colOff>2057638</xdr:colOff>
      <xdr:row>1304</xdr:row>
      <xdr:rowOff>1012309</xdr:rowOff>
    </xdr:to>
    <xdr:pic>
      <xdr:nvPicPr>
        <xdr:cNvPr id="2609" name="Picture 2608" descr="Insight Picture 2608">
          <a:extLst>
            <a:ext uri="{FF2B5EF4-FFF2-40B4-BE49-F238E27FC236}">
              <a16:creationId xmlns:a16="http://schemas.microsoft.com/office/drawing/2014/main" id="{80D975FB-7997-650D-3127-415CE35B4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/>
        <a:stretch>
          <a:fillRect/>
        </a:stretch>
      </xdr:blipFill>
      <xdr:spPr>
        <a:xfrm>
          <a:off x="578882" y="1134329670"/>
          <a:ext cx="1478756" cy="950119"/>
        </a:xfrm>
        <a:prstGeom prst="rect">
          <a:avLst/>
        </a:prstGeom>
      </xdr:spPr>
    </xdr:pic>
    <xdr:clientData/>
  </xdr:twoCellAnchor>
  <xdr:twoCellAnchor editAs="oneCell">
    <xdr:from>
      <xdr:col>0</xdr:col>
      <xdr:colOff>678895</xdr:colOff>
      <xdr:row>1305</xdr:row>
      <xdr:rowOff>61218</xdr:rowOff>
    </xdr:from>
    <xdr:to>
      <xdr:col>0</xdr:col>
      <xdr:colOff>1957626</xdr:colOff>
      <xdr:row>1305</xdr:row>
      <xdr:rowOff>868462</xdr:rowOff>
    </xdr:to>
    <xdr:pic>
      <xdr:nvPicPr>
        <xdr:cNvPr id="2611" name="Picture 2610" descr="Insight Picture 2610">
          <a:extLst>
            <a:ext uri="{FF2B5EF4-FFF2-40B4-BE49-F238E27FC236}">
              <a16:creationId xmlns:a16="http://schemas.microsoft.com/office/drawing/2014/main" id="{7C41A509-AB10-ED79-4E48-5BF5B7B88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5"/>
        <a:stretch>
          <a:fillRect/>
        </a:stretch>
      </xdr:blipFill>
      <xdr:spPr>
        <a:xfrm>
          <a:off x="678895" y="1135403118"/>
          <a:ext cx="1278731" cy="807244"/>
        </a:xfrm>
        <a:prstGeom prst="rect">
          <a:avLst/>
        </a:prstGeom>
      </xdr:spPr>
    </xdr:pic>
    <xdr:clientData/>
  </xdr:twoCellAnchor>
  <xdr:twoCellAnchor editAs="oneCell">
    <xdr:from>
      <xdr:col>0</xdr:col>
      <xdr:colOff>578882</xdr:colOff>
      <xdr:row>1306</xdr:row>
      <xdr:rowOff>62647</xdr:rowOff>
    </xdr:from>
    <xdr:to>
      <xdr:col>0</xdr:col>
      <xdr:colOff>2057638</xdr:colOff>
      <xdr:row>1306</xdr:row>
      <xdr:rowOff>912753</xdr:rowOff>
    </xdr:to>
    <xdr:pic>
      <xdr:nvPicPr>
        <xdr:cNvPr id="2613" name="Picture 2612" descr="Insight Picture 2612">
          <a:extLst>
            <a:ext uri="{FF2B5EF4-FFF2-40B4-BE49-F238E27FC236}">
              <a16:creationId xmlns:a16="http://schemas.microsoft.com/office/drawing/2014/main" id="{A67C6D0C-A550-A863-E457-0BFBB4198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/>
        <a:stretch>
          <a:fillRect/>
        </a:stretch>
      </xdr:blipFill>
      <xdr:spPr>
        <a:xfrm>
          <a:off x="578882" y="1136334187"/>
          <a:ext cx="1478756" cy="850106"/>
        </a:xfrm>
        <a:prstGeom prst="rect">
          <a:avLst/>
        </a:prstGeom>
      </xdr:spPr>
    </xdr:pic>
    <xdr:clientData/>
  </xdr:twoCellAnchor>
  <xdr:twoCellAnchor editAs="oneCell">
    <xdr:from>
      <xdr:col>0</xdr:col>
      <xdr:colOff>600313</xdr:colOff>
      <xdr:row>1307</xdr:row>
      <xdr:rowOff>63798</xdr:rowOff>
    </xdr:from>
    <xdr:to>
      <xdr:col>0</xdr:col>
      <xdr:colOff>2036207</xdr:colOff>
      <xdr:row>1307</xdr:row>
      <xdr:rowOff>949623</xdr:rowOff>
    </xdr:to>
    <xdr:pic>
      <xdr:nvPicPr>
        <xdr:cNvPr id="2615" name="Picture 2614" descr="Insight Picture 2614">
          <a:extLst>
            <a:ext uri="{FF2B5EF4-FFF2-40B4-BE49-F238E27FC236}">
              <a16:creationId xmlns:a16="http://schemas.microsoft.com/office/drawing/2014/main" id="{016645C1-9A0B-FD2E-99CD-17AEDA761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/>
        <a:stretch>
          <a:fillRect/>
        </a:stretch>
      </xdr:blipFill>
      <xdr:spPr>
        <a:xfrm>
          <a:off x="600313" y="1137310698"/>
          <a:ext cx="1435894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800338</xdr:colOff>
      <xdr:row>1308</xdr:row>
      <xdr:rowOff>61178</xdr:rowOff>
    </xdr:from>
    <xdr:to>
      <xdr:col>0</xdr:col>
      <xdr:colOff>1836182</xdr:colOff>
      <xdr:row>1308</xdr:row>
      <xdr:rowOff>1097022</xdr:rowOff>
    </xdr:to>
    <xdr:pic>
      <xdr:nvPicPr>
        <xdr:cNvPr id="2617" name="Picture 2616" descr="Insight Picture 2616">
          <a:extLst>
            <a:ext uri="{FF2B5EF4-FFF2-40B4-BE49-F238E27FC236}">
              <a16:creationId xmlns:a16="http://schemas.microsoft.com/office/drawing/2014/main" id="{A0ECDD31-3AF5-2841-2E87-5032D39A6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/>
        <a:stretch>
          <a:fillRect/>
        </a:stretch>
      </xdr:blipFill>
      <xdr:spPr>
        <a:xfrm>
          <a:off x="800338" y="1138321538"/>
          <a:ext cx="1035844" cy="1035844"/>
        </a:xfrm>
        <a:prstGeom prst="rect">
          <a:avLst/>
        </a:prstGeom>
      </xdr:spPr>
    </xdr:pic>
    <xdr:clientData/>
  </xdr:twoCellAnchor>
  <xdr:twoCellAnchor editAs="oneCell">
    <xdr:from>
      <xdr:col>0</xdr:col>
      <xdr:colOff>721757</xdr:colOff>
      <xdr:row>1309</xdr:row>
      <xdr:rowOff>63599</xdr:rowOff>
    </xdr:from>
    <xdr:to>
      <xdr:col>0</xdr:col>
      <xdr:colOff>1914763</xdr:colOff>
      <xdr:row>1309</xdr:row>
      <xdr:rowOff>1056580</xdr:rowOff>
    </xdr:to>
    <xdr:pic>
      <xdr:nvPicPr>
        <xdr:cNvPr id="2619" name="Picture 2618" descr="Insight Picture 2618">
          <a:extLst>
            <a:ext uri="{FF2B5EF4-FFF2-40B4-BE49-F238E27FC236}">
              <a16:creationId xmlns:a16="http://schemas.microsoft.com/office/drawing/2014/main" id="{B6498C66-0BBD-0353-666B-C598BF9B3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/>
        <a:stretch>
          <a:fillRect/>
        </a:stretch>
      </xdr:blipFill>
      <xdr:spPr>
        <a:xfrm>
          <a:off x="721757" y="1139482199"/>
          <a:ext cx="1193006" cy="992981"/>
        </a:xfrm>
        <a:prstGeom prst="rect">
          <a:avLst/>
        </a:prstGeom>
      </xdr:spPr>
    </xdr:pic>
    <xdr:clientData/>
  </xdr:twoCellAnchor>
  <xdr:twoCellAnchor editAs="oneCell">
    <xdr:from>
      <xdr:col>0</xdr:col>
      <xdr:colOff>721757</xdr:colOff>
      <xdr:row>1310</xdr:row>
      <xdr:rowOff>63341</xdr:rowOff>
    </xdr:from>
    <xdr:to>
      <xdr:col>0</xdr:col>
      <xdr:colOff>1914763</xdr:colOff>
      <xdr:row>1310</xdr:row>
      <xdr:rowOff>591979</xdr:rowOff>
    </xdr:to>
    <xdr:pic>
      <xdr:nvPicPr>
        <xdr:cNvPr id="2621" name="Picture 2620" descr="Insight Picture 2620">
          <a:extLst>
            <a:ext uri="{FF2B5EF4-FFF2-40B4-BE49-F238E27FC236}">
              <a16:creationId xmlns:a16="http://schemas.microsoft.com/office/drawing/2014/main" id="{82685D3B-A954-7C0C-7F30-E0EBF3794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/>
        <a:stretch>
          <a:fillRect/>
        </a:stretch>
      </xdr:blipFill>
      <xdr:spPr>
        <a:xfrm>
          <a:off x="721757" y="1140602081"/>
          <a:ext cx="1193006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664607</xdr:colOff>
      <xdr:row>1311</xdr:row>
      <xdr:rowOff>60285</xdr:rowOff>
    </xdr:from>
    <xdr:to>
      <xdr:col>0</xdr:col>
      <xdr:colOff>1971913</xdr:colOff>
      <xdr:row>1311</xdr:row>
      <xdr:rowOff>838954</xdr:rowOff>
    </xdr:to>
    <xdr:pic>
      <xdr:nvPicPr>
        <xdr:cNvPr id="2623" name="Picture 2622" descr="Insight Picture 2622">
          <a:extLst>
            <a:ext uri="{FF2B5EF4-FFF2-40B4-BE49-F238E27FC236}">
              <a16:creationId xmlns:a16="http://schemas.microsoft.com/office/drawing/2014/main" id="{1F6ECE17-2DFA-F9E9-CB0D-677BBFC99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/>
        <a:stretch>
          <a:fillRect/>
        </a:stretch>
      </xdr:blipFill>
      <xdr:spPr>
        <a:xfrm>
          <a:off x="664607" y="1141254345"/>
          <a:ext cx="1307306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621745</xdr:colOff>
      <xdr:row>1312</xdr:row>
      <xdr:rowOff>63619</xdr:rowOff>
    </xdr:from>
    <xdr:to>
      <xdr:col>0</xdr:col>
      <xdr:colOff>2014776</xdr:colOff>
      <xdr:row>1312</xdr:row>
      <xdr:rowOff>713700</xdr:rowOff>
    </xdr:to>
    <xdr:pic>
      <xdr:nvPicPr>
        <xdr:cNvPr id="2625" name="Picture 2624" descr="Insight Picture 2624">
          <a:extLst>
            <a:ext uri="{FF2B5EF4-FFF2-40B4-BE49-F238E27FC236}">
              <a16:creationId xmlns:a16="http://schemas.microsoft.com/office/drawing/2014/main" id="{B652F3AA-2241-BEF7-359D-2D56966E5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/>
        <a:stretch>
          <a:fillRect/>
        </a:stretch>
      </xdr:blipFill>
      <xdr:spPr>
        <a:xfrm>
          <a:off x="621745" y="1142156839"/>
          <a:ext cx="1393031" cy="650081"/>
        </a:xfrm>
        <a:prstGeom prst="rect">
          <a:avLst/>
        </a:prstGeom>
      </xdr:spPr>
    </xdr:pic>
    <xdr:clientData/>
  </xdr:twoCellAnchor>
  <xdr:twoCellAnchor editAs="oneCell">
    <xdr:from>
      <xdr:col>0</xdr:col>
      <xdr:colOff>686038</xdr:colOff>
      <xdr:row>1313</xdr:row>
      <xdr:rowOff>60285</xdr:rowOff>
    </xdr:from>
    <xdr:to>
      <xdr:col>0</xdr:col>
      <xdr:colOff>1950482</xdr:colOff>
      <xdr:row>1313</xdr:row>
      <xdr:rowOff>610354</xdr:rowOff>
    </xdr:to>
    <xdr:pic>
      <xdr:nvPicPr>
        <xdr:cNvPr id="2627" name="Picture 2626" descr="Insight Picture 2626">
          <a:extLst>
            <a:ext uri="{FF2B5EF4-FFF2-40B4-BE49-F238E27FC236}">
              <a16:creationId xmlns:a16="http://schemas.microsoft.com/office/drawing/2014/main" id="{0A7612DE-F8F8-2CFC-7829-293A725E0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/>
        <a:stretch>
          <a:fillRect/>
        </a:stretch>
      </xdr:blipFill>
      <xdr:spPr>
        <a:xfrm>
          <a:off x="686038" y="1142930745"/>
          <a:ext cx="1264444" cy="550069"/>
        </a:xfrm>
        <a:prstGeom prst="rect">
          <a:avLst/>
        </a:prstGeom>
      </xdr:spPr>
    </xdr:pic>
    <xdr:clientData/>
  </xdr:twoCellAnchor>
  <xdr:twoCellAnchor editAs="oneCell">
    <xdr:from>
      <xdr:col>0</xdr:col>
      <xdr:colOff>689610</xdr:colOff>
      <xdr:row>1314</xdr:row>
      <xdr:rowOff>60246</xdr:rowOff>
    </xdr:from>
    <xdr:to>
      <xdr:col>0</xdr:col>
      <xdr:colOff>1946910</xdr:colOff>
      <xdr:row>1314</xdr:row>
      <xdr:rowOff>496015</xdr:rowOff>
    </xdr:to>
    <xdr:pic>
      <xdr:nvPicPr>
        <xdr:cNvPr id="2629" name="Picture 2628" descr="Insight Picture 2628">
          <a:extLst>
            <a:ext uri="{FF2B5EF4-FFF2-40B4-BE49-F238E27FC236}">
              <a16:creationId xmlns:a16="http://schemas.microsoft.com/office/drawing/2014/main" id="{5AEBD4BE-847C-3FE6-3C36-77BEC6B94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4"/>
        <a:stretch>
          <a:fillRect/>
        </a:stretch>
      </xdr:blipFill>
      <xdr:spPr>
        <a:xfrm>
          <a:off x="689610" y="1143601266"/>
          <a:ext cx="1257300" cy="435769"/>
        </a:xfrm>
        <a:prstGeom prst="rect">
          <a:avLst/>
        </a:prstGeom>
      </xdr:spPr>
    </xdr:pic>
    <xdr:clientData/>
  </xdr:twoCellAnchor>
  <xdr:twoCellAnchor editAs="oneCell">
    <xdr:from>
      <xdr:col>0</xdr:col>
      <xdr:colOff>368141</xdr:colOff>
      <xdr:row>1315</xdr:row>
      <xdr:rowOff>63579</xdr:rowOff>
    </xdr:from>
    <xdr:to>
      <xdr:col>0</xdr:col>
      <xdr:colOff>2268379</xdr:colOff>
      <xdr:row>1315</xdr:row>
      <xdr:rowOff>599360</xdr:rowOff>
    </xdr:to>
    <xdr:pic>
      <xdr:nvPicPr>
        <xdr:cNvPr id="2631" name="Picture 2630" descr="Insight Picture 2630">
          <a:extLst>
            <a:ext uri="{FF2B5EF4-FFF2-40B4-BE49-F238E27FC236}">
              <a16:creationId xmlns:a16="http://schemas.microsoft.com/office/drawing/2014/main" id="{C29E0103-8EF1-34FC-3611-781F9F700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5"/>
        <a:stretch>
          <a:fillRect/>
        </a:stretch>
      </xdr:blipFill>
      <xdr:spPr>
        <a:xfrm>
          <a:off x="368141" y="1144160859"/>
          <a:ext cx="1900238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471726</xdr:colOff>
      <xdr:row>1316</xdr:row>
      <xdr:rowOff>60246</xdr:rowOff>
    </xdr:from>
    <xdr:to>
      <xdr:col>0</xdr:col>
      <xdr:colOff>2164795</xdr:colOff>
      <xdr:row>1316</xdr:row>
      <xdr:rowOff>610315</xdr:rowOff>
    </xdr:to>
    <xdr:pic>
      <xdr:nvPicPr>
        <xdr:cNvPr id="2633" name="Picture 2632" descr="Insight Picture 2632">
          <a:extLst>
            <a:ext uri="{FF2B5EF4-FFF2-40B4-BE49-F238E27FC236}">
              <a16:creationId xmlns:a16="http://schemas.microsoft.com/office/drawing/2014/main" id="{9248AD5C-125B-790E-1413-481D5A31F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/>
        <a:stretch>
          <a:fillRect/>
        </a:stretch>
      </xdr:blipFill>
      <xdr:spPr>
        <a:xfrm>
          <a:off x="471726" y="1144820466"/>
          <a:ext cx="1693069" cy="550069"/>
        </a:xfrm>
        <a:prstGeom prst="rect">
          <a:avLst/>
        </a:prstGeom>
      </xdr:spPr>
    </xdr:pic>
    <xdr:clientData/>
  </xdr:twoCellAnchor>
  <xdr:twoCellAnchor editAs="oneCell">
    <xdr:from>
      <xdr:col>0</xdr:col>
      <xdr:colOff>521732</xdr:colOff>
      <xdr:row>1317</xdr:row>
      <xdr:rowOff>61198</xdr:rowOff>
    </xdr:from>
    <xdr:to>
      <xdr:col>0</xdr:col>
      <xdr:colOff>2114788</xdr:colOff>
      <xdr:row>1317</xdr:row>
      <xdr:rowOff>754142</xdr:rowOff>
    </xdr:to>
    <xdr:pic>
      <xdr:nvPicPr>
        <xdr:cNvPr id="2635" name="Picture 2634" descr="Insight Picture 2634">
          <a:extLst>
            <a:ext uri="{FF2B5EF4-FFF2-40B4-BE49-F238E27FC236}">
              <a16:creationId xmlns:a16="http://schemas.microsoft.com/office/drawing/2014/main" id="{4B17DD84-9E3B-E34A-7760-40D436624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7"/>
        <a:stretch>
          <a:fillRect/>
        </a:stretch>
      </xdr:blipFill>
      <xdr:spPr>
        <a:xfrm>
          <a:off x="521732" y="1145491978"/>
          <a:ext cx="1593056" cy="692944"/>
        </a:xfrm>
        <a:prstGeom prst="rect">
          <a:avLst/>
        </a:prstGeom>
      </xdr:spPr>
    </xdr:pic>
    <xdr:clientData/>
  </xdr:twoCellAnchor>
  <xdr:twoCellAnchor editAs="oneCell">
    <xdr:from>
      <xdr:col>0</xdr:col>
      <xdr:colOff>675322</xdr:colOff>
      <xdr:row>1318</xdr:row>
      <xdr:rowOff>63321</xdr:rowOff>
    </xdr:from>
    <xdr:to>
      <xdr:col>0</xdr:col>
      <xdr:colOff>1961197</xdr:colOff>
      <xdr:row>1318</xdr:row>
      <xdr:rowOff>591959</xdr:rowOff>
    </xdr:to>
    <xdr:pic>
      <xdr:nvPicPr>
        <xdr:cNvPr id="2637" name="Picture 2636" descr="Insight Picture 2636">
          <a:extLst>
            <a:ext uri="{FF2B5EF4-FFF2-40B4-BE49-F238E27FC236}">
              <a16:creationId xmlns:a16="http://schemas.microsoft.com/office/drawing/2014/main" id="{31E92F1E-C16B-B144-C807-ADDF3CCC2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/>
        <a:stretch>
          <a:fillRect/>
        </a:stretch>
      </xdr:blipFill>
      <xdr:spPr>
        <a:xfrm>
          <a:off x="675322" y="1146309441"/>
          <a:ext cx="1285875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636032</xdr:colOff>
      <xdr:row>1319</xdr:row>
      <xdr:rowOff>62151</xdr:rowOff>
    </xdr:from>
    <xdr:to>
      <xdr:col>0</xdr:col>
      <xdr:colOff>2000488</xdr:colOff>
      <xdr:row>1319</xdr:row>
      <xdr:rowOff>897970</xdr:rowOff>
    </xdr:to>
    <xdr:pic>
      <xdr:nvPicPr>
        <xdr:cNvPr id="2639" name="Picture 2638" descr="Insight Picture 2638">
          <a:extLst>
            <a:ext uri="{FF2B5EF4-FFF2-40B4-BE49-F238E27FC236}">
              <a16:creationId xmlns:a16="http://schemas.microsoft.com/office/drawing/2014/main" id="{05E95F43-AFF6-344E-7425-410096960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9"/>
        <a:stretch>
          <a:fillRect/>
        </a:stretch>
      </xdr:blipFill>
      <xdr:spPr>
        <a:xfrm>
          <a:off x="636032" y="1146963591"/>
          <a:ext cx="1364456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650320</xdr:colOff>
      <xdr:row>1320</xdr:row>
      <xdr:rowOff>62170</xdr:rowOff>
    </xdr:from>
    <xdr:to>
      <xdr:col>0</xdr:col>
      <xdr:colOff>1986201</xdr:colOff>
      <xdr:row>1320</xdr:row>
      <xdr:rowOff>897989</xdr:rowOff>
    </xdr:to>
    <xdr:pic>
      <xdr:nvPicPr>
        <xdr:cNvPr id="2641" name="Picture 2640" descr="Insight Picture 2640">
          <a:extLst>
            <a:ext uri="{FF2B5EF4-FFF2-40B4-BE49-F238E27FC236}">
              <a16:creationId xmlns:a16="http://schemas.microsoft.com/office/drawing/2014/main" id="{0689A4E2-F533-1226-8493-8F317C7CE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0"/>
        <a:stretch>
          <a:fillRect/>
        </a:stretch>
      </xdr:blipFill>
      <xdr:spPr>
        <a:xfrm>
          <a:off x="650320" y="1147923730"/>
          <a:ext cx="1335881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643175</xdr:colOff>
      <xdr:row>1321</xdr:row>
      <xdr:rowOff>62190</xdr:rowOff>
    </xdr:from>
    <xdr:to>
      <xdr:col>0</xdr:col>
      <xdr:colOff>1993344</xdr:colOff>
      <xdr:row>1321</xdr:row>
      <xdr:rowOff>898009</xdr:rowOff>
    </xdr:to>
    <xdr:pic>
      <xdr:nvPicPr>
        <xdr:cNvPr id="2643" name="Picture 2642" descr="Insight Picture 2642">
          <a:extLst>
            <a:ext uri="{FF2B5EF4-FFF2-40B4-BE49-F238E27FC236}">
              <a16:creationId xmlns:a16="http://schemas.microsoft.com/office/drawing/2014/main" id="{BDC32B1B-F897-3FD5-21F4-022D0083D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1"/>
        <a:stretch>
          <a:fillRect/>
        </a:stretch>
      </xdr:blipFill>
      <xdr:spPr>
        <a:xfrm>
          <a:off x="643175" y="1148883870"/>
          <a:ext cx="1350169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639603</xdr:colOff>
      <xdr:row>1322</xdr:row>
      <xdr:rowOff>62409</xdr:rowOff>
    </xdr:from>
    <xdr:to>
      <xdr:col>0</xdr:col>
      <xdr:colOff>1996916</xdr:colOff>
      <xdr:row>1322</xdr:row>
      <xdr:rowOff>791072</xdr:rowOff>
    </xdr:to>
    <xdr:pic>
      <xdr:nvPicPr>
        <xdr:cNvPr id="2645" name="Picture 2644" descr="Insight Picture 2644">
          <a:extLst>
            <a:ext uri="{FF2B5EF4-FFF2-40B4-BE49-F238E27FC236}">
              <a16:creationId xmlns:a16="http://schemas.microsoft.com/office/drawing/2014/main" id="{5C9EF1D3-AA71-E704-9447-404E02299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2"/>
        <a:stretch>
          <a:fillRect/>
        </a:stretch>
      </xdr:blipFill>
      <xdr:spPr>
        <a:xfrm>
          <a:off x="639603" y="1149844209"/>
          <a:ext cx="1357313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411003</xdr:colOff>
      <xdr:row>1323</xdr:row>
      <xdr:rowOff>61158</xdr:rowOff>
    </xdr:from>
    <xdr:to>
      <xdr:col>0</xdr:col>
      <xdr:colOff>2225516</xdr:colOff>
      <xdr:row>1323</xdr:row>
      <xdr:rowOff>754102</xdr:rowOff>
    </xdr:to>
    <xdr:pic>
      <xdr:nvPicPr>
        <xdr:cNvPr id="2647" name="Picture 2646" descr="Insight Picture 2646">
          <a:extLst>
            <a:ext uri="{FF2B5EF4-FFF2-40B4-BE49-F238E27FC236}">
              <a16:creationId xmlns:a16="http://schemas.microsoft.com/office/drawing/2014/main" id="{BDE9A013-4E65-F017-3171-5231CA95F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3"/>
        <a:stretch>
          <a:fillRect/>
        </a:stretch>
      </xdr:blipFill>
      <xdr:spPr>
        <a:xfrm>
          <a:off x="411003" y="1150696398"/>
          <a:ext cx="1814513" cy="692944"/>
        </a:xfrm>
        <a:prstGeom prst="rect">
          <a:avLst/>
        </a:prstGeom>
      </xdr:spPr>
    </xdr:pic>
    <xdr:clientData/>
  </xdr:twoCellAnchor>
  <xdr:twoCellAnchor editAs="oneCell">
    <xdr:from>
      <xdr:col>0</xdr:col>
      <xdr:colOff>828913</xdr:colOff>
      <xdr:row>1324</xdr:row>
      <xdr:rowOff>61397</xdr:rowOff>
    </xdr:from>
    <xdr:to>
      <xdr:col>0</xdr:col>
      <xdr:colOff>1807607</xdr:colOff>
      <xdr:row>1324</xdr:row>
      <xdr:rowOff>990085</xdr:rowOff>
    </xdr:to>
    <xdr:pic>
      <xdr:nvPicPr>
        <xdr:cNvPr id="2649" name="Picture 2648" descr="Insight Picture 2648">
          <a:extLst>
            <a:ext uri="{FF2B5EF4-FFF2-40B4-BE49-F238E27FC236}">
              <a16:creationId xmlns:a16="http://schemas.microsoft.com/office/drawing/2014/main" id="{149D2A99-17B8-752D-A49F-1A2D6BF29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4"/>
        <a:stretch>
          <a:fillRect/>
        </a:stretch>
      </xdr:blipFill>
      <xdr:spPr>
        <a:xfrm>
          <a:off x="828913" y="1151511977"/>
          <a:ext cx="978694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714613</xdr:colOff>
      <xdr:row>1325</xdr:row>
      <xdr:rowOff>61158</xdr:rowOff>
    </xdr:from>
    <xdr:to>
      <xdr:col>0</xdr:col>
      <xdr:colOff>1921907</xdr:colOff>
      <xdr:row>1325</xdr:row>
      <xdr:rowOff>1097002</xdr:rowOff>
    </xdr:to>
    <xdr:pic>
      <xdr:nvPicPr>
        <xdr:cNvPr id="2651" name="Picture 2650" descr="Insight Picture 2650">
          <a:extLst>
            <a:ext uri="{FF2B5EF4-FFF2-40B4-BE49-F238E27FC236}">
              <a16:creationId xmlns:a16="http://schemas.microsoft.com/office/drawing/2014/main" id="{BD8CEAE9-7404-FDDC-6734-ED94D56C1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5"/>
        <a:stretch>
          <a:fillRect/>
        </a:stretch>
      </xdr:blipFill>
      <xdr:spPr>
        <a:xfrm>
          <a:off x="714613" y="1152563298"/>
          <a:ext cx="1207294" cy="1035844"/>
        </a:xfrm>
        <a:prstGeom prst="rect">
          <a:avLst/>
        </a:prstGeom>
      </xdr:spPr>
    </xdr:pic>
    <xdr:clientData/>
  </xdr:twoCellAnchor>
  <xdr:twoCellAnchor editAs="oneCell">
    <xdr:from>
      <xdr:col>0</xdr:col>
      <xdr:colOff>689610</xdr:colOff>
      <xdr:row>1326</xdr:row>
      <xdr:rowOff>61198</xdr:rowOff>
    </xdr:from>
    <xdr:to>
      <xdr:col>0</xdr:col>
      <xdr:colOff>1946910</xdr:colOff>
      <xdr:row>1326</xdr:row>
      <xdr:rowOff>1097042</xdr:rowOff>
    </xdr:to>
    <xdr:pic>
      <xdr:nvPicPr>
        <xdr:cNvPr id="2653" name="Picture 2652" descr="Insight Picture 2652">
          <a:extLst>
            <a:ext uri="{FF2B5EF4-FFF2-40B4-BE49-F238E27FC236}">
              <a16:creationId xmlns:a16="http://schemas.microsoft.com/office/drawing/2014/main" id="{6E5AE8CF-B762-F6CC-F865-A1A9886E6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6"/>
        <a:stretch>
          <a:fillRect/>
        </a:stretch>
      </xdr:blipFill>
      <xdr:spPr>
        <a:xfrm>
          <a:off x="689610" y="1153721578"/>
          <a:ext cx="1257300" cy="1035844"/>
        </a:xfrm>
        <a:prstGeom prst="rect">
          <a:avLst/>
        </a:prstGeom>
      </xdr:spPr>
    </xdr:pic>
    <xdr:clientData/>
  </xdr:twoCellAnchor>
  <xdr:twoCellAnchor editAs="oneCell">
    <xdr:from>
      <xdr:col>0</xdr:col>
      <xdr:colOff>575310</xdr:colOff>
      <xdr:row>1327</xdr:row>
      <xdr:rowOff>63619</xdr:rowOff>
    </xdr:from>
    <xdr:to>
      <xdr:col>0</xdr:col>
      <xdr:colOff>2061210</xdr:colOff>
      <xdr:row>1327</xdr:row>
      <xdr:rowOff>599400</xdr:rowOff>
    </xdr:to>
    <xdr:pic>
      <xdr:nvPicPr>
        <xdr:cNvPr id="2655" name="Picture 2654" descr="Insight Picture 2654">
          <a:extLst>
            <a:ext uri="{FF2B5EF4-FFF2-40B4-BE49-F238E27FC236}">
              <a16:creationId xmlns:a16="http://schemas.microsoft.com/office/drawing/2014/main" id="{F821F6EF-1756-9108-9970-809FCFEE8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7"/>
        <a:stretch>
          <a:fillRect/>
        </a:stretch>
      </xdr:blipFill>
      <xdr:spPr>
        <a:xfrm>
          <a:off x="575310" y="1154882239"/>
          <a:ext cx="1485900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846773</xdr:colOff>
      <xdr:row>1328</xdr:row>
      <xdr:rowOff>60484</xdr:rowOff>
    </xdr:from>
    <xdr:to>
      <xdr:col>0</xdr:col>
      <xdr:colOff>1789748</xdr:colOff>
      <xdr:row>1328</xdr:row>
      <xdr:rowOff>846297</xdr:rowOff>
    </xdr:to>
    <xdr:pic>
      <xdr:nvPicPr>
        <xdr:cNvPr id="2657" name="Picture 2656" descr="Insight Picture 2656">
          <a:extLst>
            <a:ext uri="{FF2B5EF4-FFF2-40B4-BE49-F238E27FC236}">
              <a16:creationId xmlns:a16="http://schemas.microsoft.com/office/drawing/2014/main" id="{EBF222F5-D59A-ACD3-8AEC-C917AD3E4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8"/>
        <a:stretch>
          <a:fillRect/>
        </a:stretch>
      </xdr:blipFill>
      <xdr:spPr>
        <a:xfrm>
          <a:off x="846773" y="1155542044"/>
          <a:ext cx="942975" cy="785813"/>
        </a:xfrm>
        <a:prstGeom prst="rect">
          <a:avLst/>
        </a:prstGeom>
      </xdr:spPr>
    </xdr:pic>
    <xdr:clientData/>
  </xdr:twoCellAnchor>
  <xdr:twoCellAnchor editAs="oneCell">
    <xdr:from>
      <xdr:col>0</xdr:col>
      <xdr:colOff>568166</xdr:colOff>
      <xdr:row>1329</xdr:row>
      <xdr:rowOff>63540</xdr:rowOff>
    </xdr:from>
    <xdr:to>
      <xdr:col>0</xdr:col>
      <xdr:colOff>2068354</xdr:colOff>
      <xdr:row>1329</xdr:row>
      <xdr:rowOff>599321</xdr:rowOff>
    </xdr:to>
    <xdr:pic>
      <xdr:nvPicPr>
        <xdr:cNvPr id="2659" name="Picture 2658" descr="Insight Picture 2658">
          <a:extLst>
            <a:ext uri="{FF2B5EF4-FFF2-40B4-BE49-F238E27FC236}">
              <a16:creationId xmlns:a16="http://schemas.microsoft.com/office/drawing/2014/main" id="{D7374024-FAA1-F405-5D00-1C0E2FCAA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9"/>
        <a:stretch>
          <a:fillRect/>
        </a:stretch>
      </xdr:blipFill>
      <xdr:spPr>
        <a:xfrm>
          <a:off x="568166" y="1156451880"/>
          <a:ext cx="1500188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439578</xdr:colOff>
      <xdr:row>1330</xdr:row>
      <xdr:rowOff>62587</xdr:rowOff>
    </xdr:from>
    <xdr:to>
      <xdr:col>0</xdr:col>
      <xdr:colOff>2196941</xdr:colOff>
      <xdr:row>1330</xdr:row>
      <xdr:rowOff>912693</xdr:rowOff>
    </xdr:to>
    <xdr:pic>
      <xdr:nvPicPr>
        <xdr:cNvPr id="2661" name="Picture 2660" descr="Insight Picture 2660">
          <a:extLst>
            <a:ext uri="{FF2B5EF4-FFF2-40B4-BE49-F238E27FC236}">
              <a16:creationId xmlns:a16="http://schemas.microsoft.com/office/drawing/2014/main" id="{2777E94F-0F05-EBF7-DD04-9D68107DB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/>
        <a:stretch>
          <a:fillRect/>
        </a:stretch>
      </xdr:blipFill>
      <xdr:spPr>
        <a:xfrm>
          <a:off x="439578" y="1157113867"/>
          <a:ext cx="1757363" cy="850106"/>
        </a:xfrm>
        <a:prstGeom prst="rect">
          <a:avLst/>
        </a:prstGeom>
      </xdr:spPr>
    </xdr:pic>
    <xdr:clientData/>
  </xdr:twoCellAnchor>
  <xdr:twoCellAnchor editAs="oneCell">
    <xdr:from>
      <xdr:col>0</xdr:col>
      <xdr:colOff>811053</xdr:colOff>
      <xdr:row>1331</xdr:row>
      <xdr:rowOff>63540</xdr:rowOff>
    </xdr:from>
    <xdr:to>
      <xdr:col>0</xdr:col>
      <xdr:colOff>1825466</xdr:colOff>
      <xdr:row>1331</xdr:row>
      <xdr:rowOff>827921</xdr:rowOff>
    </xdr:to>
    <xdr:pic>
      <xdr:nvPicPr>
        <xdr:cNvPr id="2663" name="Picture 2662" descr="Insight Picture 2662">
          <a:extLst>
            <a:ext uri="{FF2B5EF4-FFF2-40B4-BE49-F238E27FC236}">
              <a16:creationId xmlns:a16="http://schemas.microsoft.com/office/drawing/2014/main" id="{7BBF7E94-9B50-2800-50EC-EEF832153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1"/>
        <a:stretch>
          <a:fillRect/>
        </a:stretch>
      </xdr:blipFill>
      <xdr:spPr>
        <a:xfrm>
          <a:off x="811053" y="1158090180"/>
          <a:ext cx="1014413" cy="764381"/>
        </a:xfrm>
        <a:prstGeom prst="rect">
          <a:avLst/>
        </a:prstGeom>
      </xdr:spPr>
    </xdr:pic>
    <xdr:clientData/>
  </xdr:twoCellAnchor>
  <xdr:twoCellAnchor editAs="oneCell">
    <xdr:from>
      <xdr:col>0</xdr:col>
      <xdr:colOff>411003</xdr:colOff>
      <xdr:row>1332</xdr:row>
      <xdr:rowOff>63579</xdr:rowOff>
    </xdr:from>
    <xdr:to>
      <xdr:col>0</xdr:col>
      <xdr:colOff>2225516</xdr:colOff>
      <xdr:row>1332</xdr:row>
      <xdr:rowOff>713660</xdr:rowOff>
    </xdr:to>
    <xdr:pic>
      <xdr:nvPicPr>
        <xdr:cNvPr id="2665" name="Picture 2664" descr="Insight Picture 2664">
          <a:extLst>
            <a:ext uri="{FF2B5EF4-FFF2-40B4-BE49-F238E27FC236}">
              <a16:creationId xmlns:a16="http://schemas.microsoft.com/office/drawing/2014/main" id="{02C426A3-BDD8-0533-C891-72E65A5B9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2"/>
        <a:stretch>
          <a:fillRect/>
        </a:stretch>
      </xdr:blipFill>
      <xdr:spPr>
        <a:xfrm>
          <a:off x="411003" y="1158981759"/>
          <a:ext cx="1814513" cy="650081"/>
        </a:xfrm>
        <a:prstGeom prst="rect">
          <a:avLst/>
        </a:prstGeom>
      </xdr:spPr>
    </xdr:pic>
    <xdr:clientData/>
  </xdr:twoCellAnchor>
  <xdr:twoCellAnchor editAs="oneCell">
    <xdr:from>
      <xdr:col>0</xdr:col>
      <xdr:colOff>753903</xdr:colOff>
      <xdr:row>1333</xdr:row>
      <xdr:rowOff>62131</xdr:rowOff>
    </xdr:from>
    <xdr:to>
      <xdr:col>0</xdr:col>
      <xdr:colOff>1882616</xdr:colOff>
      <xdr:row>1333</xdr:row>
      <xdr:rowOff>897950</xdr:rowOff>
    </xdr:to>
    <xdr:pic>
      <xdr:nvPicPr>
        <xdr:cNvPr id="2667" name="Picture 2666" descr="Insight Picture 2666">
          <a:extLst>
            <a:ext uri="{FF2B5EF4-FFF2-40B4-BE49-F238E27FC236}">
              <a16:creationId xmlns:a16="http://schemas.microsoft.com/office/drawing/2014/main" id="{0ACC46DF-1F2D-5152-CCCD-700975FC5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3"/>
        <a:stretch>
          <a:fillRect/>
        </a:stretch>
      </xdr:blipFill>
      <xdr:spPr>
        <a:xfrm>
          <a:off x="753903" y="1159757551"/>
          <a:ext cx="1128713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778907</xdr:colOff>
      <xdr:row>1334</xdr:row>
      <xdr:rowOff>60960</xdr:rowOff>
    </xdr:from>
    <xdr:to>
      <xdr:col>0</xdr:col>
      <xdr:colOff>1857613</xdr:colOff>
      <xdr:row>1334</xdr:row>
      <xdr:rowOff>975360</xdr:rowOff>
    </xdr:to>
    <xdr:pic>
      <xdr:nvPicPr>
        <xdr:cNvPr id="2669" name="Picture 2668" descr="Insight Picture 2668">
          <a:extLst>
            <a:ext uri="{FF2B5EF4-FFF2-40B4-BE49-F238E27FC236}">
              <a16:creationId xmlns:a16="http://schemas.microsoft.com/office/drawing/2014/main" id="{68D7BA41-2D3C-FFCF-FB99-FB25F3237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4"/>
        <a:stretch>
          <a:fillRect/>
        </a:stretch>
      </xdr:blipFill>
      <xdr:spPr>
        <a:xfrm>
          <a:off x="778907" y="1160716500"/>
          <a:ext cx="1078706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614600</xdr:colOff>
      <xdr:row>1335</xdr:row>
      <xdr:rowOff>61476</xdr:rowOff>
    </xdr:from>
    <xdr:to>
      <xdr:col>0</xdr:col>
      <xdr:colOff>2021919</xdr:colOff>
      <xdr:row>1335</xdr:row>
      <xdr:rowOff>647264</xdr:rowOff>
    </xdr:to>
    <xdr:pic>
      <xdr:nvPicPr>
        <xdr:cNvPr id="2671" name="Picture 2670" descr="Insight Picture 2670">
          <a:extLst>
            <a:ext uri="{FF2B5EF4-FFF2-40B4-BE49-F238E27FC236}">
              <a16:creationId xmlns:a16="http://schemas.microsoft.com/office/drawing/2014/main" id="{FFEC98C0-16F3-FEA4-12C7-239B82D81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5"/>
        <a:stretch>
          <a:fillRect/>
        </a:stretch>
      </xdr:blipFill>
      <xdr:spPr>
        <a:xfrm>
          <a:off x="614600" y="1161753336"/>
          <a:ext cx="1407319" cy="585788"/>
        </a:xfrm>
        <a:prstGeom prst="rect">
          <a:avLst/>
        </a:prstGeom>
      </xdr:spPr>
    </xdr:pic>
    <xdr:clientData/>
  </xdr:twoCellAnchor>
  <xdr:twoCellAnchor editAs="oneCell">
    <xdr:from>
      <xdr:col>0</xdr:col>
      <xdr:colOff>553878</xdr:colOff>
      <xdr:row>1336</xdr:row>
      <xdr:rowOff>62825</xdr:rowOff>
    </xdr:from>
    <xdr:to>
      <xdr:col>0</xdr:col>
      <xdr:colOff>2082641</xdr:colOff>
      <xdr:row>1336</xdr:row>
      <xdr:rowOff>691475</xdr:rowOff>
    </xdr:to>
    <xdr:pic>
      <xdr:nvPicPr>
        <xdr:cNvPr id="2673" name="Picture 2672" descr="Insight Picture 2672">
          <a:extLst>
            <a:ext uri="{FF2B5EF4-FFF2-40B4-BE49-F238E27FC236}">
              <a16:creationId xmlns:a16="http://schemas.microsoft.com/office/drawing/2014/main" id="{7C877E22-B659-DE73-BC0E-80AE2DAC3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6"/>
        <a:stretch>
          <a:fillRect/>
        </a:stretch>
      </xdr:blipFill>
      <xdr:spPr>
        <a:xfrm>
          <a:off x="553878" y="1162463345"/>
          <a:ext cx="1528763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750332</xdr:colOff>
      <xdr:row>1337</xdr:row>
      <xdr:rowOff>62607</xdr:rowOff>
    </xdr:from>
    <xdr:to>
      <xdr:col>0</xdr:col>
      <xdr:colOff>1886188</xdr:colOff>
      <xdr:row>1337</xdr:row>
      <xdr:rowOff>1255613</xdr:rowOff>
    </xdr:to>
    <xdr:pic>
      <xdr:nvPicPr>
        <xdr:cNvPr id="2675" name="Picture 2674" descr="Insight Picture 2674">
          <a:extLst>
            <a:ext uri="{FF2B5EF4-FFF2-40B4-BE49-F238E27FC236}">
              <a16:creationId xmlns:a16="http://schemas.microsoft.com/office/drawing/2014/main" id="{B8362B38-45ED-DE0B-9ED3-72806E966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7"/>
        <a:stretch>
          <a:fillRect/>
        </a:stretch>
      </xdr:blipFill>
      <xdr:spPr>
        <a:xfrm>
          <a:off x="750332" y="1163217507"/>
          <a:ext cx="1135856" cy="1193006"/>
        </a:xfrm>
        <a:prstGeom prst="rect">
          <a:avLst/>
        </a:prstGeom>
      </xdr:spPr>
    </xdr:pic>
    <xdr:clientData/>
  </xdr:twoCellAnchor>
  <xdr:twoCellAnchor editAs="oneCell">
    <xdr:from>
      <xdr:col>0</xdr:col>
      <xdr:colOff>593170</xdr:colOff>
      <xdr:row>1338</xdr:row>
      <xdr:rowOff>62667</xdr:rowOff>
    </xdr:from>
    <xdr:to>
      <xdr:col>0</xdr:col>
      <xdr:colOff>2043351</xdr:colOff>
      <xdr:row>1338</xdr:row>
      <xdr:rowOff>1141373</xdr:rowOff>
    </xdr:to>
    <xdr:pic>
      <xdr:nvPicPr>
        <xdr:cNvPr id="2677" name="Picture 2676" descr="Insight Picture 2676">
          <a:extLst>
            <a:ext uri="{FF2B5EF4-FFF2-40B4-BE49-F238E27FC236}">
              <a16:creationId xmlns:a16="http://schemas.microsoft.com/office/drawing/2014/main" id="{B7CB7722-56B5-63E6-12D8-A9BE36A47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8"/>
        <a:stretch>
          <a:fillRect/>
        </a:stretch>
      </xdr:blipFill>
      <xdr:spPr>
        <a:xfrm>
          <a:off x="593170" y="1164535827"/>
          <a:ext cx="1450181" cy="1078706"/>
        </a:xfrm>
        <a:prstGeom prst="rect">
          <a:avLst/>
        </a:prstGeom>
      </xdr:spPr>
    </xdr:pic>
    <xdr:clientData/>
  </xdr:twoCellAnchor>
  <xdr:twoCellAnchor editAs="oneCell">
    <xdr:from>
      <xdr:col>0</xdr:col>
      <xdr:colOff>418147</xdr:colOff>
      <xdr:row>1339</xdr:row>
      <xdr:rowOff>61932</xdr:rowOff>
    </xdr:from>
    <xdr:to>
      <xdr:col>0</xdr:col>
      <xdr:colOff>2218372</xdr:colOff>
      <xdr:row>1339</xdr:row>
      <xdr:rowOff>547707</xdr:rowOff>
    </xdr:to>
    <xdr:pic>
      <xdr:nvPicPr>
        <xdr:cNvPr id="2679" name="Picture 2678" descr="Insight Picture 2678">
          <a:extLst>
            <a:ext uri="{FF2B5EF4-FFF2-40B4-BE49-F238E27FC236}">
              <a16:creationId xmlns:a16="http://schemas.microsoft.com/office/drawing/2014/main" id="{C85F7800-CCDC-1BB8-2BDB-5E52A84BA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9"/>
        <a:stretch>
          <a:fillRect/>
        </a:stretch>
      </xdr:blipFill>
      <xdr:spPr>
        <a:xfrm>
          <a:off x="418147" y="1165739052"/>
          <a:ext cx="1800225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514588</xdr:colOff>
      <xdr:row>1340</xdr:row>
      <xdr:rowOff>62428</xdr:rowOff>
    </xdr:from>
    <xdr:to>
      <xdr:col>0</xdr:col>
      <xdr:colOff>2121932</xdr:colOff>
      <xdr:row>1340</xdr:row>
      <xdr:rowOff>791091</xdr:rowOff>
    </xdr:to>
    <xdr:pic>
      <xdr:nvPicPr>
        <xdr:cNvPr id="2681" name="Picture 2680" descr="Insight Picture 2680">
          <a:extLst>
            <a:ext uri="{FF2B5EF4-FFF2-40B4-BE49-F238E27FC236}">
              <a16:creationId xmlns:a16="http://schemas.microsoft.com/office/drawing/2014/main" id="{3529F57C-B549-8EA8-695C-6A584C23A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/>
        <a:stretch>
          <a:fillRect/>
        </a:stretch>
      </xdr:blipFill>
      <xdr:spPr>
        <a:xfrm>
          <a:off x="514588" y="1166349148"/>
          <a:ext cx="1607344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753903</xdr:colOff>
      <xdr:row>1341</xdr:row>
      <xdr:rowOff>63063</xdr:rowOff>
    </xdr:from>
    <xdr:to>
      <xdr:col>0</xdr:col>
      <xdr:colOff>1882616</xdr:colOff>
      <xdr:row>1341</xdr:row>
      <xdr:rowOff>1041757</xdr:rowOff>
    </xdr:to>
    <xdr:pic>
      <xdr:nvPicPr>
        <xdr:cNvPr id="2683" name="Picture 2682" descr="Insight Picture 2682">
          <a:extLst>
            <a:ext uri="{FF2B5EF4-FFF2-40B4-BE49-F238E27FC236}">
              <a16:creationId xmlns:a16="http://schemas.microsoft.com/office/drawing/2014/main" id="{AF2498BC-EAAB-9488-7DF2-24D217308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1"/>
        <a:stretch>
          <a:fillRect/>
        </a:stretch>
      </xdr:blipFill>
      <xdr:spPr>
        <a:xfrm>
          <a:off x="753903" y="1167203223"/>
          <a:ext cx="1128713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664607</xdr:colOff>
      <xdr:row>1342</xdr:row>
      <xdr:rowOff>60285</xdr:rowOff>
    </xdr:from>
    <xdr:to>
      <xdr:col>0</xdr:col>
      <xdr:colOff>1971913</xdr:colOff>
      <xdr:row>1342</xdr:row>
      <xdr:rowOff>838954</xdr:rowOff>
    </xdr:to>
    <xdr:pic>
      <xdr:nvPicPr>
        <xdr:cNvPr id="2685" name="Picture 2684" descr="Insight Picture 2684">
          <a:extLst>
            <a:ext uri="{FF2B5EF4-FFF2-40B4-BE49-F238E27FC236}">
              <a16:creationId xmlns:a16="http://schemas.microsoft.com/office/drawing/2014/main" id="{5DC67191-08DB-31B5-2C2D-017CF3720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2"/>
        <a:stretch>
          <a:fillRect/>
        </a:stretch>
      </xdr:blipFill>
      <xdr:spPr>
        <a:xfrm>
          <a:off x="664607" y="1168305345"/>
          <a:ext cx="1307306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732472</xdr:colOff>
      <xdr:row>1343</xdr:row>
      <xdr:rowOff>62627</xdr:rowOff>
    </xdr:from>
    <xdr:to>
      <xdr:col>0</xdr:col>
      <xdr:colOff>1904047</xdr:colOff>
      <xdr:row>1343</xdr:row>
      <xdr:rowOff>798433</xdr:rowOff>
    </xdr:to>
    <xdr:pic>
      <xdr:nvPicPr>
        <xdr:cNvPr id="2687" name="Picture 2686" descr="Insight Picture 2686">
          <a:extLst>
            <a:ext uri="{FF2B5EF4-FFF2-40B4-BE49-F238E27FC236}">
              <a16:creationId xmlns:a16="http://schemas.microsoft.com/office/drawing/2014/main" id="{13686005-735B-64C7-FFC3-B02D5C722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3"/>
        <a:stretch>
          <a:fillRect/>
        </a:stretch>
      </xdr:blipFill>
      <xdr:spPr>
        <a:xfrm>
          <a:off x="732472" y="1169206847"/>
          <a:ext cx="1171575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732472</xdr:colOff>
      <xdr:row>1344</xdr:row>
      <xdr:rowOff>62587</xdr:rowOff>
    </xdr:from>
    <xdr:to>
      <xdr:col>0</xdr:col>
      <xdr:colOff>1904047</xdr:colOff>
      <xdr:row>1344</xdr:row>
      <xdr:rowOff>798393</xdr:rowOff>
    </xdr:to>
    <xdr:pic>
      <xdr:nvPicPr>
        <xdr:cNvPr id="2689" name="Picture 2688" descr="Insight Picture 2688">
          <a:extLst>
            <a:ext uri="{FF2B5EF4-FFF2-40B4-BE49-F238E27FC236}">
              <a16:creationId xmlns:a16="http://schemas.microsoft.com/office/drawing/2014/main" id="{D384D260-D80A-A4F2-4CED-A764BAD30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/>
        <a:stretch>
          <a:fillRect/>
        </a:stretch>
      </xdr:blipFill>
      <xdr:spPr>
        <a:xfrm>
          <a:off x="732472" y="1170067867"/>
          <a:ext cx="1171575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782478</xdr:colOff>
      <xdr:row>1345</xdr:row>
      <xdr:rowOff>60960</xdr:rowOff>
    </xdr:from>
    <xdr:to>
      <xdr:col>0</xdr:col>
      <xdr:colOff>1854041</xdr:colOff>
      <xdr:row>1345</xdr:row>
      <xdr:rowOff>746760</xdr:rowOff>
    </xdr:to>
    <xdr:pic>
      <xdr:nvPicPr>
        <xdr:cNvPr id="2691" name="Picture 2690" descr="Insight Picture 2690">
          <a:extLst>
            <a:ext uri="{FF2B5EF4-FFF2-40B4-BE49-F238E27FC236}">
              <a16:creationId xmlns:a16="http://schemas.microsoft.com/office/drawing/2014/main" id="{D62DC4D4-4112-99D4-5EE6-31D94E11E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5"/>
        <a:stretch>
          <a:fillRect/>
        </a:stretch>
      </xdr:blipFill>
      <xdr:spPr>
        <a:xfrm>
          <a:off x="782478" y="1170927300"/>
          <a:ext cx="1071563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825341</xdr:colOff>
      <xdr:row>1346</xdr:row>
      <xdr:rowOff>60484</xdr:rowOff>
    </xdr:from>
    <xdr:to>
      <xdr:col>0</xdr:col>
      <xdr:colOff>1811179</xdr:colOff>
      <xdr:row>1346</xdr:row>
      <xdr:rowOff>846297</xdr:rowOff>
    </xdr:to>
    <xdr:pic>
      <xdr:nvPicPr>
        <xdr:cNvPr id="2693" name="Picture 2692" descr="Insight Picture 2692">
          <a:extLst>
            <a:ext uri="{FF2B5EF4-FFF2-40B4-BE49-F238E27FC236}">
              <a16:creationId xmlns:a16="http://schemas.microsoft.com/office/drawing/2014/main" id="{C2B88A83-486D-EE7C-B17C-2765C53F7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/>
        <a:stretch>
          <a:fillRect/>
        </a:stretch>
      </xdr:blipFill>
      <xdr:spPr>
        <a:xfrm>
          <a:off x="825341" y="1171734544"/>
          <a:ext cx="985838" cy="785813"/>
        </a:xfrm>
        <a:prstGeom prst="rect">
          <a:avLst/>
        </a:prstGeom>
      </xdr:spPr>
    </xdr:pic>
    <xdr:clientData/>
  </xdr:twoCellAnchor>
  <xdr:twoCellAnchor editAs="oneCell">
    <xdr:from>
      <xdr:col>0</xdr:col>
      <xdr:colOff>839628</xdr:colOff>
      <xdr:row>1347</xdr:row>
      <xdr:rowOff>61158</xdr:rowOff>
    </xdr:from>
    <xdr:to>
      <xdr:col>0</xdr:col>
      <xdr:colOff>1796891</xdr:colOff>
      <xdr:row>1347</xdr:row>
      <xdr:rowOff>639802</xdr:rowOff>
    </xdr:to>
    <xdr:pic>
      <xdr:nvPicPr>
        <xdr:cNvPr id="2695" name="Picture 2694" descr="Insight Picture 2694">
          <a:extLst>
            <a:ext uri="{FF2B5EF4-FFF2-40B4-BE49-F238E27FC236}">
              <a16:creationId xmlns:a16="http://schemas.microsoft.com/office/drawing/2014/main" id="{4C12BFDF-C323-4A8C-8B4C-431152298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7"/>
        <a:stretch>
          <a:fillRect/>
        </a:stretch>
      </xdr:blipFill>
      <xdr:spPr>
        <a:xfrm>
          <a:off x="839628" y="1172641998"/>
          <a:ext cx="957263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750332</xdr:colOff>
      <xdr:row>1348</xdr:row>
      <xdr:rowOff>60504</xdr:rowOff>
    </xdr:from>
    <xdr:to>
      <xdr:col>0</xdr:col>
      <xdr:colOff>1886188</xdr:colOff>
      <xdr:row>1348</xdr:row>
      <xdr:rowOff>732017</xdr:rowOff>
    </xdr:to>
    <xdr:pic>
      <xdr:nvPicPr>
        <xdr:cNvPr id="2697" name="Picture 2696" descr="Insight Picture 2696">
          <a:extLst>
            <a:ext uri="{FF2B5EF4-FFF2-40B4-BE49-F238E27FC236}">
              <a16:creationId xmlns:a16="http://schemas.microsoft.com/office/drawing/2014/main" id="{29457DBF-01A7-AC26-4492-9EBCBB700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8"/>
        <a:stretch>
          <a:fillRect/>
        </a:stretch>
      </xdr:blipFill>
      <xdr:spPr>
        <a:xfrm>
          <a:off x="750332" y="1173342384"/>
          <a:ext cx="1135856" cy="671513"/>
        </a:xfrm>
        <a:prstGeom prst="rect">
          <a:avLst/>
        </a:prstGeom>
      </xdr:spPr>
    </xdr:pic>
    <xdr:clientData/>
  </xdr:twoCellAnchor>
  <xdr:twoCellAnchor editAs="oneCell">
    <xdr:from>
      <xdr:col>0</xdr:col>
      <xdr:colOff>839628</xdr:colOff>
      <xdr:row>1349</xdr:row>
      <xdr:rowOff>63560</xdr:rowOff>
    </xdr:from>
    <xdr:to>
      <xdr:col>0</xdr:col>
      <xdr:colOff>1796891</xdr:colOff>
      <xdr:row>1349</xdr:row>
      <xdr:rowOff>1285141</xdr:rowOff>
    </xdr:to>
    <xdr:pic>
      <xdr:nvPicPr>
        <xdr:cNvPr id="2699" name="Picture 2698" descr="Insight Picture 2698">
          <a:extLst>
            <a:ext uri="{FF2B5EF4-FFF2-40B4-BE49-F238E27FC236}">
              <a16:creationId xmlns:a16="http://schemas.microsoft.com/office/drawing/2014/main" id="{6D123ABF-FD23-DE11-48B6-39E7946F4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/>
        <a:stretch>
          <a:fillRect/>
        </a:stretch>
      </xdr:blipFill>
      <xdr:spPr>
        <a:xfrm>
          <a:off x="839628" y="1174137920"/>
          <a:ext cx="957263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793195</xdr:colOff>
      <xdr:row>1350</xdr:row>
      <xdr:rowOff>60722</xdr:rowOff>
    </xdr:from>
    <xdr:to>
      <xdr:col>0</xdr:col>
      <xdr:colOff>1843326</xdr:colOff>
      <xdr:row>1350</xdr:row>
      <xdr:rowOff>967978</xdr:rowOff>
    </xdr:to>
    <xdr:pic>
      <xdr:nvPicPr>
        <xdr:cNvPr id="2701" name="Picture 2700" descr="Insight Picture 2700">
          <a:extLst>
            <a:ext uri="{FF2B5EF4-FFF2-40B4-BE49-F238E27FC236}">
              <a16:creationId xmlns:a16="http://schemas.microsoft.com/office/drawing/2014/main" id="{3BA36B8C-A455-65A5-A323-539E16582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0"/>
        <a:stretch>
          <a:fillRect/>
        </a:stretch>
      </xdr:blipFill>
      <xdr:spPr>
        <a:xfrm>
          <a:off x="793195" y="1175483822"/>
          <a:ext cx="1050131" cy="907256"/>
        </a:xfrm>
        <a:prstGeom prst="rect">
          <a:avLst/>
        </a:prstGeom>
      </xdr:spPr>
    </xdr:pic>
    <xdr:clientData/>
  </xdr:twoCellAnchor>
  <xdr:twoCellAnchor editAs="oneCell">
    <xdr:from>
      <xdr:col>0</xdr:col>
      <xdr:colOff>853916</xdr:colOff>
      <xdr:row>1351</xdr:row>
      <xdr:rowOff>62409</xdr:rowOff>
    </xdr:from>
    <xdr:to>
      <xdr:col>0</xdr:col>
      <xdr:colOff>1782604</xdr:colOff>
      <xdr:row>1351</xdr:row>
      <xdr:rowOff>1133972</xdr:rowOff>
    </xdr:to>
    <xdr:pic>
      <xdr:nvPicPr>
        <xdr:cNvPr id="2703" name="Picture 2702" descr="Insight Picture 2702">
          <a:extLst>
            <a:ext uri="{FF2B5EF4-FFF2-40B4-BE49-F238E27FC236}">
              <a16:creationId xmlns:a16="http://schemas.microsoft.com/office/drawing/2014/main" id="{E495F04A-459E-1F79-8E65-247011DB9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1"/>
        <a:stretch>
          <a:fillRect/>
        </a:stretch>
      </xdr:blipFill>
      <xdr:spPr>
        <a:xfrm>
          <a:off x="853916" y="1176514209"/>
          <a:ext cx="928688" cy="1071563"/>
        </a:xfrm>
        <a:prstGeom prst="rect">
          <a:avLst/>
        </a:prstGeom>
      </xdr:spPr>
    </xdr:pic>
    <xdr:clientData/>
  </xdr:twoCellAnchor>
  <xdr:twoCellAnchor editAs="oneCell">
    <xdr:from>
      <xdr:col>0</xdr:col>
      <xdr:colOff>568166</xdr:colOff>
      <xdr:row>1352</xdr:row>
      <xdr:rowOff>60265</xdr:rowOff>
    </xdr:from>
    <xdr:to>
      <xdr:col>0</xdr:col>
      <xdr:colOff>2068354</xdr:colOff>
      <xdr:row>1352</xdr:row>
      <xdr:rowOff>496034</xdr:rowOff>
    </xdr:to>
    <xdr:pic>
      <xdr:nvPicPr>
        <xdr:cNvPr id="2705" name="Picture 2704" descr="Insight Picture 2704">
          <a:extLst>
            <a:ext uri="{FF2B5EF4-FFF2-40B4-BE49-F238E27FC236}">
              <a16:creationId xmlns:a16="http://schemas.microsoft.com/office/drawing/2014/main" id="{535EC563-A821-A731-D09C-B5329F4D8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/>
        <a:stretch>
          <a:fillRect/>
        </a:stretch>
      </xdr:blipFill>
      <xdr:spPr>
        <a:xfrm>
          <a:off x="568166" y="1177708405"/>
          <a:ext cx="1500188" cy="435769"/>
        </a:xfrm>
        <a:prstGeom prst="rect">
          <a:avLst/>
        </a:prstGeom>
      </xdr:spPr>
    </xdr:pic>
    <xdr:clientData/>
  </xdr:twoCellAnchor>
  <xdr:twoCellAnchor editAs="oneCell">
    <xdr:from>
      <xdr:col>0</xdr:col>
      <xdr:colOff>596741</xdr:colOff>
      <xdr:row>1353</xdr:row>
      <xdr:rowOff>62409</xdr:rowOff>
    </xdr:from>
    <xdr:to>
      <xdr:col>0</xdr:col>
      <xdr:colOff>2039779</xdr:colOff>
      <xdr:row>1353</xdr:row>
      <xdr:rowOff>791072</xdr:rowOff>
    </xdr:to>
    <xdr:pic>
      <xdr:nvPicPr>
        <xdr:cNvPr id="2707" name="Picture 2706" descr="Insight Picture 2706">
          <a:extLst>
            <a:ext uri="{FF2B5EF4-FFF2-40B4-BE49-F238E27FC236}">
              <a16:creationId xmlns:a16="http://schemas.microsoft.com/office/drawing/2014/main" id="{84395185-06AC-26C8-C00C-2484B363A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/>
        <a:stretch>
          <a:fillRect/>
        </a:stretch>
      </xdr:blipFill>
      <xdr:spPr>
        <a:xfrm>
          <a:off x="596741" y="1178266809"/>
          <a:ext cx="1443038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532447</xdr:colOff>
      <xdr:row>1354</xdr:row>
      <xdr:rowOff>62151</xdr:rowOff>
    </xdr:from>
    <xdr:to>
      <xdr:col>0</xdr:col>
      <xdr:colOff>2104072</xdr:colOff>
      <xdr:row>1354</xdr:row>
      <xdr:rowOff>1012270</xdr:rowOff>
    </xdr:to>
    <xdr:pic>
      <xdr:nvPicPr>
        <xdr:cNvPr id="2709" name="Picture 2708" descr="Insight Picture 2708">
          <a:extLst>
            <a:ext uri="{FF2B5EF4-FFF2-40B4-BE49-F238E27FC236}">
              <a16:creationId xmlns:a16="http://schemas.microsoft.com/office/drawing/2014/main" id="{92704DAC-2721-D8D2-9CBE-23041869E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4"/>
        <a:stretch>
          <a:fillRect/>
        </a:stretch>
      </xdr:blipFill>
      <xdr:spPr>
        <a:xfrm>
          <a:off x="532447" y="1179119991"/>
          <a:ext cx="1571625" cy="950119"/>
        </a:xfrm>
        <a:prstGeom prst="rect">
          <a:avLst/>
        </a:prstGeom>
      </xdr:spPr>
    </xdr:pic>
    <xdr:clientData/>
  </xdr:twoCellAnchor>
  <xdr:twoCellAnchor editAs="oneCell">
    <xdr:from>
      <xdr:col>0</xdr:col>
      <xdr:colOff>782478</xdr:colOff>
      <xdr:row>1355</xdr:row>
      <xdr:rowOff>62369</xdr:rowOff>
    </xdr:from>
    <xdr:to>
      <xdr:col>0</xdr:col>
      <xdr:colOff>1854041</xdr:colOff>
      <xdr:row>1355</xdr:row>
      <xdr:rowOff>1133932</xdr:rowOff>
    </xdr:to>
    <xdr:pic>
      <xdr:nvPicPr>
        <xdr:cNvPr id="2711" name="Picture 2710" descr="Insight Picture 2710">
          <a:extLst>
            <a:ext uri="{FF2B5EF4-FFF2-40B4-BE49-F238E27FC236}">
              <a16:creationId xmlns:a16="http://schemas.microsoft.com/office/drawing/2014/main" id="{60CB8484-F069-A7A5-4955-5AFECDA42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5"/>
        <a:stretch>
          <a:fillRect/>
        </a:stretch>
      </xdr:blipFill>
      <xdr:spPr>
        <a:xfrm>
          <a:off x="782478" y="1180194629"/>
          <a:ext cx="1071563" cy="1071563"/>
        </a:xfrm>
        <a:prstGeom prst="rect">
          <a:avLst/>
        </a:prstGeom>
      </xdr:spPr>
    </xdr:pic>
    <xdr:clientData/>
  </xdr:twoCellAnchor>
  <xdr:twoCellAnchor editAs="oneCell">
    <xdr:from>
      <xdr:col>0</xdr:col>
      <xdr:colOff>603885</xdr:colOff>
      <xdr:row>1356</xdr:row>
      <xdr:rowOff>62409</xdr:rowOff>
    </xdr:from>
    <xdr:to>
      <xdr:col>0</xdr:col>
      <xdr:colOff>2032635</xdr:colOff>
      <xdr:row>1356</xdr:row>
      <xdr:rowOff>1133972</xdr:rowOff>
    </xdr:to>
    <xdr:pic>
      <xdr:nvPicPr>
        <xdr:cNvPr id="2713" name="Picture 2712" descr="Insight Picture 2712">
          <a:extLst>
            <a:ext uri="{FF2B5EF4-FFF2-40B4-BE49-F238E27FC236}">
              <a16:creationId xmlns:a16="http://schemas.microsoft.com/office/drawing/2014/main" id="{B269F5AA-8823-9870-3BDB-B787F43C5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/>
        <a:stretch>
          <a:fillRect/>
        </a:stretch>
      </xdr:blipFill>
      <xdr:spPr>
        <a:xfrm>
          <a:off x="603885" y="1181391009"/>
          <a:ext cx="1428750" cy="1071563"/>
        </a:xfrm>
        <a:prstGeom prst="rect">
          <a:avLst/>
        </a:prstGeom>
      </xdr:spPr>
    </xdr:pic>
    <xdr:clientData/>
  </xdr:twoCellAnchor>
  <xdr:twoCellAnchor editAs="oneCell">
    <xdr:from>
      <xdr:col>0</xdr:col>
      <xdr:colOff>771763</xdr:colOff>
      <xdr:row>1357</xdr:row>
      <xdr:rowOff>60762</xdr:rowOff>
    </xdr:from>
    <xdr:to>
      <xdr:col>0</xdr:col>
      <xdr:colOff>1864757</xdr:colOff>
      <xdr:row>1357</xdr:row>
      <xdr:rowOff>510818</xdr:rowOff>
    </xdr:to>
    <xdr:pic>
      <xdr:nvPicPr>
        <xdr:cNvPr id="2715" name="Picture 2714" descr="Insight Picture 2714">
          <a:extLst>
            <a:ext uri="{FF2B5EF4-FFF2-40B4-BE49-F238E27FC236}">
              <a16:creationId xmlns:a16="http://schemas.microsoft.com/office/drawing/2014/main" id="{ABB456B7-5A4C-3DAA-66EA-CA1E82182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/>
        <a:stretch>
          <a:fillRect/>
        </a:stretch>
      </xdr:blipFill>
      <xdr:spPr>
        <a:xfrm>
          <a:off x="771763" y="1182585702"/>
          <a:ext cx="1092994" cy="450056"/>
        </a:xfrm>
        <a:prstGeom prst="rect">
          <a:avLst/>
        </a:prstGeom>
      </xdr:spPr>
    </xdr:pic>
    <xdr:clientData/>
  </xdr:twoCellAnchor>
  <xdr:twoCellAnchor editAs="oneCell">
    <xdr:from>
      <xdr:col>0</xdr:col>
      <xdr:colOff>411003</xdr:colOff>
      <xdr:row>1358</xdr:row>
      <xdr:rowOff>63341</xdr:rowOff>
    </xdr:from>
    <xdr:to>
      <xdr:col>0</xdr:col>
      <xdr:colOff>2225516</xdr:colOff>
      <xdr:row>1358</xdr:row>
      <xdr:rowOff>591979</xdr:rowOff>
    </xdr:to>
    <xdr:pic>
      <xdr:nvPicPr>
        <xdr:cNvPr id="2717" name="Picture 2716" descr="Insight Picture 2716">
          <a:extLst>
            <a:ext uri="{FF2B5EF4-FFF2-40B4-BE49-F238E27FC236}">
              <a16:creationId xmlns:a16="http://schemas.microsoft.com/office/drawing/2014/main" id="{13824F4C-5AFF-6AC0-9066-48201F871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8"/>
        <a:stretch>
          <a:fillRect/>
        </a:stretch>
      </xdr:blipFill>
      <xdr:spPr>
        <a:xfrm>
          <a:off x="411003" y="1183159781"/>
          <a:ext cx="1814513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818198</xdr:colOff>
      <xdr:row>1359</xdr:row>
      <xdr:rowOff>60980</xdr:rowOff>
    </xdr:from>
    <xdr:to>
      <xdr:col>0</xdr:col>
      <xdr:colOff>1818323</xdr:colOff>
      <xdr:row>1359</xdr:row>
      <xdr:rowOff>1089680</xdr:rowOff>
    </xdr:to>
    <xdr:pic>
      <xdr:nvPicPr>
        <xdr:cNvPr id="2719" name="Picture 2718" descr="Insight Picture 2718">
          <a:extLst>
            <a:ext uri="{FF2B5EF4-FFF2-40B4-BE49-F238E27FC236}">
              <a16:creationId xmlns:a16="http://schemas.microsoft.com/office/drawing/2014/main" id="{5C917590-6C05-5F8C-C66D-77DDA1F58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9"/>
        <a:stretch>
          <a:fillRect/>
        </a:stretch>
      </xdr:blipFill>
      <xdr:spPr>
        <a:xfrm>
          <a:off x="818198" y="1183812740"/>
          <a:ext cx="100012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664607</xdr:colOff>
      <xdr:row>1360</xdr:row>
      <xdr:rowOff>62587</xdr:rowOff>
    </xdr:from>
    <xdr:to>
      <xdr:col>0</xdr:col>
      <xdr:colOff>1971913</xdr:colOff>
      <xdr:row>1360</xdr:row>
      <xdr:rowOff>798393</xdr:rowOff>
    </xdr:to>
    <xdr:pic>
      <xdr:nvPicPr>
        <xdr:cNvPr id="2721" name="Picture 2720" descr="Insight Picture 2720">
          <a:extLst>
            <a:ext uri="{FF2B5EF4-FFF2-40B4-BE49-F238E27FC236}">
              <a16:creationId xmlns:a16="http://schemas.microsoft.com/office/drawing/2014/main" id="{4810B8CF-7339-706C-3BB6-4D4F34A12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0"/>
        <a:stretch>
          <a:fillRect/>
        </a:stretch>
      </xdr:blipFill>
      <xdr:spPr>
        <a:xfrm>
          <a:off x="664607" y="1184964967"/>
          <a:ext cx="1307306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493157</xdr:colOff>
      <xdr:row>1361</xdr:row>
      <xdr:rowOff>62647</xdr:rowOff>
    </xdr:from>
    <xdr:to>
      <xdr:col>0</xdr:col>
      <xdr:colOff>2143363</xdr:colOff>
      <xdr:row>1361</xdr:row>
      <xdr:rowOff>798453</xdr:rowOff>
    </xdr:to>
    <xdr:pic>
      <xdr:nvPicPr>
        <xdr:cNvPr id="2723" name="Picture 2722" descr="Insight Picture 2722">
          <a:extLst>
            <a:ext uri="{FF2B5EF4-FFF2-40B4-BE49-F238E27FC236}">
              <a16:creationId xmlns:a16="http://schemas.microsoft.com/office/drawing/2014/main" id="{653EF017-9D2A-E27C-97E3-EE2C40537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/>
        <a:stretch>
          <a:fillRect/>
        </a:stretch>
      </xdr:blipFill>
      <xdr:spPr>
        <a:xfrm>
          <a:off x="493157" y="1185826087"/>
          <a:ext cx="1650206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675322</xdr:colOff>
      <xdr:row>1362</xdr:row>
      <xdr:rowOff>62607</xdr:rowOff>
    </xdr:from>
    <xdr:to>
      <xdr:col>0</xdr:col>
      <xdr:colOff>1961197</xdr:colOff>
      <xdr:row>1362</xdr:row>
      <xdr:rowOff>1027013</xdr:rowOff>
    </xdr:to>
    <xdr:pic>
      <xdr:nvPicPr>
        <xdr:cNvPr id="2725" name="Picture 2724" descr="Insight Picture 2724">
          <a:extLst>
            <a:ext uri="{FF2B5EF4-FFF2-40B4-BE49-F238E27FC236}">
              <a16:creationId xmlns:a16="http://schemas.microsoft.com/office/drawing/2014/main" id="{77F288A1-0A10-680D-66F8-A73B3B2B6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/>
        <a:stretch>
          <a:fillRect/>
        </a:stretch>
      </xdr:blipFill>
      <xdr:spPr>
        <a:xfrm>
          <a:off x="675322" y="1186687107"/>
          <a:ext cx="1285875" cy="964406"/>
        </a:xfrm>
        <a:prstGeom prst="rect">
          <a:avLst/>
        </a:prstGeom>
      </xdr:spPr>
    </xdr:pic>
    <xdr:clientData/>
  </xdr:twoCellAnchor>
  <xdr:twoCellAnchor editAs="oneCell">
    <xdr:from>
      <xdr:col>0</xdr:col>
      <xdr:colOff>732472</xdr:colOff>
      <xdr:row>1363</xdr:row>
      <xdr:rowOff>62170</xdr:rowOff>
    </xdr:from>
    <xdr:to>
      <xdr:col>0</xdr:col>
      <xdr:colOff>1904047</xdr:colOff>
      <xdr:row>1363</xdr:row>
      <xdr:rowOff>897989</xdr:rowOff>
    </xdr:to>
    <xdr:pic>
      <xdr:nvPicPr>
        <xdr:cNvPr id="2727" name="Picture 2726" descr="Insight Picture 2726">
          <a:extLst>
            <a:ext uri="{FF2B5EF4-FFF2-40B4-BE49-F238E27FC236}">
              <a16:creationId xmlns:a16="http://schemas.microsoft.com/office/drawing/2014/main" id="{17266CCC-5081-5D34-7FD7-81F8EA85F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3"/>
        <a:stretch>
          <a:fillRect/>
        </a:stretch>
      </xdr:blipFill>
      <xdr:spPr>
        <a:xfrm>
          <a:off x="732472" y="1187776330"/>
          <a:ext cx="1171575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700325</xdr:colOff>
      <xdr:row>1364</xdr:row>
      <xdr:rowOff>60206</xdr:rowOff>
    </xdr:from>
    <xdr:to>
      <xdr:col>0</xdr:col>
      <xdr:colOff>1936194</xdr:colOff>
      <xdr:row>1364</xdr:row>
      <xdr:rowOff>838875</xdr:rowOff>
    </xdr:to>
    <xdr:pic>
      <xdr:nvPicPr>
        <xdr:cNvPr id="2729" name="Picture 2728" descr="Insight Picture 2728">
          <a:extLst>
            <a:ext uri="{FF2B5EF4-FFF2-40B4-BE49-F238E27FC236}">
              <a16:creationId xmlns:a16="http://schemas.microsoft.com/office/drawing/2014/main" id="{23C21A3C-7E0A-74BC-F924-6E9FB5416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4"/>
        <a:stretch>
          <a:fillRect/>
        </a:stretch>
      </xdr:blipFill>
      <xdr:spPr>
        <a:xfrm>
          <a:off x="700325" y="1188734486"/>
          <a:ext cx="1235869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750332</xdr:colOff>
      <xdr:row>1365</xdr:row>
      <xdr:rowOff>62647</xdr:rowOff>
    </xdr:from>
    <xdr:to>
      <xdr:col>0</xdr:col>
      <xdr:colOff>1886188</xdr:colOff>
      <xdr:row>1365</xdr:row>
      <xdr:rowOff>1255653</xdr:rowOff>
    </xdr:to>
    <xdr:pic>
      <xdr:nvPicPr>
        <xdr:cNvPr id="2731" name="Picture 2730" descr="Insight Picture 2730">
          <a:extLst>
            <a:ext uri="{FF2B5EF4-FFF2-40B4-BE49-F238E27FC236}">
              <a16:creationId xmlns:a16="http://schemas.microsoft.com/office/drawing/2014/main" id="{2676919B-0231-D868-11C7-5B13AEA3A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5"/>
        <a:stretch>
          <a:fillRect/>
        </a:stretch>
      </xdr:blipFill>
      <xdr:spPr>
        <a:xfrm>
          <a:off x="750332" y="1189636087"/>
          <a:ext cx="1135856" cy="1193006"/>
        </a:xfrm>
        <a:prstGeom prst="rect">
          <a:avLst/>
        </a:prstGeom>
      </xdr:spPr>
    </xdr:pic>
    <xdr:clientData/>
  </xdr:twoCellAnchor>
  <xdr:twoCellAnchor editAs="oneCell">
    <xdr:from>
      <xdr:col>0</xdr:col>
      <xdr:colOff>750332</xdr:colOff>
      <xdr:row>1366</xdr:row>
      <xdr:rowOff>60226</xdr:rowOff>
    </xdr:from>
    <xdr:to>
      <xdr:col>0</xdr:col>
      <xdr:colOff>1886188</xdr:colOff>
      <xdr:row>1366</xdr:row>
      <xdr:rowOff>495995</xdr:rowOff>
    </xdr:to>
    <xdr:pic>
      <xdr:nvPicPr>
        <xdr:cNvPr id="2733" name="Picture 2732" descr="Insight Picture 2732">
          <a:extLst>
            <a:ext uri="{FF2B5EF4-FFF2-40B4-BE49-F238E27FC236}">
              <a16:creationId xmlns:a16="http://schemas.microsoft.com/office/drawing/2014/main" id="{2B884503-52C0-8E8F-B97B-412D43F52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6"/>
        <a:stretch>
          <a:fillRect/>
        </a:stretch>
      </xdr:blipFill>
      <xdr:spPr>
        <a:xfrm>
          <a:off x="750332" y="1190951926"/>
          <a:ext cx="1135856" cy="435769"/>
        </a:xfrm>
        <a:prstGeom prst="rect">
          <a:avLst/>
        </a:prstGeom>
      </xdr:spPr>
    </xdr:pic>
    <xdr:clientData/>
  </xdr:twoCellAnchor>
  <xdr:twoCellAnchor editAs="oneCell">
    <xdr:from>
      <xdr:col>0</xdr:col>
      <xdr:colOff>753903</xdr:colOff>
      <xdr:row>1367</xdr:row>
      <xdr:rowOff>63560</xdr:rowOff>
    </xdr:from>
    <xdr:to>
      <xdr:col>0</xdr:col>
      <xdr:colOff>1882616</xdr:colOff>
      <xdr:row>1367</xdr:row>
      <xdr:rowOff>942241</xdr:rowOff>
    </xdr:to>
    <xdr:pic>
      <xdr:nvPicPr>
        <xdr:cNvPr id="2735" name="Picture 2734" descr="Insight Picture 2734">
          <a:extLst>
            <a:ext uri="{FF2B5EF4-FFF2-40B4-BE49-F238E27FC236}">
              <a16:creationId xmlns:a16="http://schemas.microsoft.com/office/drawing/2014/main" id="{CBC8C657-5E14-8B7A-B71C-B55B52C49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7"/>
        <a:stretch>
          <a:fillRect/>
        </a:stretch>
      </xdr:blipFill>
      <xdr:spPr>
        <a:xfrm>
          <a:off x="753903" y="1191511520"/>
          <a:ext cx="1128713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753903</xdr:colOff>
      <xdr:row>1368</xdr:row>
      <xdr:rowOff>60722</xdr:rowOff>
    </xdr:from>
    <xdr:to>
      <xdr:col>0</xdr:col>
      <xdr:colOff>1882616</xdr:colOff>
      <xdr:row>1368</xdr:row>
      <xdr:rowOff>739378</xdr:rowOff>
    </xdr:to>
    <xdr:pic>
      <xdr:nvPicPr>
        <xdr:cNvPr id="2737" name="Picture 2736" descr="Insight Picture 2736">
          <a:extLst>
            <a:ext uri="{FF2B5EF4-FFF2-40B4-BE49-F238E27FC236}">
              <a16:creationId xmlns:a16="http://schemas.microsoft.com/office/drawing/2014/main" id="{EBA26E78-E2B1-5796-7070-68493EBC6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8"/>
        <a:stretch>
          <a:fillRect/>
        </a:stretch>
      </xdr:blipFill>
      <xdr:spPr>
        <a:xfrm>
          <a:off x="753903" y="1192514522"/>
          <a:ext cx="1128713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603885</xdr:colOff>
      <xdr:row>1369</xdr:row>
      <xdr:rowOff>62409</xdr:rowOff>
    </xdr:from>
    <xdr:to>
      <xdr:col>0</xdr:col>
      <xdr:colOff>2032635</xdr:colOff>
      <xdr:row>1369</xdr:row>
      <xdr:rowOff>1133972</xdr:rowOff>
    </xdr:to>
    <xdr:pic>
      <xdr:nvPicPr>
        <xdr:cNvPr id="2739" name="Picture 2738" descr="Insight Picture 2738">
          <a:extLst>
            <a:ext uri="{FF2B5EF4-FFF2-40B4-BE49-F238E27FC236}">
              <a16:creationId xmlns:a16="http://schemas.microsoft.com/office/drawing/2014/main" id="{E9B435A2-7D69-A873-0DCA-9FA7D194F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9"/>
        <a:stretch>
          <a:fillRect/>
        </a:stretch>
      </xdr:blipFill>
      <xdr:spPr>
        <a:xfrm>
          <a:off x="603885" y="1193316309"/>
          <a:ext cx="1428750" cy="1071563"/>
        </a:xfrm>
        <a:prstGeom prst="rect">
          <a:avLst/>
        </a:prstGeom>
      </xdr:spPr>
    </xdr:pic>
    <xdr:clientData/>
  </xdr:twoCellAnchor>
  <xdr:twoCellAnchor editAs="oneCell">
    <xdr:from>
      <xdr:col>0</xdr:col>
      <xdr:colOff>675322</xdr:colOff>
      <xdr:row>1370</xdr:row>
      <xdr:rowOff>62349</xdr:rowOff>
    </xdr:from>
    <xdr:to>
      <xdr:col>0</xdr:col>
      <xdr:colOff>1961197</xdr:colOff>
      <xdr:row>1370</xdr:row>
      <xdr:rowOff>562412</xdr:rowOff>
    </xdr:to>
    <xdr:pic>
      <xdr:nvPicPr>
        <xdr:cNvPr id="2741" name="Picture 2740" descr="Insight Picture 2740">
          <a:extLst>
            <a:ext uri="{FF2B5EF4-FFF2-40B4-BE49-F238E27FC236}">
              <a16:creationId xmlns:a16="http://schemas.microsoft.com/office/drawing/2014/main" id="{207BE430-ECF1-12FB-B954-85F625AD1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0"/>
        <a:stretch>
          <a:fillRect/>
        </a:stretch>
      </xdr:blipFill>
      <xdr:spPr>
        <a:xfrm>
          <a:off x="675322" y="1194512589"/>
          <a:ext cx="1285875" cy="500063"/>
        </a:xfrm>
        <a:prstGeom prst="rect">
          <a:avLst/>
        </a:prstGeom>
      </xdr:spPr>
    </xdr:pic>
    <xdr:clientData/>
  </xdr:twoCellAnchor>
  <xdr:twoCellAnchor editAs="oneCell">
    <xdr:from>
      <xdr:col>0</xdr:col>
      <xdr:colOff>503872</xdr:colOff>
      <xdr:row>1371</xdr:row>
      <xdr:rowOff>61198</xdr:rowOff>
    </xdr:from>
    <xdr:to>
      <xdr:col>0</xdr:col>
      <xdr:colOff>2132647</xdr:colOff>
      <xdr:row>1371</xdr:row>
      <xdr:rowOff>982742</xdr:rowOff>
    </xdr:to>
    <xdr:pic>
      <xdr:nvPicPr>
        <xdr:cNvPr id="2743" name="Picture 2742" descr="Insight Picture 2742">
          <a:extLst>
            <a:ext uri="{FF2B5EF4-FFF2-40B4-BE49-F238E27FC236}">
              <a16:creationId xmlns:a16="http://schemas.microsoft.com/office/drawing/2014/main" id="{F4FDD7E9-28D6-6563-1303-6E3B6D2E4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1"/>
        <a:stretch>
          <a:fillRect/>
        </a:stretch>
      </xdr:blipFill>
      <xdr:spPr>
        <a:xfrm>
          <a:off x="503872" y="1195136278"/>
          <a:ext cx="1628775" cy="921544"/>
        </a:xfrm>
        <a:prstGeom prst="rect">
          <a:avLst/>
        </a:prstGeom>
      </xdr:spPr>
    </xdr:pic>
    <xdr:clientData/>
  </xdr:twoCellAnchor>
  <xdr:twoCellAnchor editAs="oneCell">
    <xdr:from>
      <xdr:col>0</xdr:col>
      <xdr:colOff>821770</xdr:colOff>
      <xdr:row>1372</xdr:row>
      <xdr:rowOff>63321</xdr:rowOff>
    </xdr:from>
    <xdr:to>
      <xdr:col>0</xdr:col>
      <xdr:colOff>1814751</xdr:colOff>
      <xdr:row>1372</xdr:row>
      <xdr:rowOff>934859</xdr:rowOff>
    </xdr:to>
    <xdr:pic>
      <xdr:nvPicPr>
        <xdr:cNvPr id="2745" name="Picture 2744" descr="Insight Picture 2744">
          <a:extLst>
            <a:ext uri="{FF2B5EF4-FFF2-40B4-BE49-F238E27FC236}">
              <a16:creationId xmlns:a16="http://schemas.microsoft.com/office/drawing/2014/main" id="{123F9C23-974E-7499-AEB0-4ED0A174A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/>
        <a:stretch>
          <a:fillRect/>
        </a:stretch>
      </xdr:blipFill>
      <xdr:spPr>
        <a:xfrm>
          <a:off x="821770" y="1196182341"/>
          <a:ext cx="992981" cy="871538"/>
        </a:xfrm>
        <a:prstGeom prst="rect">
          <a:avLst/>
        </a:prstGeom>
      </xdr:spPr>
    </xdr:pic>
    <xdr:clientData/>
  </xdr:twoCellAnchor>
  <xdr:twoCellAnchor editAs="oneCell">
    <xdr:from>
      <xdr:col>0</xdr:col>
      <xdr:colOff>671750</xdr:colOff>
      <xdr:row>1373</xdr:row>
      <xdr:rowOff>62349</xdr:rowOff>
    </xdr:from>
    <xdr:to>
      <xdr:col>0</xdr:col>
      <xdr:colOff>1964769</xdr:colOff>
      <xdr:row>1373</xdr:row>
      <xdr:rowOff>676712</xdr:rowOff>
    </xdr:to>
    <xdr:pic>
      <xdr:nvPicPr>
        <xdr:cNvPr id="2747" name="Picture 2746" descr="Insight Picture 2746">
          <a:extLst>
            <a:ext uri="{FF2B5EF4-FFF2-40B4-BE49-F238E27FC236}">
              <a16:creationId xmlns:a16="http://schemas.microsoft.com/office/drawing/2014/main" id="{B590EDA5-70DC-CF04-75FF-2DB8F36D8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3"/>
        <a:stretch>
          <a:fillRect/>
        </a:stretch>
      </xdr:blipFill>
      <xdr:spPr>
        <a:xfrm>
          <a:off x="671750" y="1197179589"/>
          <a:ext cx="1293019" cy="614363"/>
        </a:xfrm>
        <a:prstGeom prst="rect">
          <a:avLst/>
        </a:prstGeom>
      </xdr:spPr>
    </xdr:pic>
    <xdr:clientData/>
  </xdr:twoCellAnchor>
  <xdr:twoCellAnchor editAs="oneCell">
    <xdr:from>
      <xdr:col>0</xdr:col>
      <xdr:colOff>557450</xdr:colOff>
      <xdr:row>1374</xdr:row>
      <xdr:rowOff>62587</xdr:rowOff>
    </xdr:from>
    <xdr:to>
      <xdr:col>0</xdr:col>
      <xdr:colOff>2079069</xdr:colOff>
      <xdr:row>1374</xdr:row>
      <xdr:rowOff>798393</xdr:rowOff>
    </xdr:to>
    <xdr:pic>
      <xdr:nvPicPr>
        <xdr:cNvPr id="2749" name="Picture 2748" descr="Insight Picture 2748">
          <a:extLst>
            <a:ext uri="{FF2B5EF4-FFF2-40B4-BE49-F238E27FC236}">
              <a16:creationId xmlns:a16="http://schemas.microsoft.com/office/drawing/2014/main" id="{AEA7FA93-EDB5-B468-0F42-DFBB991EE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4"/>
        <a:stretch>
          <a:fillRect/>
        </a:stretch>
      </xdr:blipFill>
      <xdr:spPr>
        <a:xfrm>
          <a:off x="557450" y="1197918967"/>
          <a:ext cx="1521619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671750</xdr:colOff>
      <xdr:row>1375</xdr:row>
      <xdr:rowOff>63341</xdr:rowOff>
    </xdr:from>
    <xdr:to>
      <xdr:col>0</xdr:col>
      <xdr:colOff>1964769</xdr:colOff>
      <xdr:row>1375</xdr:row>
      <xdr:rowOff>934879</xdr:rowOff>
    </xdr:to>
    <xdr:pic>
      <xdr:nvPicPr>
        <xdr:cNvPr id="2751" name="Picture 2750" descr="Insight Picture 2750">
          <a:extLst>
            <a:ext uri="{FF2B5EF4-FFF2-40B4-BE49-F238E27FC236}">
              <a16:creationId xmlns:a16="http://schemas.microsoft.com/office/drawing/2014/main" id="{D2A82595-13C6-044B-CDA0-9E54CA176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5"/>
        <a:stretch>
          <a:fillRect/>
        </a:stretch>
      </xdr:blipFill>
      <xdr:spPr>
        <a:xfrm>
          <a:off x="671750" y="1198780781"/>
          <a:ext cx="1293019" cy="871538"/>
        </a:xfrm>
        <a:prstGeom prst="rect">
          <a:avLst/>
        </a:prstGeom>
      </xdr:spPr>
    </xdr:pic>
    <xdr:clientData/>
  </xdr:twoCellAnchor>
  <xdr:twoCellAnchor editAs="oneCell">
    <xdr:from>
      <xdr:col>0</xdr:col>
      <xdr:colOff>671750</xdr:colOff>
      <xdr:row>1376</xdr:row>
      <xdr:rowOff>63857</xdr:rowOff>
    </xdr:from>
    <xdr:to>
      <xdr:col>0</xdr:col>
      <xdr:colOff>1964769</xdr:colOff>
      <xdr:row>1376</xdr:row>
      <xdr:rowOff>721082</xdr:rowOff>
    </xdr:to>
    <xdr:pic>
      <xdr:nvPicPr>
        <xdr:cNvPr id="2753" name="Picture 2752" descr="Insight Picture 2752">
          <a:extLst>
            <a:ext uri="{FF2B5EF4-FFF2-40B4-BE49-F238E27FC236}">
              <a16:creationId xmlns:a16="http://schemas.microsoft.com/office/drawing/2014/main" id="{475E210F-FCCA-C408-6718-707BC44E6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/>
        <a:stretch>
          <a:fillRect/>
        </a:stretch>
      </xdr:blipFill>
      <xdr:spPr>
        <a:xfrm>
          <a:off x="671750" y="1199779517"/>
          <a:ext cx="1293019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721757</xdr:colOff>
      <xdr:row>1377</xdr:row>
      <xdr:rowOff>63818</xdr:rowOff>
    </xdr:from>
    <xdr:to>
      <xdr:col>0</xdr:col>
      <xdr:colOff>1914763</xdr:colOff>
      <xdr:row>1377</xdr:row>
      <xdr:rowOff>721043</xdr:rowOff>
    </xdr:to>
    <xdr:pic>
      <xdr:nvPicPr>
        <xdr:cNvPr id="2755" name="Picture 2754" descr="Insight Picture 2754">
          <a:extLst>
            <a:ext uri="{FF2B5EF4-FFF2-40B4-BE49-F238E27FC236}">
              <a16:creationId xmlns:a16="http://schemas.microsoft.com/office/drawing/2014/main" id="{95062BC2-C05D-B5BD-1799-F89BA1F55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/>
        <a:stretch>
          <a:fillRect/>
        </a:stretch>
      </xdr:blipFill>
      <xdr:spPr>
        <a:xfrm>
          <a:off x="721757" y="1200564338"/>
          <a:ext cx="1193006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714613</xdr:colOff>
      <xdr:row>1378</xdr:row>
      <xdr:rowOff>63381</xdr:rowOff>
    </xdr:from>
    <xdr:to>
      <xdr:col>0</xdr:col>
      <xdr:colOff>1921907</xdr:colOff>
      <xdr:row>1378</xdr:row>
      <xdr:rowOff>592019</xdr:rowOff>
    </xdr:to>
    <xdr:pic>
      <xdr:nvPicPr>
        <xdr:cNvPr id="2757" name="Picture 2756" descr="Insight Picture 2756">
          <a:extLst>
            <a:ext uri="{FF2B5EF4-FFF2-40B4-BE49-F238E27FC236}">
              <a16:creationId xmlns:a16="http://schemas.microsoft.com/office/drawing/2014/main" id="{8727CC1C-FC8F-DAD2-D0BA-BAA5D815E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8"/>
        <a:stretch>
          <a:fillRect/>
        </a:stretch>
      </xdr:blipFill>
      <xdr:spPr>
        <a:xfrm>
          <a:off x="714613" y="1201348761"/>
          <a:ext cx="1207294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671750</xdr:colOff>
      <xdr:row>1379</xdr:row>
      <xdr:rowOff>61416</xdr:rowOff>
    </xdr:from>
    <xdr:to>
      <xdr:col>0</xdr:col>
      <xdr:colOff>1964769</xdr:colOff>
      <xdr:row>1379</xdr:row>
      <xdr:rowOff>761504</xdr:rowOff>
    </xdr:to>
    <xdr:pic>
      <xdr:nvPicPr>
        <xdr:cNvPr id="2759" name="Picture 2758" descr="Insight Picture 2758">
          <a:extLst>
            <a:ext uri="{FF2B5EF4-FFF2-40B4-BE49-F238E27FC236}">
              <a16:creationId xmlns:a16="http://schemas.microsoft.com/office/drawing/2014/main" id="{710B42CE-C67D-786C-CF2C-840332E4A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/>
        <a:stretch>
          <a:fillRect/>
        </a:stretch>
      </xdr:blipFill>
      <xdr:spPr>
        <a:xfrm>
          <a:off x="671750" y="1202002116"/>
          <a:ext cx="1293019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671750</xdr:colOff>
      <xdr:row>1380</xdr:row>
      <xdr:rowOff>61476</xdr:rowOff>
    </xdr:from>
    <xdr:to>
      <xdr:col>0</xdr:col>
      <xdr:colOff>1964769</xdr:colOff>
      <xdr:row>1380</xdr:row>
      <xdr:rowOff>761564</xdr:rowOff>
    </xdr:to>
    <xdr:pic>
      <xdr:nvPicPr>
        <xdr:cNvPr id="2761" name="Picture 2760" descr="Insight Picture 2760">
          <a:extLst>
            <a:ext uri="{FF2B5EF4-FFF2-40B4-BE49-F238E27FC236}">
              <a16:creationId xmlns:a16="http://schemas.microsoft.com/office/drawing/2014/main" id="{CAC3B681-A261-C06D-AA05-2F8B91F03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/>
        <a:stretch>
          <a:fillRect/>
        </a:stretch>
      </xdr:blipFill>
      <xdr:spPr>
        <a:xfrm>
          <a:off x="671750" y="1202825136"/>
          <a:ext cx="1293019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603885</xdr:colOff>
      <xdr:row>1381</xdr:row>
      <xdr:rowOff>63321</xdr:rowOff>
    </xdr:from>
    <xdr:to>
      <xdr:col>0</xdr:col>
      <xdr:colOff>2032635</xdr:colOff>
      <xdr:row>1381</xdr:row>
      <xdr:rowOff>820559</xdr:rowOff>
    </xdr:to>
    <xdr:pic>
      <xdr:nvPicPr>
        <xdr:cNvPr id="2763" name="Picture 2762" descr="Insight Picture 2762">
          <a:extLst>
            <a:ext uri="{FF2B5EF4-FFF2-40B4-BE49-F238E27FC236}">
              <a16:creationId xmlns:a16="http://schemas.microsoft.com/office/drawing/2014/main" id="{49372435-3F9E-82A2-A3C4-A191C4827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1"/>
        <a:stretch>
          <a:fillRect/>
        </a:stretch>
      </xdr:blipFill>
      <xdr:spPr>
        <a:xfrm>
          <a:off x="603885" y="1203649941"/>
          <a:ext cx="1428750" cy="757238"/>
        </a:xfrm>
        <a:prstGeom prst="rect">
          <a:avLst/>
        </a:prstGeom>
      </xdr:spPr>
    </xdr:pic>
    <xdr:clientData/>
  </xdr:twoCellAnchor>
  <xdr:twoCellAnchor editAs="oneCell">
    <xdr:from>
      <xdr:col>0</xdr:col>
      <xdr:colOff>550307</xdr:colOff>
      <xdr:row>1382</xdr:row>
      <xdr:rowOff>61158</xdr:rowOff>
    </xdr:from>
    <xdr:to>
      <xdr:col>0</xdr:col>
      <xdr:colOff>2086213</xdr:colOff>
      <xdr:row>1382</xdr:row>
      <xdr:rowOff>868402</xdr:rowOff>
    </xdr:to>
    <xdr:pic>
      <xdr:nvPicPr>
        <xdr:cNvPr id="2765" name="Picture 2764" descr="Insight Picture 2764">
          <a:extLst>
            <a:ext uri="{FF2B5EF4-FFF2-40B4-BE49-F238E27FC236}">
              <a16:creationId xmlns:a16="http://schemas.microsoft.com/office/drawing/2014/main" id="{06D42893-E794-B8C1-72B6-635EEBF62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2"/>
        <a:stretch>
          <a:fillRect/>
        </a:stretch>
      </xdr:blipFill>
      <xdr:spPr>
        <a:xfrm>
          <a:off x="550307" y="1204531698"/>
          <a:ext cx="1535906" cy="807244"/>
        </a:xfrm>
        <a:prstGeom prst="rect">
          <a:avLst/>
        </a:prstGeom>
      </xdr:spPr>
    </xdr:pic>
    <xdr:clientData/>
  </xdr:twoCellAnchor>
  <xdr:twoCellAnchor editAs="oneCell">
    <xdr:from>
      <xdr:col>0</xdr:col>
      <xdr:colOff>693182</xdr:colOff>
      <xdr:row>1383</xdr:row>
      <xdr:rowOff>62885</xdr:rowOff>
    </xdr:from>
    <xdr:to>
      <xdr:col>0</xdr:col>
      <xdr:colOff>1943338</xdr:colOff>
      <xdr:row>1383</xdr:row>
      <xdr:rowOff>1148735</xdr:rowOff>
    </xdr:to>
    <xdr:pic>
      <xdr:nvPicPr>
        <xdr:cNvPr id="2767" name="Picture 2766" descr="Insight Picture 2766">
          <a:extLst>
            <a:ext uri="{FF2B5EF4-FFF2-40B4-BE49-F238E27FC236}">
              <a16:creationId xmlns:a16="http://schemas.microsoft.com/office/drawing/2014/main" id="{DD83E372-37C7-022A-9952-F0817627A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/>
        <a:stretch>
          <a:fillRect/>
        </a:stretch>
      </xdr:blipFill>
      <xdr:spPr>
        <a:xfrm>
          <a:off x="693182" y="1205463065"/>
          <a:ext cx="1250156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653891</xdr:colOff>
      <xdr:row>1384</xdr:row>
      <xdr:rowOff>62865</xdr:rowOff>
    </xdr:from>
    <xdr:to>
      <xdr:col>0</xdr:col>
      <xdr:colOff>1982629</xdr:colOff>
      <xdr:row>1384</xdr:row>
      <xdr:rowOff>691515</xdr:rowOff>
    </xdr:to>
    <xdr:pic>
      <xdr:nvPicPr>
        <xdr:cNvPr id="2769" name="Picture 2768" descr="Insight Picture 2768">
          <a:extLst>
            <a:ext uri="{FF2B5EF4-FFF2-40B4-BE49-F238E27FC236}">
              <a16:creationId xmlns:a16="http://schemas.microsoft.com/office/drawing/2014/main" id="{40D51A7D-1F52-B98B-B72F-28B959806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/>
        <a:stretch>
          <a:fillRect/>
        </a:stretch>
      </xdr:blipFill>
      <xdr:spPr>
        <a:xfrm>
          <a:off x="653891" y="1206674625"/>
          <a:ext cx="1328738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614600</xdr:colOff>
      <xdr:row>1385</xdr:row>
      <xdr:rowOff>62647</xdr:rowOff>
    </xdr:from>
    <xdr:to>
      <xdr:col>0</xdr:col>
      <xdr:colOff>2021919</xdr:colOff>
      <xdr:row>1385</xdr:row>
      <xdr:rowOff>798453</xdr:rowOff>
    </xdr:to>
    <xdr:pic>
      <xdr:nvPicPr>
        <xdr:cNvPr id="2771" name="Picture 2770" descr="Insight Picture 2770">
          <a:extLst>
            <a:ext uri="{FF2B5EF4-FFF2-40B4-BE49-F238E27FC236}">
              <a16:creationId xmlns:a16="http://schemas.microsoft.com/office/drawing/2014/main" id="{0F8885FC-5EDC-F09A-2850-C1B4F5F09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/>
        <a:stretch>
          <a:fillRect/>
        </a:stretch>
      </xdr:blipFill>
      <xdr:spPr>
        <a:xfrm>
          <a:off x="614600" y="1207428787"/>
          <a:ext cx="1407319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593170</xdr:colOff>
      <xdr:row>1386</xdr:row>
      <xdr:rowOff>62607</xdr:rowOff>
    </xdr:from>
    <xdr:to>
      <xdr:col>0</xdr:col>
      <xdr:colOff>2043351</xdr:colOff>
      <xdr:row>1386</xdr:row>
      <xdr:rowOff>798413</xdr:rowOff>
    </xdr:to>
    <xdr:pic>
      <xdr:nvPicPr>
        <xdr:cNvPr id="2773" name="Picture 2772" descr="Insight Picture 2772">
          <a:extLst>
            <a:ext uri="{FF2B5EF4-FFF2-40B4-BE49-F238E27FC236}">
              <a16:creationId xmlns:a16="http://schemas.microsoft.com/office/drawing/2014/main" id="{C6A3505F-4B53-2BD1-B7BD-708EEA959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6"/>
        <a:stretch>
          <a:fillRect/>
        </a:stretch>
      </xdr:blipFill>
      <xdr:spPr>
        <a:xfrm>
          <a:off x="593170" y="1208289807"/>
          <a:ext cx="1450181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671750</xdr:colOff>
      <xdr:row>1387</xdr:row>
      <xdr:rowOff>63361</xdr:rowOff>
    </xdr:from>
    <xdr:to>
      <xdr:col>0</xdr:col>
      <xdr:colOff>1964769</xdr:colOff>
      <xdr:row>1387</xdr:row>
      <xdr:rowOff>934899</xdr:rowOff>
    </xdr:to>
    <xdr:pic>
      <xdr:nvPicPr>
        <xdr:cNvPr id="2775" name="Picture 2774" descr="Insight Picture 2774">
          <a:extLst>
            <a:ext uri="{FF2B5EF4-FFF2-40B4-BE49-F238E27FC236}">
              <a16:creationId xmlns:a16="http://schemas.microsoft.com/office/drawing/2014/main" id="{13B54878-4E5E-F1B7-9635-A8C7192CF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7"/>
        <a:stretch>
          <a:fillRect/>
        </a:stretch>
      </xdr:blipFill>
      <xdr:spPr>
        <a:xfrm>
          <a:off x="671750" y="1209151621"/>
          <a:ext cx="1293019" cy="871538"/>
        </a:xfrm>
        <a:prstGeom prst="rect">
          <a:avLst/>
        </a:prstGeom>
      </xdr:spPr>
    </xdr:pic>
    <xdr:clientData/>
  </xdr:twoCellAnchor>
  <xdr:twoCellAnchor editAs="oneCell">
    <xdr:from>
      <xdr:col>0</xdr:col>
      <xdr:colOff>507445</xdr:colOff>
      <xdr:row>1388</xdr:row>
      <xdr:rowOff>62587</xdr:rowOff>
    </xdr:from>
    <xdr:to>
      <xdr:col>0</xdr:col>
      <xdr:colOff>2129076</xdr:colOff>
      <xdr:row>1388</xdr:row>
      <xdr:rowOff>798393</xdr:rowOff>
    </xdr:to>
    <xdr:pic>
      <xdr:nvPicPr>
        <xdr:cNvPr id="2777" name="Picture 2776" descr="Insight Picture 2776">
          <a:extLst>
            <a:ext uri="{FF2B5EF4-FFF2-40B4-BE49-F238E27FC236}">
              <a16:creationId xmlns:a16="http://schemas.microsoft.com/office/drawing/2014/main" id="{1C76F00A-0510-13B0-A73E-122EB5015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8"/>
        <a:stretch>
          <a:fillRect/>
        </a:stretch>
      </xdr:blipFill>
      <xdr:spPr>
        <a:xfrm>
          <a:off x="507445" y="1210149067"/>
          <a:ext cx="1621631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621745</xdr:colOff>
      <xdr:row>1389</xdr:row>
      <xdr:rowOff>60265</xdr:rowOff>
    </xdr:from>
    <xdr:to>
      <xdr:col>0</xdr:col>
      <xdr:colOff>2014776</xdr:colOff>
      <xdr:row>1389</xdr:row>
      <xdr:rowOff>838934</xdr:rowOff>
    </xdr:to>
    <xdr:pic>
      <xdr:nvPicPr>
        <xdr:cNvPr id="2779" name="Picture 2778" descr="Insight Picture 2778">
          <a:extLst>
            <a:ext uri="{FF2B5EF4-FFF2-40B4-BE49-F238E27FC236}">
              <a16:creationId xmlns:a16="http://schemas.microsoft.com/office/drawing/2014/main" id="{B5CBD664-9DD2-A336-5E66-6BBEC6459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/>
        <a:stretch>
          <a:fillRect/>
        </a:stretch>
      </xdr:blipFill>
      <xdr:spPr>
        <a:xfrm>
          <a:off x="621745" y="1211007805"/>
          <a:ext cx="1393031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628888</xdr:colOff>
      <xdr:row>1390</xdr:row>
      <xdr:rowOff>62111</xdr:rowOff>
    </xdr:from>
    <xdr:to>
      <xdr:col>0</xdr:col>
      <xdr:colOff>2007632</xdr:colOff>
      <xdr:row>1390</xdr:row>
      <xdr:rowOff>669330</xdr:rowOff>
    </xdr:to>
    <xdr:pic>
      <xdr:nvPicPr>
        <xdr:cNvPr id="2781" name="Picture 2780" descr="Insight Picture 2780">
          <a:extLst>
            <a:ext uri="{FF2B5EF4-FFF2-40B4-BE49-F238E27FC236}">
              <a16:creationId xmlns:a16="http://schemas.microsoft.com/office/drawing/2014/main" id="{80C37B2A-3242-0BA2-C9D8-A24EADE9E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/>
        <a:stretch>
          <a:fillRect/>
        </a:stretch>
      </xdr:blipFill>
      <xdr:spPr>
        <a:xfrm>
          <a:off x="628888" y="1211908811"/>
          <a:ext cx="1378744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771763</xdr:colOff>
      <xdr:row>1391</xdr:row>
      <xdr:rowOff>61635</xdr:rowOff>
    </xdr:from>
    <xdr:to>
      <xdr:col>0</xdr:col>
      <xdr:colOff>1864757</xdr:colOff>
      <xdr:row>1391</xdr:row>
      <xdr:rowOff>768866</xdr:rowOff>
    </xdr:to>
    <xdr:pic>
      <xdr:nvPicPr>
        <xdr:cNvPr id="2783" name="Picture 2782" descr="Insight Picture 2782">
          <a:extLst>
            <a:ext uri="{FF2B5EF4-FFF2-40B4-BE49-F238E27FC236}">
              <a16:creationId xmlns:a16="http://schemas.microsoft.com/office/drawing/2014/main" id="{CA3EC262-5953-F3CB-B58E-652221CAE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/>
        <a:stretch>
          <a:fillRect/>
        </a:stretch>
      </xdr:blipFill>
      <xdr:spPr>
        <a:xfrm>
          <a:off x="771763" y="1212639855"/>
          <a:ext cx="1092994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721757</xdr:colOff>
      <xdr:row>1392</xdr:row>
      <xdr:rowOff>61416</xdr:rowOff>
    </xdr:from>
    <xdr:to>
      <xdr:col>0</xdr:col>
      <xdr:colOff>1914763</xdr:colOff>
      <xdr:row>1392</xdr:row>
      <xdr:rowOff>761504</xdr:rowOff>
    </xdr:to>
    <xdr:pic>
      <xdr:nvPicPr>
        <xdr:cNvPr id="2785" name="Picture 2784" descr="Insight Picture 2784">
          <a:extLst>
            <a:ext uri="{FF2B5EF4-FFF2-40B4-BE49-F238E27FC236}">
              <a16:creationId xmlns:a16="http://schemas.microsoft.com/office/drawing/2014/main" id="{355C9852-B3A3-F2A7-0DEF-E395BF5EB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/>
        <a:stretch>
          <a:fillRect/>
        </a:stretch>
      </xdr:blipFill>
      <xdr:spPr>
        <a:xfrm>
          <a:off x="721757" y="1213470216"/>
          <a:ext cx="1193006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568166</xdr:colOff>
      <xdr:row>1393</xdr:row>
      <xdr:rowOff>60682</xdr:rowOff>
    </xdr:from>
    <xdr:to>
      <xdr:col>0</xdr:col>
      <xdr:colOff>2068354</xdr:colOff>
      <xdr:row>1393</xdr:row>
      <xdr:rowOff>967938</xdr:rowOff>
    </xdr:to>
    <xdr:pic>
      <xdr:nvPicPr>
        <xdr:cNvPr id="2787" name="Picture 2786" descr="Insight Picture 2786">
          <a:extLst>
            <a:ext uri="{FF2B5EF4-FFF2-40B4-BE49-F238E27FC236}">
              <a16:creationId xmlns:a16="http://schemas.microsoft.com/office/drawing/2014/main" id="{E2B25E69-6F6D-AEFD-458E-B5889BB24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3"/>
        <a:stretch>
          <a:fillRect/>
        </a:stretch>
      </xdr:blipFill>
      <xdr:spPr>
        <a:xfrm>
          <a:off x="568166" y="1214292442"/>
          <a:ext cx="1500188" cy="907256"/>
        </a:xfrm>
        <a:prstGeom prst="rect">
          <a:avLst/>
        </a:prstGeom>
      </xdr:spPr>
    </xdr:pic>
    <xdr:clientData/>
  </xdr:twoCellAnchor>
  <xdr:twoCellAnchor editAs="oneCell">
    <xdr:from>
      <xdr:col>0</xdr:col>
      <xdr:colOff>425291</xdr:colOff>
      <xdr:row>1394</xdr:row>
      <xdr:rowOff>60285</xdr:rowOff>
    </xdr:from>
    <xdr:to>
      <xdr:col>0</xdr:col>
      <xdr:colOff>2211229</xdr:colOff>
      <xdr:row>1394</xdr:row>
      <xdr:rowOff>838954</xdr:rowOff>
    </xdr:to>
    <xdr:pic>
      <xdr:nvPicPr>
        <xdr:cNvPr id="2789" name="Picture 2788" descr="Insight Picture 2788">
          <a:extLst>
            <a:ext uri="{FF2B5EF4-FFF2-40B4-BE49-F238E27FC236}">
              <a16:creationId xmlns:a16="http://schemas.microsoft.com/office/drawing/2014/main" id="{137AD1B7-C3C9-1992-5E87-1D226B823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4"/>
        <a:stretch>
          <a:fillRect/>
        </a:stretch>
      </xdr:blipFill>
      <xdr:spPr>
        <a:xfrm>
          <a:off x="425291" y="1215320745"/>
          <a:ext cx="1785938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525303</xdr:colOff>
      <xdr:row>1395</xdr:row>
      <xdr:rowOff>60742</xdr:rowOff>
    </xdr:from>
    <xdr:to>
      <xdr:col>0</xdr:col>
      <xdr:colOff>2111216</xdr:colOff>
      <xdr:row>1395</xdr:row>
      <xdr:rowOff>625098</xdr:rowOff>
    </xdr:to>
    <xdr:pic>
      <xdr:nvPicPr>
        <xdr:cNvPr id="2791" name="Picture 2790" descr="Insight Picture 2790">
          <a:extLst>
            <a:ext uri="{FF2B5EF4-FFF2-40B4-BE49-F238E27FC236}">
              <a16:creationId xmlns:a16="http://schemas.microsoft.com/office/drawing/2014/main" id="{4911F5C1-58A9-6748-B554-27DB2780F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5"/>
        <a:stretch>
          <a:fillRect/>
        </a:stretch>
      </xdr:blipFill>
      <xdr:spPr>
        <a:xfrm>
          <a:off x="525303" y="1216220362"/>
          <a:ext cx="1585913" cy="564356"/>
        </a:xfrm>
        <a:prstGeom prst="rect">
          <a:avLst/>
        </a:prstGeom>
      </xdr:spPr>
    </xdr:pic>
    <xdr:clientData/>
  </xdr:twoCellAnchor>
  <xdr:twoCellAnchor editAs="oneCell">
    <xdr:from>
      <xdr:col>0</xdr:col>
      <xdr:colOff>696753</xdr:colOff>
      <xdr:row>1396</xdr:row>
      <xdr:rowOff>63619</xdr:rowOff>
    </xdr:from>
    <xdr:to>
      <xdr:col>0</xdr:col>
      <xdr:colOff>1939766</xdr:colOff>
      <xdr:row>1396</xdr:row>
      <xdr:rowOff>1285200</xdr:rowOff>
    </xdr:to>
    <xdr:pic>
      <xdr:nvPicPr>
        <xdr:cNvPr id="2793" name="Picture 2792" descr="Insight Picture 2792">
          <a:extLst>
            <a:ext uri="{FF2B5EF4-FFF2-40B4-BE49-F238E27FC236}">
              <a16:creationId xmlns:a16="http://schemas.microsoft.com/office/drawing/2014/main" id="{3D1193D5-C7A5-68FC-E31A-75CF50638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6"/>
        <a:stretch>
          <a:fillRect/>
        </a:stretch>
      </xdr:blipFill>
      <xdr:spPr>
        <a:xfrm>
          <a:off x="696753" y="1216909039"/>
          <a:ext cx="1243013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703897</xdr:colOff>
      <xdr:row>1397</xdr:row>
      <xdr:rowOff>63560</xdr:rowOff>
    </xdr:from>
    <xdr:to>
      <xdr:col>0</xdr:col>
      <xdr:colOff>1932622</xdr:colOff>
      <xdr:row>1397</xdr:row>
      <xdr:rowOff>1285141</xdr:rowOff>
    </xdr:to>
    <xdr:pic>
      <xdr:nvPicPr>
        <xdr:cNvPr id="2795" name="Picture 2794" descr="Insight Picture 2794">
          <a:extLst>
            <a:ext uri="{FF2B5EF4-FFF2-40B4-BE49-F238E27FC236}">
              <a16:creationId xmlns:a16="http://schemas.microsoft.com/office/drawing/2014/main" id="{33EC1E7F-839E-34A3-712D-6C1016C8B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/>
        <a:stretch>
          <a:fillRect/>
        </a:stretch>
      </xdr:blipFill>
      <xdr:spPr>
        <a:xfrm>
          <a:off x="703897" y="1218257720"/>
          <a:ext cx="1228725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511016</xdr:colOff>
      <xdr:row>1398</xdr:row>
      <xdr:rowOff>61218</xdr:rowOff>
    </xdr:from>
    <xdr:to>
      <xdr:col>0</xdr:col>
      <xdr:colOff>2125504</xdr:colOff>
      <xdr:row>1398</xdr:row>
      <xdr:rowOff>639862</xdr:rowOff>
    </xdr:to>
    <xdr:pic>
      <xdr:nvPicPr>
        <xdr:cNvPr id="2797" name="Picture 2796" descr="Insight Picture 2796">
          <a:extLst>
            <a:ext uri="{FF2B5EF4-FFF2-40B4-BE49-F238E27FC236}">
              <a16:creationId xmlns:a16="http://schemas.microsoft.com/office/drawing/2014/main" id="{02BEDF38-51CB-A8FA-BB39-982DEF539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8"/>
        <a:stretch>
          <a:fillRect/>
        </a:stretch>
      </xdr:blipFill>
      <xdr:spPr>
        <a:xfrm>
          <a:off x="511016" y="1219604118"/>
          <a:ext cx="1614488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396716</xdr:colOff>
      <xdr:row>1399</xdr:row>
      <xdr:rowOff>63837</xdr:rowOff>
    </xdr:from>
    <xdr:to>
      <xdr:col>0</xdr:col>
      <xdr:colOff>2239804</xdr:colOff>
      <xdr:row>1399</xdr:row>
      <xdr:rowOff>721062</xdr:rowOff>
    </xdr:to>
    <xdr:pic>
      <xdr:nvPicPr>
        <xdr:cNvPr id="2799" name="Picture 2798" descr="Insight Picture 2798">
          <a:extLst>
            <a:ext uri="{FF2B5EF4-FFF2-40B4-BE49-F238E27FC236}">
              <a16:creationId xmlns:a16="http://schemas.microsoft.com/office/drawing/2014/main" id="{2628BF29-A070-1E12-C91F-2300A2394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9"/>
        <a:stretch>
          <a:fillRect/>
        </a:stretch>
      </xdr:blipFill>
      <xdr:spPr>
        <a:xfrm>
          <a:off x="396716" y="1220307777"/>
          <a:ext cx="1843088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528875</xdr:colOff>
      <xdr:row>1400</xdr:row>
      <xdr:rowOff>60722</xdr:rowOff>
    </xdr:from>
    <xdr:to>
      <xdr:col>0</xdr:col>
      <xdr:colOff>2107644</xdr:colOff>
      <xdr:row>1400</xdr:row>
      <xdr:rowOff>739378</xdr:rowOff>
    </xdr:to>
    <xdr:pic>
      <xdr:nvPicPr>
        <xdr:cNvPr id="2801" name="Picture 2800" descr="Insight Picture 2800">
          <a:extLst>
            <a:ext uri="{FF2B5EF4-FFF2-40B4-BE49-F238E27FC236}">
              <a16:creationId xmlns:a16="http://schemas.microsoft.com/office/drawing/2014/main" id="{CDB12A16-4EDB-8085-CF24-5BCADCF77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0"/>
        <a:stretch>
          <a:fillRect/>
        </a:stretch>
      </xdr:blipFill>
      <xdr:spPr>
        <a:xfrm>
          <a:off x="528875" y="1221089522"/>
          <a:ext cx="1578769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611028</xdr:colOff>
      <xdr:row>1401</xdr:row>
      <xdr:rowOff>62111</xdr:rowOff>
    </xdr:from>
    <xdr:to>
      <xdr:col>0</xdr:col>
      <xdr:colOff>2025491</xdr:colOff>
      <xdr:row>1401</xdr:row>
      <xdr:rowOff>669330</xdr:rowOff>
    </xdr:to>
    <xdr:pic>
      <xdr:nvPicPr>
        <xdr:cNvPr id="2803" name="Picture 2802" descr="Insight Picture 2802">
          <a:extLst>
            <a:ext uri="{FF2B5EF4-FFF2-40B4-BE49-F238E27FC236}">
              <a16:creationId xmlns:a16="http://schemas.microsoft.com/office/drawing/2014/main" id="{826D7FDB-AD1C-A53E-92E2-C38FDD9A0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1"/>
        <a:stretch>
          <a:fillRect/>
        </a:stretch>
      </xdr:blipFill>
      <xdr:spPr>
        <a:xfrm>
          <a:off x="611028" y="1221891011"/>
          <a:ext cx="1414463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453866</xdr:colOff>
      <xdr:row>1402</xdr:row>
      <xdr:rowOff>60742</xdr:rowOff>
    </xdr:from>
    <xdr:to>
      <xdr:col>0</xdr:col>
      <xdr:colOff>2182654</xdr:colOff>
      <xdr:row>1402</xdr:row>
      <xdr:rowOff>853698</xdr:rowOff>
    </xdr:to>
    <xdr:pic>
      <xdr:nvPicPr>
        <xdr:cNvPr id="2805" name="Picture 2804" descr="Insight Picture 2804">
          <a:extLst>
            <a:ext uri="{FF2B5EF4-FFF2-40B4-BE49-F238E27FC236}">
              <a16:creationId xmlns:a16="http://schemas.microsoft.com/office/drawing/2014/main" id="{A4EE97B5-5132-28FC-B7BF-A5C9F02FC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2"/>
        <a:stretch>
          <a:fillRect/>
        </a:stretch>
      </xdr:blipFill>
      <xdr:spPr>
        <a:xfrm>
          <a:off x="453866" y="1222621162"/>
          <a:ext cx="1728788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600313</xdr:colOff>
      <xdr:row>1403</xdr:row>
      <xdr:rowOff>61238</xdr:rowOff>
    </xdr:from>
    <xdr:to>
      <xdr:col>0</xdr:col>
      <xdr:colOff>2036207</xdr:colOff>
      <xdr:row>1403</xdr:row>
      <xdr:rowOff>868482</xdr:rowOff>
    </xdr:to>
    <xdr:pic>
      <xdr:nvPicPr>
        <xdr:cNvPr id="2807" name="Picture 2806" descr="Insight Picture 2806">
          <a:extLst>
            <a:ext uri="{FF2B5EF4-FFF2-40B4-BE49-F238E27FC236}">
              <a16:creationId xmlns:a16="http://schemas.microsoft.com/office/drawing/2014/main" id="{829AD8D8-F40C-788E-8B4B-C1A4614AD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3"/>
        <a:stretch>
          <a:fillRect/>
        </a:stretch>
      </xdr:blipFill>
      <xdr:spPr>
        <a:xfrm>
          <a:off x="600313" y="1223536058"/>
          <a:ext cx="1435894" cy="807244"/>
        </a:xfrm>
        <a:prstGeom prst="rect">
          <a:avLst/>
        </a:prstGeom>
      </xdr:spPr>
    </xdr:pic>
    <xdr:clientData/>
  </xdr:twoCellAnchor>
  <xdr:twoCellAnchor editAs="oneCell">
    <xdr:from>
      <xdr:col>0</xdr:col>
      <xdr:colOff>796766</xdr:colOff>
      <xdr:row>1404</xdr:row>
      <xdr:rowOff>63560</xdr:rowOff>
    </xdr:from>
    <xdr:to>
      <xdr:col>0</xdr:col>
      <xdr:colOff>1839754</xdr:colOff>
      <xdr:row>1404</xdr:row>
      <xdr:rowOff>485041</xdr:rowOff>
    </xdr:to>
    <xdr:pic>
      <xdr:nvPicPr>
        <xdr:cNvPr id="2809" name="Picture 2808" descr="Insight Picture 2808">
          <a:extLst>
            <a:ext uri="{FF2B5EF4-FFF2-40B4-BE49-F238E27FC236}">
              <a16:creationId xmlns:a16="http://schemas.microsoft.com/office/drawing/2014/main" id="{3E5752D8-C31F-196D-12F7-2C64E3DD5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/>
        <a:stretch>
          <a:fillRect/>
        </a:stretch>
      </xdr:blipFill>
      <xdr:spPr>
        <a:xfrm>
          <a:off x="796766" y="1224468020"/>
          <a:ext cx="1042988" cy="421481"/>
        </a:xfrm>
        <a:prstGeom prst="rect">
          <a:avLst/>
        </a:prstGeom>
      </xdr:spPr>
    </xdr:pic>
    <xdr:clientData/>
  </xdr:twoCellAnchor>
  <xdr:twoCellAnchor editAs="oneCell">
    <xdr:from>
      <xdr:col>0</xdr:col>
      <xdr:colOff>968216</xdr:colOff>
      <xdr:row>1405</xdr:row>
      <xdr:rowOff>62905</xdr:rowOff>
    </xdr:from>
    <xdr:to>
      <xdr:col>0</xdr:col>
      <xdr:colOff>1668304</xdr:colOff>
      <xdr:row>1405</xdr:row>
      <xdr:rowOff>805855</xdr:rowOff>
    </xdr:to>
    <xdr:pic>
      <xdr:nvPicPr>
        <xdr:cNvPr id="2811" name="Picture 2810" descr="Insight Picture 2810">
          <a:extLst>
            <a:ext uri="{FF2B5EF4-FFF2-40B4-BE49-F238E27FC236}">
              <a16:creationId xmlns:a16="http://schemas.microsoft.com/office/drawing/2014/main" id="{C5C0A98B-A4BC-6474-AF19-8D4171A9D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/>
        <a:stretch>
          <a:fillRect/>
        </a:stretch>
      </xdr:blipFill>
      <xdr:spPr>
        <a:xfrm>
          <a:off x="968216" y="1225016005"/>
          <a:ext cx="700088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750332</xdr:colOff>
      <xdr:row>1406</xdr:row>
      <xdr:rowOff>61893</xdr:rowOff>
    </xdr:from>
    <xdr:to>
      <xdr:col>0</xdr:col>
      <xdr:colOff>1886188</xdr:colOff>
      <xdr:row>1406</xdr:row>
      <xdr:rowOff>776268</xdr:rowOff>
    </xdr:to>
    <xdr:pic>
      <xdr:nvPicPr>
        <xdr:cNvPr id="2813" name="Picture 2812" descr="Insight Picture 2812">
          <a:extLst>
            <a:ext uri="{FF2B5EF4-FFF2-40B4-BE49-F238E27FC236}">
              <a16:creationId xmlns:a16="http://schemas.microsoft.com/office/drawing/2014/main" id="{FBFC69AC-5D53-928C-D3A9-7BBE9A6BD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6"/>
        <a:stretch>
          <a:fillRect/>
        </a:stretch>
      </xdr:blipFill>
      <xdr:spPr>
        <a:xfrm>
          <a:off x="750332" y="1225883673"/>
          <a:ext cx="1135856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753903</xdr:colOff>
      <xdr:row>1407</xdr:row>
      <xdr:rowOff>63083</xdr:rowOff>
    </xdr:from>
    <xdr:to>
      <xdr:col>0</xdr:col>
      <xdr:colOff>1882616</xdr:colOff>
      <xdr:row>1407</xdr:row>
      <xdr:rowOff>813177</xdr:rowOff>
    </xdr:to>
    <xdr:pic>
      <xdr:nvPicPr>
        <xdr:cNvPr id="2815" name="Picture 2814" descr="Insight Picture 2814">
          <a:extLst>
            <a:ext uri="{FF2B5EF4-FFF2-40B4-BE49-F238E27FC236}">
              <a16:creationId xmlns:a16="http://schemas.microsoft.com/office/drawing/2014/main" id="{203EA4AD-D12D-986B-88C2-CDC78D342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7"/>
        <a:stretch>
          <a:fillRect/>
        </a:stretch>
      </xdr:blipFill>
      <xdr:spPr>
        <a:xfrm>
          <a:off x="753903" y="1226723063"/>
          <a:ext cx="1128713" cy="750094"/>
        </a:xfrm>
        <a:prstGeom prst="rect">
          <a:avLst/>
        </a:prstGeom>
      </xdr:spPr>
    </xdr:pic>
    <xdr:clientData/>
  </xdr:twoCellAnchor>
  <xdr:twoCellAnchor editAs="oneCell">
    <xdr:from>
      <xdr:col>0</xdr:col>
      <xdr:colOff>836057</xdr:colOff>
      <xdr:row>1408</xdr:row>
      <xdr:rowOff>61000</xdr:rowOff>
    </xdr:from>
    <xdr:to>
      <xdr:col>0</xdr:col>
      <xdr:colOff>1800463</xdr:colOff>
      <xdr:row>1408</xdr:row>
      <xdr:rowOff>746800</xdr:rowOff>
    </xdr:to>
    <xdr:pic>
      <xdr:nvPicPr>
        <xdr:cNvPr id="2817" name="Picture 2816" descr="Insight Picture 2816">
          <a:extLst>
            <a:ext uri="{FF2B5EF4-FFF2-40B4-BE49-F238E27FC236}">
              <a16:creationId xmlns:a16="http://schemas.microsoft.com/office/drawing/2014/main" id="{18302051-633F-5380-DD65-DEDD9E1ED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8"/>
        <a:stretch>
          <a:fillRect/>
        </a:stretch>
      </xdr:blipFill>
      <xdr:spPr>
        <a:xfrm>
          <a:off x="836057" y="1227597280"/>
          <a:ext cx="964406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921782</xdr:colOff>
      <xdr:row>1409</xdr:row>
      <xdr:rowOff>63798</xdr:rowOff>
    </xdr:from>
    <xdr:to>
      <xdr:col>0</xdr:col>
      <xdr:colOff>1714738</xdr:colOff>
      <xdr:row>1409</xdr:row>
      <xdr:rowOff>721023</xdr:rowOff>
    </xdr:to>
    <xdr:pic>
      <xdr:nvPicPr>
        <xdr:cNvPr id="2819" name="Picture 2818" descr="Insight Picture 2818">
          <a:extLst>
            <a:ext uri="{FF2B5EF4-FFF2-40B4-BE49-F238E27FC236}">
              <a16:creationId xmlns:a16="http://schemas.microsoft.com/office/drawing/2014/main" id="{D69ABCF1-A86F-9B03-280A-936729C94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9"/>
        <a:stretch>
          <a:fillRect/>
        </a:stretch>
      </xdr:blipFill>
      <xdr:spPr>
        <a:xfrm>
          <a:off x="921782" y="1228407798"/>
          <a:ext cx="792956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600313</xdr:colOff>
      <xdr:row>1410</xdr:row>
      <xdr:rowOff>62667</xdr:rowOff>
    </xdr:from>
    <xdr:to>
      <xdr:col>0</xdr:col>
      <xdr:colOff>2036207</xdr:colOff>
      <xdr:row>1410</xdr:row>
      <xdr:rowOff>798473</xdr:rowOff>
    </xdr:to>
    <xdr:pic>
      <xdr:nvPicPr>
        <xdr:cNvPr id="2821" name="Picture 2820" descr="Insight Picture 2820">
          <a:extLst>
            <a:ext uri="{FF2B5EF4-FFF2-40B4-BE49-F238E27FC236}">
              <a16:creationId xmlns:a16="http://schemas.microsoft.com/office/drawing/2014/main" id="{B87F8A70-5E3F-044E-EFBF-DFF0C0110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0"/>
        <a:stretch>
          <a:fillRect/>
        </a:stretch>
      </xdr:blipFill>
      <xdr:spPr>
        <a:xfrm>
          <a:off x="600313" y="1229191527"/>
          <a:ext cx="1435894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607457</xdr:colOff>
      <xdr:row>1411</xdr:row>
      <xdr:rowOff>60742</xdr:rowOff>
    </xdr:from>
    <xdr:to>
      <xdr:col>0</xdr:col>
      <xdr:colOff>2029063</xdr:colOff>
      <xdr:row>1411</xdr:row>
      <xdr:rowOff>739398</xdr:rowOff>
    </xdr:to>
    <xdr:pic>
      <xdr:nvPicPr>
        <xdr:cNvPr id="2823" name="Picture 2822" descr="Insight Picture 2822">
          <a:extLst>
            <a:ext uri="{FF2B5EF4-FFF2-40B4-BE49-F238E27FC236}">
              <a16:creationId xmlns:a16="http://schemas.microsoft.com/office/drawing/2014/main" id="{DF36D850-0556-A041-51AA-3CE3257EA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1"/>
        <a:stretch>
          <a:fillRect/>
        </a:stretch>
      </xdr:blipFill>
      <xdr:spPr>
        <a:xfrm>
          <a:off x="607457" y="1230050662"/>
          <a:ext cx="1421606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732472</xdr:colOff>
      <xdr:row>1412</xdr:row>
      <xdr:rowOff>63619</xdr:rowOff>
    </xdr:from>
    <xdr:to>
      <xdr:col>0</xdr:col>
      <xdr:colOff>1904047</xdr:colOff>
      <xdr:row>1412</xdr:row>
      <xdr:rowOff>599400</xdr:rowOff>
    </xdr:to>
    <xdr:pic>
      <xdr:nvPicPr>
        <xdr:cNvPr id="2825" name="Picture 2824" descr="Insight Picture 2824">
          <a:extLst>
            <a:ext uri="{FF2B5EF4-FFF2-40B4-BE49-F238E27FC236}">
              <a16:creationId xmlns:a16="http://schemas.microsoft.com/office/drawing/2014/main" id="{A8596516-5D02-E95C-8F15-6FC36519B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2"/>
        <a:stretch>
          <a:fillRect/>
        </a:stretch>
      </xdr:blipFill>
      <xdr:spPr>
        <a:xfrm>
          <a:off x="732472" y="1230853639"/>
          <a:ext cx="1171575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607457</xdr:colOff>
      <xdr:row>1413</xdr:row>
      <xdr:rowOff>63560</xdr:rowOff>
    </xdr:from>
    <xdr:to>
      <xdr:col>0</xdr:col>
      <xdr:colOff>2029063</xdr:colOff>
      <xdr:row>1413</xdr:row>
      <xdr:rowOff>599341</xdr:rowOff>
    </xdr:to>
    <xdr:pic>
      <xdr:nvPicPr>
        <xdr:cNvPr id="2827" name="Picture 2826" descr="Insight Picture 2826">
          <a:extLst>
            <a:ext uri="{FF2B5EF4-FFF2-40B4-BE49-F238E27FC236}">
              <a16:creationId xmlns:a16="http://schemas.microsoft.com/office/drawing/2014/main" id="{3A5DCB5A-2DD9-89DE-6F6F-3C87D7B00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3"/>
        <a:stretch>
          <a:fillRect/>
        </a:stretch>
      </xdr:blipFill>
      <xdr:spPr>
        <a:xfrm>
          <a:off x="607457" y="1231516520"/>
          <a:ext cx="1421606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757475</xdr:colOff>
      <xdr:row>1414</xdr:row>
      <xdr:rowOff>63798</xdr:rowOff>
    </xdr:from>
    <xdr:to>
      <xdr:col>0</xdr:col>
      <xdr:colOff>1879044</xdr:colOff>
      <xdr:row>1414</xdr:row>
      <xdr:rowOff>949623</xdr:rowOff>
    </xdr:to>
    <xdr:pic>
      <xdr:nvPicPr>
        <xdr:cNvPr id="2829" name="Picture 2828" descr="Insight Picture 2828">
          <a:extLst>
            <a:ext uri="{FF2B5EF4-FFF2-40B4-BE49-F238E27FC236}">
              <a16:creationId xmlns:a16="http://schemas.microsoft.com/office/drawing/2014/main" id="{9F490913-10AE-BC6B-0014-C442535E3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/>
        <a:stretch>
          <a:fillRect/>
        </a:stretch>
      </xdr:blipFill>
      <xdr:spPr>
        <a:xfrm>
          <a:off x="757475" y="1232179698"/>
          <a:ext cx="1121569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846773</xdr:colOff>
      <xdr:row>1415</xdr:row>
      <xdr:rowOff>62865</xdr:rowOff>
    </xdr:from>
    <xdr:to>
      <xdr:col>0</xdr:col>
      <xdr:colOff>1789748</xdr:colOff>
      <xdr:row>1415</xdr:row>
      <xdr:rowOff>805815</xdr:rowOff>
    </xdr:to>
    <xdr:pic>
      <xdr:nvPicPr>
        <xdr:cNvPr id="2831" name="Picture 2830" descr="Insight Picture 2830">
          <a:extLst>
            <a:ext uri="{FF2B5EF4-FFF2-40B4-BE49-F238E27FC236}">
              <a16:creationId xmlns:a16="http://schemas.microsoft.com/office/drawing/2014/main" id="{24C4B043-1DD0-2A8B-9530-29E441024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/>
        <a:stretch>
          <a:fillRect/>
        </a:stretch>
      </xdr:blipFill>
      <xdr:spPr>
        <a:xfrm>
          <a:off x="846773" y="1233192225"/>
          <a:ext cx="942975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743188</xdr:colOff>
      <xdr:row>1416</xdr:row>
      <xdr:rowOff>62349</xdr:rowOff>
    </xdr:from>
    <xdr:to>
      <xdr:col>0</xdr:col>
      <xdr:colOff>1893332</xdr:colOff>
      <xdr:row>1416</xdr:row>
      <xdr:rowOff>791012</xdr:rowOff>
    </xdr:to>
    <xdr:pic>
      <xdr:nvPicPr>
        <xdr:cNvPr id="2833" name="Picture 2832" descr="Insight Picture 2832">
          <a:extLst>
            <a:ext uri="{FF2B5EF4-FFF2-40B4-BE49-F238E27FC236}">
              <a16:creationId xmlns:a16="http://schemas.microsoft.com/office/drawing/2014/main" id="{03E24741-A903-A1C7-5D4F-45B0BECB3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6"/>
        <a:stretch>
          <a:fillRect/>
        </a:stretch>
      </xdr:blipFill>
      <xdr:spPr>
        <a:xfrm>
          <a:off x="743188" y="1234060389"/>
          <a:ext cx="1150144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596741</xdr:colOff>
      <xdr:row>1417</xdr:row>
      <xdr:rowOff>60206</xdr:rowOff>
    </xdr:from>
    <xdr:to>
      <xdr:col>0</xdr:col>
      <xdr:colOff>2039779</xdr:colOff>
      <xdr:row>1417</xdr:row>
      <xdr:rowOff>838875</xdr:rowOff>
    </xdr:to>
    <xdr:pic>
      <xdr:nvPicPr>
        <xdr:cNvPr id="2835" name="Picture 2834" descr="Insight Picture 2834">
          <a:extLst>
            <a:ext uri="{FF2B5EF4-FFF2-40B4-BE49-F238E27FC236}">
              <a16:creationId xmlns:a16="http://schemas.microsoft.com/office/drawing/2014/main" id="{04B79A79-9CA3-FE00-F11A-F8DA2A5AB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7"/>
        <a:stretch>
          <a:fillRect/>
        </a:stretch>
      </xdr:blipFill>
      <xdr:spPr>
        <a:xfrm>
          <a:off x="596741" y="1234911686"/>
          <a:ext cx="1443038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725328</xdr:colOff>
      <xdr:row>1418</xdr:row>
      <xdr:rowOff>63837</xdr:rowOff>
    </xdr:from>
    <xdr:to>
      <xdr:col>0</xdr:col>
      <xdr:colOff>1911191</xdr:colOff>
      <xdr:row>1418</xdr:row>
      <xdr:rowOff>949662</xdr:rowOff>
    </xdr:to>
    <xdr:pic>
      <xdr:nvPicPr>
        <xdr:cNvPr id="2837" name="Picture 2836" descr="Insight Picture 2836">
          <a:extLst>
            <a:ext uri="{FF2B5EF4-FFF2-40B4-BE49-F238E27FC236}">
              <a16:creationId xmlns:a16="http://schemas.microsoft.com/office/drawing/2014/main" id="{1D37E589-5FF4-69C1-345E-A19EF9743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8"/>
        <a:stretch>
          <a:fillRect/>
        </a:stretch>
      </xdr:blipFill>
      <xdr:spPr>
        <a:xfrm>
          <a:off x="725328" y="1235814477"/>
          <a:ext cx="1185863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775335</xdr:colOff>
      <xdr:row>1419</xdr:row>
      <xdr:rowOff>63103</xdr:rowOff>
    </xdr:from>
    <xdr:to>
      <xdr:col>0</xdr:col>
      <xdr:colOff>1861185</xdr:colOff>
      <xdr:row>1419</xdr:row>
      <xdr:rowOff>813197</xdr:rowOff>
    </xdr:to>
    <xdr:pic>
      <xdr:nvPicPr>
        <xdr:cNvPr id="2839" name="Picture 2838" descr="Insight Picture 2838">
          <a:extLst>
            <a:ext uri="{FF2B5EF4-FFF2-40B4-BE49-F238E27FC236}">
              <a16:creationId xmlns:a16="http://schemas.microsoft.com/office/drawing/2014/main" id="{2A402A54-F349-7845-CBD4-573F0F8F4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9"/>
        <a:stretch>
          <a:fillRect/>
        </a:stretch>
      </xdr:blipFill>
      <xdr:spPr>
        <a:xfrm>
          <a:off x="775335" y="1236827203"/>
          <a:ext cx="1085850" cy="750094"/>
        </a:xfrm>
        <a:prstGeom prst="rect">
          <a:avLst/>
        </a:prstGeom>
      </xdr:spPr>
    </xdr:pic>
    <xdr:clientData/>
  </xdr:twoCellAnchor>
  <xdr:twoCellAnchor editAs="oneCell">
    <xdr:from>
      <xdr:col>0</xdr:col>
      <xdr:colOff>718185</xdr:colOff>
      <xdr:row>1420</xdr:row>
      <xdr:rowOff>60523</xdr:rowOff>
    </xdr:from>
    <xdr:to>
      <xdr:col>0</xdr:col>
      <xdr:colOff>1918335</xdr:colOff>
      <xdr:row>1420</xdr:row>
      <xdr:rowOff>846336</xdr:rowOff>
    </xdr:to>
    <xdr:pic>
      <xdr:nvPicPr>
        <xdr:cNvPr id="2841" name="Picture 2840" descr="Insight Picture 2840">
          <a:extLst>
            <a:ext uri="{FF2B5EF4-FFF2-40B4-BE49-F238E27FC236}">
              <a16:creationId xmlns:a16="http://schemas.microsoft.com/office/drawing/2014/main" id="{6E541FAA-3C8B-A869-2BA3-4BCF8CD2A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0"/>
        <a:stretch>
          <a:fillRect/>
        </a:stretch>
      </xdr:blipFill>
      <xdr:spPr>
        <a:xfrm>
          <a:off x="718185" y="1237700923"/>
          <a:ext cx="1200150" cy="785813"/>
        </a:xfrm>
        <a:prstGeom prst="rect">
          <a:avLst/>
        </a:prstGeom>
      </xdr:spPr>
    </xdr:pic>
    <xdr:clientData/>
  </xdr:twoCellAnchor>
  <xdr:twoCellAnchor editAs="oneCell">
    <xdr:from>
      <xdr:col>0</xdr:col>
      <xdr:colOff>836057</xdr:colOff>
      <xdr:row>1421</xdr:row>
      <xdr:rowOff>63579</xdr:rowOff>
    </xdr:from>
    <xdr:to>
      <xdr:col>0</xdr:col>
      <xdr:colOff>1800463</xdr:colOff>
      <xdr:row>1421</xdr:row>
      <xdr:rowOff>713660</xdr:rowOff>
    </xdr:to>
    <xdr:pic>
      <xdr:nvPicPr>
        <xdr:cNvPr id="2843" name="Picture 2842" descr="Insight Picture 2842">
          <a:extLst>
            <a:ext uri="{FF2B5EF4-FFF2-40B4-BE49-F238E27FC236}">
              <a16:creationId xmlns:a16="http://schemas.microsoft.com/office/drawing/2014/main" id="{C3FEC176-B2BD-BFEA-B88C-84E2B447A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1"/>
        <a:stretch>
          <a:fillRect/>
        </a:stretch>
      </xdr:blipFill>
      <xdr:spPr>
        <a:xfrm>
          <a:off x="836057" y="1238610759"/>
          <a:ext cx="964406" cy="650081"/>
        </a:xfrm>
        <a:prstGeom prst="rect">
          <a:avLst/>
        </a:prstGeom>
      </xdr:spPr>
    </xdr:pic>
    <xdr:clientData/>
  </xdr:twoCellAnchor>
  <xdr:twoCellAnchor editAs="oneCell">
    <xdr:from>
      <xdr:col>0</xdr:col>
      <xdr:colOff>864632</xdr:colOff>
      <xdr:row>1422</xdr:row>
      <xdr:rowOff>62428</xdr:rowOff>
    </xdr:from>
    <xdr:to>
      <xdr:col>0</xdr:col>
      <xdr:colOff>1771888</xdr:colOff>
      <xdr:row>1422</xdr:row>
      <xdr:rowOff>791091</xdr:rowOff>
    </xdr:to>
    <xdr:pic>
      <xdr:nvPicPr>
        <xdr:cNvPr id="2845" name="Picture 2844" descr="Insight Picture 2844">
          <a:extLst>
            <a:ext uri="{FF2B5EF4-FFF2-40B4-BE49-F238E27FC236}">
              <a16:creationId xmlns:a16="http://schemas.microsoft.com/office/drawing/2014/main" id="{6776FB4B-420C-8AE0-4AD8-59E97357A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2"/>
        <a:stretch>
          <a:fillRect/>
        </a:stretch>
      </xdr:blipFill>
      <xdr:spPr>
        <a:xfrm>
          <a:off x="864632" y="1239386848"/>
          <a:ext cx="907256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546735</xdr:colOff>
      <xdr:row>1423</xdr:row>
      <xdr:rowOff>63857</xdr:rowOff>
    </xdr:from>
    <xdr:to>
      <xdr:col>0</xdr:col>
      <xdr:colOff>2089785</xdr:colOff>
      <xdr:row>1423</xdr:row>
      <xdr:rowOff>949682</xdr:rowOff>
    </xdr:to>
    <xdr:pic>
      <xdr:nvPicPr>
        <xdr:cNvPr id="2847" name="Picture 2846" descr="Insight Picture 2846">
          <a:extLst>
            <a:ext uri="{FF2B5EF4-FFF2-40B4-BE49-F238E27FC236}">
              <a16:creationId xmlns:a16="http://schemas.microsoft.com/office/drawing/2014/main" id="{0624B1E6-E691-09AE-09F6-5A6868569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3"/>
        <a:stretch>
          <a:fillRect/>
        </a:stretch>
      </xdr:blipFill>
      <xdr:spPr>
        <a:xfrm>
          <a:off x="546735" y="1240241717"/>
          <a:ext cx="1543050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696753</xdr:colOff>
      <xdr:row>1424</xdr:row>
      <xdr:rowOff>60246</xdr:rowOff>
    </xdr:from>
    <xdr:to>
      <xdr:col>0</xdr:col>
      <xdr:colOff>1939766</xdr:colOff>
      <xdr:row>1424</xdr:row>
      <xdr:rowOff>838915</xdr:rowOff>
    </xdr:to>
    <xdr:pic>
      <xdr:nvPicPr>
        <xdr:cNvPr id="2849" name="Picture 2848" descr="Insight Picture 2848">
          <a:extLst>
            <a:ext uri="{FF2B5EF4-FFF2-40B4-BE49-F238E27FC236}">
              <a16:creationId xmlns:a16="http://schemas.microsoft.com/office/drawing/2014/main" id="{8FAF5D1B-CEA6-481A-1B7F-53F8B9B30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4"/>
        <a:stretch>
          <a:fillRect/>
        </a:stretch>
      </xdr:blipFill>
      <xdr:spPr>
        <a:xfrm>
          <a:off x="696753" y="1241251566"/>
          <a:ext cx="1243013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739616</xdr:colOff>
      <xdr:row>1425</xdr:row>
      <xdr:rowOff>62389</xdr:rowOff>
    </xdr:from>
    <xdr:to>
      <xdr:col>0</xdr:col>
      <xdr:colOff>1896904</xdr:colOff>
      <xdr:row>1425</xdr:row>
      <xdr:rowOff>791052</xdr:rowOff>
    </xdr:to>
    <xdr:pic>
      <xdr:nvPicPr>
        <xdr:cNvPr id="2851" name="Picture 2850" descr="Insight Picture 2850">
          <a:extLst>
            <a:ext uri="{FF2B5EF4-FFF2-40B4-BE49-F238E27FC236}">
              <a16:creationId xmlns:a16="http://schemas.microsoft.com/office/drawing/2014/main" id="{C1F3A913-EB20-B642-8EFD-5D70C9875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5"/>
        <a:stretch>
          <a:fillRect/>
        </a:stretch>
      </xdr:blipFill>
      <xdr:spPr>
        <a:xfrm>
          <a:off x="739616" y="1242152869"/>
          <a:ext cx="1157288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628888</xdr:colOff>
      <xdr:row>1426</xdr:row>
      <xdr:rowOff>62131</xdr:rowOff>
    </xdr:from>
    <xdr:to>
      <xdr:col>0</xdr:col>
      <xdr:colOff>2007632</xdr:colOff>
      <xdr:row>1426</xdr:row>
      <xdr:rowOff>897950</xdr:rowOff>
    </xdr:to>
    <xdr:pic>
      <xdr:nvPicPr>
        <xdr:cNvPr id="2853" name="Picture 2852" descr="Insight Picture 2852">
          <a:extLst>
            <a:ext uri="{FF2B5EF4-FFF2-40B4-BE49-F238E27FC236}">
              <a16:creationId xmlns:a16="http://schemas.microsoft.com/office/drawing/2014/main" id="{67769770-E9CA-49B8-1D38-1E1BE3116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6"/>
        <a:stretch>
          <a:fillRect/>
        </a:stretch>
      </xdr:blipFill>
      <xdr:spPr>
        <a:xfrm>
          <a:off x="628888" y="1243006051"/>
          <a:ext cx="1378744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607457</xdr:colOff>
      <xdr:row>1427</xdr:row>
      <xdr:rowOff>63540</xdr:rowOff>
    </xdr:from>
    <xdr:to>
      <xdr:col>0</xdr:col>
      <xdr:colOff>2029063</xdr:colOff>
      <xdr:row>1427</xdr:row>
      <xdr:rowOff>599321</xdr:rowOff>
    </xdr:to>
    <xdr:pic>
      <xdr:nvPicPr>
        <xdr:cNvPr id="2855" name="Picture 2854" descr="Insight Picture 2854">
          <a:extLst>
            <a:ext uri="{FF2B5EF4-FFF2-40B4-BE49-F238E27FC236}">
              <a16:creationId xmlns:a16="http://schemas.microsoft.com/office/drawing/2014/main" id="{4F8DB484-A73F-AA39-4C7C-B0CDE51A3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7"/>
        <a:stretch>
          <a:fillRect/>
        </a:stretch>
      </xdr:blipFill>
      <xdr:spPr>
        <a:xfrm>
          <a:off x="607457" y="1243967580"/>
          <a:ext cx="1421606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514588</xdr:colOff>
      <xdr:row>1428</xdr:row>
      <xdr:rowOff>62389</xdr:rowOff>
    </xdr:from>
    <xdr:to>
      <xdr:col>0</xdr:col>
      <xdr:colOff>2121932</xdr:colOff>
      <xdr:row>1428</xdr:row>
      <xdr:rowOff>791052</xdr:rowOff>
    </xdr:to>
    <xdr:pic>
      <xdr:nvPicPr>
        <xdr:cNvPr id="2857" name="Picture 2856" descr="Insight Picture 2856">
          <a:extLst>
            <a:ext uri="{FF2B5EF4-FFF2-40B4-BE49-F238E27FC236}">
              <a16:creationId xmlns:a16="http://schemas.microsoft.com/office/drawing/2014/main" id="{31D5A8DC-2DF0-5593-650C-921925C41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8"/>
        <a:stretch>
          <a:fillRect/>
        </a:stretch>
      </xdr:blipFill>
      <xdr:spPr>
        <a:xfrm>
          <a:off x="514588" y="1244629369"/>
          <a:ext cx="1607344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807482</xdr:colOff>
      <xdr:row>1429</xdr:row>
      <xdr:rowOff>61932</xdr:rowOff>
    </xdr:from>
    <xdr:to>
      <xdr:col>0</xdr:col>
      <xdr:colOff>1829038</xdr:colOff>
      <xdr:row>1429</xdr:row>
      <xdr:rowOff>1004907</xdr:rowOff>
    </xdr:to>
    <xdr:pic>
      <xdr:nvPicPr>
        <xdr:cNvPr id="2859" name="Picture 2858" descr="Insight Picture 2858">
          <a:extLst>
            <a:ext uri="{FF2B5EF4-FFF2-40B4-BE49-F238E27FC236}">
              <a16:creationId xmlns:a16="http://schemas.microsoft.com/office/drawing/2014/main" id="{65BAC497-EACA-5371-6B23-4AA55FB4E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/>
        <a:stretch>
          <a:fillRect/>
        </a:stretch>
      </xdr:blipFill>
      <xdr:spPr>
        <a:xfrm>
          <a:off x="807482" y="1245482352"/>
          <a:ext cx="1021556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721757</xdr:colOff>
      <xdr:row>1430</xdr:row>
      <xdr:rowOff>61436</xdr:rowOff>
    </xdr:from>
    <xdr:to>
      <xdr:col>0</xdr:col>
      <xdr:colOff>1914763</xdr:colOff>
      <xdr:row>1430</xdr:row>
      <xdr:rowOff>761524</xdr:rowOff>
    </xdr:to>
    <xdr:pic>
      <xdr:nvPicPr>
        <xdr:cNvPr id="2861" name="Picture 2860" descr="Insight Picture 2860">
          <a:extLst>
            <a:ext uri="{FF2B5EF4-FFF2-40B4-BE49-F238E27FC236}">
              <a16:creationId xmlns:a16="http://schemas.microsoft.com/office/drawing/2014/main" id="{81F4FB4D-8979-8979-93A7-928ADA540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0"/>
        <a:stretch>
          <a:fillRect/>
        </a:stretch>
      </xdr:blipFill>
      <xdr:spPr>
        <a:xfrm>
          <a:off x="721757" y="1246548656"/>
          <a:ext cx="1193006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478869</xdr:colOff>
      <xdr:row>1431</xdr:row>
      <xdr:rowOff>63579</xdr:rowOff>
    </xdr:from>
    <xdr:to>
      <xdr:col>0</xdr:col>
      <xdr:colOff>2157650</xdr:colOff>
      <xdr:row>1431</xdr:row>
      <xdr:rowOff>827960</xdr:rowOff>
    </xdr:to>
    <xdr:pic>
      <xdr:nvPicPr>
        <xdr:cNvPr id="2863" name="Picture 2862" descr="Insight Picture 2862">
          <a:extLst>
            <a:ext uri="{FF2B5EF4-FFF2-40B4-BE49-F238E27FC236}">
              <a16:creationId xmlns:a16="http://schemas.microsoft.com/office/drawing/2014/main" id="{8EDABE2E-D30B-16E3-726A-AF8EE2863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1"/>
        <a:stretch>
          <a:fillRect/>
        </a:stretch>
      </xdr:blipFill>
      <xdr:spPr>
        <a:xfrm>
          <a:off x="478869" y="1247373759"/>
          <a:ext cx="1678781" cy="764381"/>
        </a:xfrm>
        <a:prstGeom prst="rect">
          <a:avLst/>
        </a:prstGeom>
      </xdr:spPr>
    </xdr:pic>
    <xdr:clientData/>
  </xdr:twoCellAnchor>
  <xdr:twoCellAnchor editAs="oneCell">
    <xdr:from>
      <xdr:col>0</xdr:col>
      <xdr:colOff>878920</xdr:colOff>
      <xdr:row>1432</xdr:row>
      <xdr:rowOff>63619</xdr:rowOff>
    </xdr:from>
    <xdr:to>
      <xdr:col>0</xdr:col>
      <xdr:colOff>1757601</xdr:colOff>
      <xdr:row>1432</xdr:row>
      <xdr:rowOff>713700</xdr:rowOff>
    </xdr:to>
    <xdr:pic>
      <xdr:nvPicPr>
        <xdr:cNvPr id="2865" name="Picture 2864" descr="Insight Picture 2864">
          <a:extLst>
            <a:ext uri="{FF2B5EF4-FFF2-40B4-BE49-F238E27FC236}">
              <a16:creationId xmlns:a16="http://schemas.microsoft.com/office/drawing/2014/main" id="{23B23FFA-3861-F0BB-3422-6FC311AF0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2"/>
        <a:stretch>
          <a:fillRect/>
        </a:stretch>
      </xdr:blipFill>
      <xdr:spPr>
        <a:xfrm>
          <a:off x="878920" y="1248265339"/>
          <a:ext cx="878681" cy="650081"/>
        </a:xfrm>
        <a:prstGeom prst="rect">
          <a:avLst/>
        </a:prstGeom>
      </xdr:spPr>
    </xdr:pic>
    <xdr:clientData/>
  </xdr:twoCellAnchor>
  <xdr:twoCellAnchor editAs="oneCell">
    <xdr:from>
      <xdr:col>0</xdr:col>
      <xdr:colOff>650320</xdr:colOff>
      <xdr:row>1433</xdr:row>
      <xdr:rowOff>62170</xdr:rowOff>
    </xdr:from>
    <xdr:to>
      <xdr:col>0</xdr:col>
      <xdr:colOff>1986201</xdr:colOff>
      <xdr:row>1433</xdr:row>
      <xdr:rowOff>897989</xdr:rowOff>
    </xdr:to>
    <xdr:pic>
      <xdr:nvPicPr>
        <xdr:cNvPr id="2867" name="Picture 2866" descr="Insight Picture 2866">
          <a:extLst>
            <a:ext uri="{FF2B5EF4-FFF2-40B4-BE49-F238E27FC236}">
              <a16:creationId xmlns:a16="http://schemas.microsoft.com/office/drawing/2014/main" id="{8600F0EF-A4A4-0321-49FF-779F958A9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3"/>
        <a:stretch>
          <a:fillRect/>
        </a:stretch>
      </xdr:blipFill>
      <xdr:spPr>
        <a:xfrm>
          <a:off x="650320" y="1249041130"/>
          <a:ext cx="1335881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693182</xdr:colOff>
      <xdr:row>1434</xdr:row>
      <xdr:rowOff>62587</xdr:rowOff>
    </xdr:from>
    <xdr:to>
      <xdr:col>0</xdr:col>
      <xdr:colOff>1943338</xdr:colOff>
      <xdr:row>1434</xdr:row>
      <xdr:rowOff>798393</xdr:rowOff>
    </xdr:to>
    <xdr:pic>
      <xdr:nvPicPr>
        <xdr:cNvPr id="2869" name="Picture 2868" descr="Insight Picture 2868">
          <a:extLst>
            <a:ext uri="{FF2B5EF4-FFF2-40B4-BE49-F238E27FC236}">
              <a16:creationId xmlns:a16="http://schemas.microsoft.com/office/drawing/2014/main" id="{1E4A3283-C7C4-D440-A309-99EEEE243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4"/>
        <a:stretch>
          <a:fillRect/>
        </a:stretch>
      </xdr:blipFill>
      <xdr:spPr>
        <a:xfrm>
          <a:off x="693182" y="1250001667"/>
          <a:ext cx="1250156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525303</xdr:colOff>
      <xdr:row>1435</xdr:row>
      <xdr:rowOff>61952</xdr:rowOff>
    </xdr:from>
    <xdr:to>
      <xdr:col>0</xdr:col>
      <xdr:colOff>2111216</xdr:colOff>
      <xdr:row>1435</xdr:row>
      <xdr:rowOff>890627</xdr:rowOff>
    </xdr:to>
    <xdr:pic>
      <xdr:nvPicPr>
        <xdr:cNvPr id="2871" name="Picture 2870" descr="Insight Picture 2870">
          <a:extLst>
            <a:ext uri="{FF2B5EF4-FFF2-40B4-BE49-F238E27FC236}">
              <a16:creationId xmlns:a16="http://schemas.microsoft.com/office/drawing/2014/main" id="{06FDAAAA-2B32-B99D-29B8-CA59BA12B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5"/>
        <a:stretch>
          <a:fillRect/>
        </a:stretch>
      </xdr:blipFill>
      <xdr:spPr>
        <a:xfrm>
          <a:off x="525303" y="1250862092"/>
          <a:ext cx="1585913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521732</xdr:colOff>
      <xdr:row>1436</xdr:row>
      <xdr:rowOff>61158</xdr:rowOff>
    </xdr:from>
    <xdr:to>
      <xdr:col>0</xdr:col>
      <xdr:colOff>2114788</xdr:colOff>
      <xdr:row>1436</xdr:row>
      <xdr:rowOff>754102</xdr:rowOff>
    </xdr:to>
    <xdr:pic>
      <xdr:nvPicPr>
        <xdr:cNvPr id="2873" name="Picture 2872" descr="Insight Picture 2872">
          <a:extLst>
            <a:ext uri="{FF2B5EF4-FFF2-40B4-BE49-F238E27FC236}">
              <a16:creationId xmlns:a16="http://schemas.microsoft.com/office/drawing/2014/main" id="{E7C16D49-ED71-DF37-E129-D208234A6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6"/>
        <a:stretch>
          <a:fillRect/>
        </a:stretch>
      </xdr:blipFill>
      <xdr:spPr>
        <a:xfrm>
          <a:off x="521732" y="1251813798"/>
          <a:ext cx="1593056" cy="692944"/>
        </a:xfrm>
        <a:prstGeom prst="rect">
          <a:avLst/>
        </a:prstGeom>
      </xdr:spPr>
    </xdr:pic>
    <xdr:clientData/>
  </xdr:twoCellAnchor>
  <xdr:twoCellAnchor editAs="oneCell">
    <xdr:from>
      <xdr:col>0</xdr:col>
      <xdr:colOff>521732</xdr:colOff>
      <xdr:row>1437</xdr:row>
      <xdr:rowOff>61198</xdr:rowOff>
    </xdr:from>
    <xdr:to>
      <xdr:col>0</xdr:col>
      <xdr:colOff>2114788</xdr:colOff>
      <xdr:row>1437</xdr:row>
      <xdr:rowOff>639842</xdr:rowOff>
    </xdr:to>
    <xdr:pic>
      <xdr:nvPicPr>
        <xdr:cNvPr id="2875" name="Picture 2874" descr="Insight Picture 2874">
          <a:extLst>
            <a:ext uri="{FF2B5EF4-FFF2-40B4-BE49-F238E27FC236}">
              <a16:creationId xmlns:a16="http://schemas.microsoft.com/office/drawing/2014/main" id="{9ABF1ECB-2852-4984-FF34-49F1319CF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7"/>
        <a:stretch>
          <a:fillRect/>
        </a:stretch>
      </xdr:blipFill>
      <xdr:spPr>
        <a:xfrm>
          <a:off x="521732" y="1252629178"/>
          <a:ext cx="1593056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628888</xdr:colOff>
      <xdr:row>1438</xdr:row>
      <xdr:rowOff>62131</xdr:rowOff>
    </xdr:from>
    <xdr:to>
      <xdr:col>0</xdr:col>
      <xdr:colOff>2007632</xdr:colOff>
      <xdr:row>1438</xdr:row>
      <xdr:rowOff>897950</xdr:rowOff>
    </xdr:to>
    <xdr:pic>
      <xdr:nvPicPr>
        <xdr:cNvPr id="2877" name="Picture 2876" descr="Insight Picture 2876">
          <a:extLst>
            <a:ext uri="{FF2B5EF4-FFF2-40B4-BE49-F238E27FC236}">
              <a16:creationId xmlns:a16="http://schemas.microsoft.com/office/drawing/2014/main" id="{A3DE1E79-1FB5-4FAC-B593-6FA2674F3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8"/>
        <a:stretch>
          <a:fillRect/>
        </a:stretch>
      </xdr:blipFill>
      <xdr:spPr>
        <a:xfrm>
          <a:off x="628888" y="1253331151"/>
          <a:ext cx="1378744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664607</xdr:colOff>
      <xdr:row>1439</xdr:row>
      <xdr:rowOff>62647</xdr:rowOff>
    </xdr:from>
    <xdr:to>
      <xdr:col>0</xdr:col>
      <xdr:colOff>1971913</xdr:colOff>
      <xdr:row>1439</xdr:row>
      <xdr:rowOff>1027053</xdr:rowOff>
    </xdr:to>
    <xdr:pic>
      <xdr:nvPicPr>
        <xdr:cNvPr id="2879" name="Picture 2878" descr="Insight Picture 2878">
          <a:extLst>
            <a:ext uri="{FF2B5EF4-FFF2-40B4-BE49-F238E27FC236}">
              <a16:creationId xmlns:a16="http://schemas.microsoft.com/office/drawing/2014/main" id="{457DC494-CC37-9D62-C0CC-20F746697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9"/>
        <a:stretch>
          <a:fillRect/>
        </a:stretch>
      </xdr:blipFill>
      <xdr:spPr>
        <a:xfrm>
          <a:off x="664607" y="1254291787"/>
          <a:ext cx="1307306" cy="964406"/>
        </a:xfrm>
        <a:prstGeom prst="rect">
          <a:avLst/>
        </a:prstGeom>
      </xdr:spPr>
    </xdr:pic>
    <xdr:clientData/>
  </xdr:twoCellAnchor>
  <xdr:twoCellAnchor editAs="oneCell">
    <xdr:from>
      <xdr:col>0</xdr:col>
      <xdr:colOff>428863</xdr:colOff>
      <xdr:row>1440</xdr:row>
      <xdr:rowOff>61218</xdr:rowOff>
    </xdr:from>
    <xdr:to>
      <xdr:col>0</xdr:col>
      <xdr:colOff>2207657</xdr:colOff>
      <xdr:row>1440</xdr:row>
      <xdr:rowOff>1097062</xdr:rowOff>
    </xdr:to>
    <xdr:pic>
      <xdr:nvPicPr>
        <xdr:cNvPr id="2881" name="Picture 2880" descr="Insight Picture 2880">
          <a:extLst>
            <a:ext uri="{FF2B5EF4-FFF2-40B4-BE49-F238E27FC236}">
              <a16:creationId xmlns:a16="http://schemas.microsoft.com/office/drawing/2014/main" id="{A193B92D-5593-ACE9-8C5A-3E88D0EE2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0"/>
        <a:stretch>
          <a:fillRect/>
        </a:stretch>
      </xdr:blipFill>
      <xdr:spPr>
        <a:xfrm>
          <a:off x="428863" y="1255380018"/>
          <a:ext cx="1778794" cy="1035844"/>
        </a:xfrm>
        <a:prstGeom prst="rect">
          <a:avLst/>
        </a:prstGeom>
      </xdr:spPr>
    </xdr:pic>
    <xdr:clientData/>
  </xdr:twoCellAnchor>
  <xdr:twoCellAnchor editAs="oneCell">
    <xdr:from>
      <xdr:col>0</xdr:col>
      <xdr:colOff>296703</xdr:colOff>
      <xdr:row>1441</xdr:row>
      <xdr:rowOff>63341</xdr:rowOff>
    </xdr:from>
    <xdr:to>
      <xdr:col>0</xdr:col>
      <xdr:colOff>2339816</xdr:colOff>
      <xdr:row>1441</xdr:row>
      <xdr:rowOff>820579</xdr:rowOff>
    </xdr:to>
    <xdr:pic>
      <xdr:nvPicPr>
        <xdr:cNvPr id="2883" name="Picture 2882" descr="Insight Picture 2882">
          <a:extLst>
            <a:ext uri="{FF2B5EF4-FFF2-40B4-BE49-F238E27FC236}">
              <a16:creationId xmlns:a16="http://schemas.microsoft.com/office/drawing/2014/main" id="{ED82F4A9-8942-3680-3B7E-8073278B4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1"/>
        <a:stretch>
          <a:fillRect/>
        </a:stretch>
      </xdr:blipFill>
      <xdr:spPr>
        <a:xfrm>
          <a:off x="296703" y="1256540381"/>
          <a:ext cx="2043113" cy="757238"/>
        </a:xfrm>
        <a:prstGeom prst="rect">
          <a:avLst/>
        </a:prstGeom>
      </xdr:spPr>
    </xdr:pic>
    <xdr:clientData/>
  </xdr:twoCellAnchor>
  <xdr:twoCellAnchor editAs="oneCell">
    <xdr:from>
      <xdr:col>0</xdr:col>
      <xdr:colOff>553878</xdr:colOff>
      <xdr:row>1442</xdr:row>
      <xdr:rowOff>62865</xdr:rowOff>
    </xdr:from>
    <xdr:to>
      <xdr:col>0</xdr:col>
      <xdr:colOff>2082641</xdr:colOff>
      <xdr:row>1442</xdr:row>
      <xdr:rowOff>805815</xdr:rowOff>
    </xdr:to>
    <xdr:pic>
      <xdr:nvPicPr>
        <xdr:cNvPr id="2885" name="Picture 2884" descr="Insight Picture 2884">
          <a:extLst>
            <a:ext uri="{FF2B5EF4-FFF2-40B4-BE49-F238E27FC236}">
              <a16:creationId xmlns:a16="http://schemas.microsoft.com/office/drawing/2014/main" id="{6BE5B54A-63E8-846F-D9C0-33FE15930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2"/>
        <a:stretch>
          <a:fillRect/>
        </a:stretch>
      </xdr:blipFill>
      <xdr:spPr>
        <a:xfrm>
          <a:off x="553878" y="1257423825"/>
          <a:ext cx="1528763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282416</xdr:colOff>
      <xdr:row>1443</xdr:row>
      <xdr:rowOff>62647</xdr:rowOff>
    </xdr:from>
    <xdr:to>
      <xdr:col>0</xdr:col>
      <xdr:colOff>2354104</xdr:colOff>
      <xdr:row>1443</xdr:row>
      <xdr:rowOff>1141353</xdr:rowOff>
    </xdr:to>
    <xdr:pic>
      <xdr:nvPicPr>
        <xdr:cNvPr id="2887" name="Picture 2886" descr="Insight Picture 2886">
          <a:extLst>
            <a:ext uri="{FF2B5EF4-FFF2-40B4-BE49-F238E27FC236}">
              <a16:creationId xmlns:a16="http://schemas.microsoft.com/office/drawing/2014/main" id="{1029826A-0E62-065F-0F36-3728FB23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3"/>
        <a:stretch>
          <a:fillRect/>
        </a:stretch>
      </xdr:blipFill>
      <xdr:spPr>
        <a:xfrm>
          <a:off x="282416" y="1258292287"/>
          <a:ext cx="2071688" cy="1078706"/>
        </a:xfrm>
        <a:prstGeom prst="rect">
          <a:avLst/>
        </a:prstGeom>
      </xdr:spPr>
    </xdr:pic>
    <xdr:clientData/>
  </xdr:twoCellAnchor>
  <xdr:twoCellAnchor editAs="oneCell">
    <xdr:from>
      <xdr:col>0</xdr:col>
      <xdr:colOff>432435</xdr:colOff>
      <xdr:row>1444</xdr:row>
      <xdr:rowOff>61218</xdr:rowOff>
    </xdr:from>
    <xdr:to>
      <xdr:col>0</xdr:col>
      <xdr:colOff>2204085</xdr:colOff>
      <xdr:row>1444</xdr:row>
      <xdr:rowOff>639862</xdr:rowOff>
    </xdr:to>
    <xdr:pic>
      <xdr:nvPicPr>
        <xdr:cNvPr id="2889" name="Picture 2888" descr="Insight Picture 2888">
          <a:extLst>
            <a:ext uri="{FF2B5EF4-FFF2-40B4-BE49-F238E27FC236}">
              <a16:creationId xmlns:a16="http://schemas.microsoft.com/office/drawing/2014/main" id="{7D337895-EDFA-9D52-D0DD-2F086FC31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/>
        <a:stretch>
          <a:fillRect/>
        </a:stretch>
      </xdr:blipFill>
      <xdr:spPr>
        <a:xfrm>
          <a:off x="432435" y="1259494818"/>
          <a:ext cx="1771650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543163</xdr:colOff>
      <xdr:row>1445</xdr:row>
      <xdr:rowOff>62151</xdr:rowOff>
    </xdr:from>
    <xdr:to>
      <xdr:col>0</xdr:col>
      <xdr:colOff>2093357</xdr:colOff>
      <xdr:row>1445</xdr:row>
      <xdr:rowOff>897970</xdr:rowOff>
    </xdr:to>
    <xdr:pic>
      <xdr:nvPicPr>
        <xdr:cNvPr id="2891" name="Picture 2890" descr="Insight Picture 2890">
          <a:extLst>
            <a:ext uri="{FF2B5EF4-FFF2-40B4-BE49-F238E27FC236}">
              <a16:creationId xmlns:a16="http://schemas.microsoft.com/office/drawing/2014/main" id="{2B00E736-1B81-233D-53DB-30E4CCAAD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5"/>
        <a:stretch>
          <a:fillRect/>
        </a:stretch>
      </xdr:blipFill>
      <xdr:spPr>
        <a:xfrm>
          <a:off x="543163" y="1260196791"/>
          <a:ext cx="1550194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457438</xdr:colOff>
      <xdr:row>1446</xdr:row>
      <xdr:rowOff>60682</xdr:rowOff>
    </xdr:from>
    <xdr:to>
      <xdr:col>0</xdr:col>
      <xdr:colOff>2179082</xdr:colOff>
      <xdr:row>1446</xdr:row>
      <xdr:rowOff>739338</xdr:rowOff>
    </xdr:to>
    <xdr:pic>
      <xdr:nvPicPr>
        <xdr:cNvPr id="2893" name="Picture 2892" descr="Insight Picture 2892">
          <a:extLst>
            <a:ext uri="{FF2B5EF4-FFF2-40B4-BE49-F238E27FC236}">
              <a16:creationId xmlns:a16="http://schemas.microsoft.com/office/drawing/2014/main" id="{04802A6B-E2BB-6DB7-108E-4723BF74D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6"/>
        <a:stretch>
          <a:fillRect/>
        </a:stretch>
      </xdr:blipFill>
      <xdr:spPr>
        <a:xfrm>
          <a:off x="457438" y="1261155442"/>
          <a:ext cx="1721644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225266</xdr:colOff>
      <xdr:row>1447</xdr:row>
      <xdr:rowOff>60682</xdr:rowOff>
    </xdr:from>
    <xdr:to>
      <xdr:col>0</xdr:col>
      <xdr:colOff>2411254</xdr:colOff>
      <xdr:row>1447</xdr:row>
      <xdr:rowOff>739338</xdr:rowOff>
    </xdr:to>
    <xdr:pic>
      <xdr:nvPicPr>
        <xdr:cNvPr id="2895" name="Picture 2894" descr="Insight Picture 2894">
          <a:extLst>
            <a:ext uri="{FF2B5EF4-FFF2-40B4-BE49-F238E27FC236}">
              <a16:creationId xmlns:a16="http://schemas.microsoft.com/office/drawing/2014/main" id="{42083C0A-398D-6A18-FD2C-FA8CE3318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7"/>
        <a:stretch>
          <a:fillRect/>
        </a:stretch>
      </xdr:blipFill>
      <xdr:spPr>
        <a:xfrm>
          <a:off x="225266" y="1261955542"/>
          <a:ext cx="2185988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439578</xdr:colOff>
      <xdr:row>1448</xdr:row>
      <xdr:rowOff>62865</xdr:rowOff>
    </xdr:from>
    <xdr:to>
      <xdr:col>0</xdr:col>
      <xdr:colOff>2196941</xdr:colOff>
      <xdr:row>1448</xdr:row>
      <xdr:rowOff>1034415</xdr:rowOff>
    </xdr:to>
    <xdr:pic>
      <xdr:nvPicPr>
        <xdr:cNvPr id="2897" name="Picture 2896" descr="Insight Picture 2896">
          <a:extLst>
            <a:ext uri="{FF2B5EF4-FFF2-40B4-BE49-F238E27FC236}">
              <a16:creationId xmlns:a16="http://schemas.microsoft.com/office/drawing/2014/main" id="{2EF522A5-752C-C3C5-B0D7-C03B2FB61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8"/>
        <a:stretch>
          <a:fillRect/>
        </a:stretch>
      </xdr:blipFill>
      <xdr:spPr>
        <a:xfrm>
          <a:off x="439578" y="1262757825"/>
          <a:ext cx="1757363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439578</xdr:colOff>
      <xdr:row>1449</xdr:row>
      <xdr:rowOff>62845</xdr:rowOff>
    </xdr:from>
    <xdr:to>
      <xdr:col>0</xdr:col>
      <xdr:colOff>2196941</xdr:colOff>
      <xdr:row>1449</xdr:row>
      <xdr:rowOff>1034395</xdr:rowOff>
    </xdr:to>
    <xdr:pic>
      <xdr:nvPicPr>
        <xdr:cNvPr id="2899" name="Picture 2898" descr="Insight Picture 2898">
          <a:extLst>
            <a:ext uri="{FF2B5EF4-FFF2-40B4-BE49-F238E27FC236}">
              <a16:creationId xmlns:a16="http://schemas.microsoft.com/office/drawing/2014/main" id="{0B766A17-AB10-7009-4B45-4C763B13B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9"/>
        <a:stretch>
          <a:fillRect/>
        </a:stretch>
      </xdr:blipFill>
      <xdr:spPr>
        <a:xfrm>
          <a:off x="439578" y="1263855085"/>
          <a:ext cx="1757363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632460</xdr:colOff>
      <xdr:row>1450</xdr:row>
      <xdr:rowOff>62825</xdr:rowOff>
    </xdr:from>
    <xdr:to>
      <xdr:col>0</xdr:col>
      <xdr:colOff>2004060</xdr:colOff>
      <xdr:row>1450</xdr:row>
      <xdr:rowOff>805775</xdr:rowOff>
    </xdr:to>
    <xdr:pic>
      <xdr:nvPicPr>
        <xdr:cNvPr id="2901" name="Picture 2900" descr="Insight Picture 2900">
          <a:extLst>
            <a:ext uri="{FF2B5EF4-FFF2-40B4-BE49-F238E27FC236}">
              <a16:creationId xmlns:a16="http://schemas.microsoft.com/office/drawing/2014/main" id="{FC1C7401-DEB8-CB6C-9F74-EF22E26F8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0"/>
        <a:stretch>
          <a:fillRect/>
        </a:stretch>
      </xdr:blipFill>
      <xdr:spPr>
        <a:xfrm>
          <a:off x="632460" y="1264952345"/>
          <a:ext cx="137160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693182</xdr:colOff>
      <xdr:row>1451</xdr:row>
      <xdr:rowOff>63599</xdr:rowOff>
    </xdr:from>
    <xdr:to>
      <xdr:col>0</xdr:col>
      <xdr:colOff>1943338</xdr:colOff>
      <xdr:row>1451</xdr:row>
      <xdr:rowOff>942280</xdr:rowOff>
    </xdr:to>
    <xdr:pic>
      <xdr:nvPicPr>
        <xdr:cNvPr id="2903" name="Picture 2902" descr="Insight Picture 2902">
          <a:extLst>
            <a:ext uri="{FF2B5EF4-FFF2-40B4-BE49-F238E27FC236}">
              <a16:creationId xmlns:a16="http://schemas.microsoft.com/office/drawing/2014/main" id="{59BE98B6-B76D-0592-AD8F-950E49065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1"/>
        <a:stretch>
          <a:fillRect/>
        </a:stretch>
      </xdr:blipFill>
      <xdr:spPr>
        <a:xfrm>
          <a:off x="693182" y="1265821799"/>
          <a:ext cx="1250156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650320</xdr:colOff>
      <xdr:row>1452</xdr:row>
      <xdr:rowOff>62151</xdr:rowOff>
    </xdr:from>
    <xdr:to>
      <xdr:col>0</xdr:col>
      <xdr:colOff>1986201</xdr:colOff>
      <xdr:row>1452</xdr:row>
      <xdr:rowOff>897970</xdr:rowOff>
    </xdr:to>
    <xdr:pic>
      <xdr:nvPicPr>
        <xdr:cNvPr id="2905" name="Picture 2904" descr="Insight Picture 2904">
          <a:extLst>
            <a:ext uri="{FF2B5EF4-FFF2-40B4-BE49-F238E27FC236}">
              <a16:creationId xmlns:a16="http://schemas.microsoft.com/office/drawing/2014/main" id="{AF20DBE4-9FC7-C706-2535-C9EA027AE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2"/>
        <a:stretch>
          <a:fillRect/>
        </a:stretch>
      </xdr:blipFill>
      <xdr:spPr>
        <a:xfrm>
          <a:off x="650320" y="1266826191"/>
          <a:ext cx="1335881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843200</xdr:colOff>
      <xdr:row>1453</xdr:row>
      <xdr:rowOff>61178</xdr:rowOff>
    </xdr:from>
    <xdr:to>
      <xdr:col>0</xdr:col>
      <xdr:colOff>1793319</xdr:colOff>
      <xdr:row>1453</xdr:row>
      <xdr:rowOff>754122</xdr:rowOff>
    </xdr:to>
    <xdr:pic>
      <xdr:nvPicPr>
        <xdr:cNvPr id="2907" name="Picture 2906" descr="Insight Picture 2906">
          <a:extLst>
            <a:ext uri="{FF2B5EF4-FFF2-40B4-BE49-F238E27FC236}">
              <a16:creationId xmlns:a16="http://schemas.microsoft.com/office/drawing/2014/main" id="{94B8E2D8-6AD5-C8FC-6F9B-36D2152FE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3"/>
        <a:stretch>
          <a:fillRect/>
        </a:stretch>
      </xdr:blipFill>
      <xdr:spPr>
        <a:xfrm>
          <a:off x="843200" y="1267785338"/>
          <a:ext cx="950119" cy="692944"/>
        </a:xfrm>
        <a:prstGeom prst="rect">
          <a:avLst/>
        </a:prstGeom>
      </xdr:spPr>
    </xdr:pic>
    <xdr:clientData/>
  </xdr:twoCellAnchor>
  <xdr:twoCellAnchor editAs="oneCell">
    <xdr:from>
      <xdr:col>0</xdr:col>
      <xdr:colOff>796766</xdr:colOff>
      <xdr:row>1454</xdr:row>
      <xdr:rowOff>61913</xdr:rowOff>
    </xdr:from>
    <xdr:to>
      <xdr:col>0</xdr:col>
      <xdr:colOff>1839754</xdr:colOff>
      <xdr:row>1454</xdr:row>
      <xdr:rowOff>1004888</xdr:rowOff>
    </xdr:to>
    <xdr:pic>
      <xdr:nvPicPr>
        <xdr:cNvPr id="2909" name="Picture 2908" descr="Insight Picture 2908">
          <a:extLst>
            <a:ext uri="{FF2B5EF4-FFF2-40B4-BE49-F238E27FC236}">
              <a16:creationId xmlns:a16="http://schemas.microsoft.com/office/drawing/2014/main" id="{3F63B2DA-2222-3624-A2DD-62168EB5E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4"/>
        <a:stretch>
          <a:fillRect/>
        </a:stretch>
      </xdr:blipFill>
      <xdr:spPr>
        <a:xfrm>
          <a:off x="796766" y="1268601413"/>
          <a:ext cx="1042988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725328</xdr:colOff>
      <xdr:row>1455</xdr:row>
      <xdr:rowOff>62607</xdr:rowOff>
    </xdr:from>
    <xdr:to>
      <xdr:col>0</xdr:col>
      <xdr:colOff>1911191</xdr:colOff>
      <xdr:row>1455</xdr:row>
      <xdr:rowOff>1027013</xdr:rowOff>
    </xdr:to>
    <xdr:pic>
      <xdr:nvPicPr>
        <xdr:cNvPr id="2911" name="Picture 2910" descr="Insight Picture 2910">
          <a:extLst>
            <a:ext uri="{FF2B5EF4-FFF2-40B4-BE49-F238E27FC236}">
              <a16:creationId xmlns:a16="http://schemas.microsoft.com/office/drawing/2014/main" id="{AB88327E-2C68-FF0A-0CDB-70E56057E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5"/>
        <a:stretch>
          <a:fillRect/>
        </a:stretch>
      </xdr:blipFill>
      <xdr:spPr>
        <a:xfrm>
          <a:off x="725328" y="1269668907"/>
          <a:ext cx="1185863" cy="964406"/>
        </a:xfrm>
        <a:prstGeom prst="rect">
          <a:avLst/>
        </a:prstGeom>
      </xdr:spPr>
    </xdr:pic>
    <xdr:clientData/>
  </xdr:twoCellAnchor>
  <xdr:twoCellAnchor editAs="oneCell">
    <xdr:from>
      <xdr:col>0</xdr:col>
      <xdr:colOff>239553</xdr:colOff>
      <xdr:row>1456</xdr:row>
      <xdr:rowOff>60285</xdr:rowOff>
    </xdr:from>
    <xdr:to>
      <xdr:col>0</xdr:col>
      <xdr:colOff>2396966</xdr:colOff>
      <xdr:row>1456</xdr:row>
      <xdr:rowOff>1067554</xdr:rowOff>
    </xdr:to>
    <xdr:pic>
      <xdr:nvPicPr>
        <xdr:cNvPr id="2913" name="Picture 2912" descr="Insight Picture 2912">
          <a:extLst>
            <a:ext uri="{FF2B5EF4-FFF2-40B4-BE49-F238E27FC236}">
              <a16:creationId xmlns:a16="http://schemas.microsoft.com/office/drawing/2014/main" id="{D0E130CF-E2E7-6818-1398-0169EBD14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6"/>
        <a:stretch>
          <a:fillRect/>
        </a:stretch>
      </xdr:blipFill>
      <xdr:spPr>
        <a:xfrm>
          <a:off x="239553" y="1270756245"/>
          <a:ext cx="2157413" cy="1007269"/>
        </a:xfrm>
        <a:prstGeom prst="rect">
          <a:avLst/>
        </a:prstGeom>
      </xdr:spPr>
    </xdr:pic>
    <xdr:clientData/>
  </xdr:twoCellAnchor>
  <xdr:twoCellAnchor editAs="oneCell">
    <xdr:from>
      <xdr:col>0</xdr:col>
      <xdr:colOff>711041</xdr:colOff>
      <xdr:row>1457</xdr:row>
      <xdr:rowOff>62627</xdr:rowOff>
    </xdr:from>
    <xdr:to>
      <xdr:col>0</xdr:col>
      <xdr:colOff>1925479</xdr:colOff>
      <xdr:row>1457</xdr:row>
      <xdr:rowOff>1027033</xdr:rowOff>
    </xdr:to>
    <xdr:pic>
      <xdr:nvPicPr>
        <xdr:cNvPr id="2915" name="Picture 2914" descr="Insight Picture 2914">
          <a:extLst>
            <a:ext uri="{FF2B5EF4-FFF2-40B4-BE49-F238E27FC236}">
              <a16:creationId xmlns:a16="http://schemas.microsoft.com/office/drawing/2014/main" id="{11724886-6920-24AB-16F7-01BDC96E4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7"/>
        <a:stretch>
          <a:fillRect/>
        </a:stretch>
      </xdr:blipFill>
      <xdr:spPr>
        <a:xfrm>
          <a:off x="711041" y="1271886347"/>
          <a:ext cx="1214438" cy="964406"/>
        </a:xfrm>
        <a:prstGeom prst="rect">
          <a:avLst/>
        </a:prstGeom>
      </xdr:spPr>
    </xdr:pic>
    <xdr:clientData/>
  </xdr:twoCellAnchor>
  <xdr:twoCellAnchor editAs="oneCell">
    <xdr:from>
      <xdr:col>0</xdr:col>
      <xdr:colOff>628888</xdr:colOff>
      <xdr:row>1458</xdr:row>
      <xdr:rowOff>63579</xdr:rowOff>
    </xdr:from>
    <xdr:to>
      <xdr:col>0</xdr:col>
      <xdr:colOff>2007632</xdr:colOff>
      <xdr:row>1458</xdr:row>
      <xdr:rowOff>942260</xdr:rowOff>
    </xdr:to>
    <xdr:pic>
      <xdr:nvPicPr>
        <xdr:cNvPr id="2917" name="Picture 2916" descr="Insight Picture 2916">
          <a:extLst>
            <a:ext uri="{FF2B5EF4-FFF2-40B4-BE49-F238E27FC236}">
              <a16:creationId xmlns:a16="http://schemas.microsoft.com/office/drawing/2014/main" id="{EDE123DB-A40F-EFF0-42C5-2779FBA98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8"/>
        <a:stretch>
          <a:fillRect/>
        </a:stretch>
      </xdr:blipFill>
      <xdr:spPr>
        <a:xfrm>
          <a:off x="628888" y="1272976959"/>
          <a:ext cx="1378744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432435</xdr:colOff>
      <xdr:row>1459</xdr:row>
      <xdr:rowOff>60742</xdr:rowOff>
    </xdr:from>
    <xdr:to>
      <xdr:col>0</xdr:col>
      <xdr:colOff>2204085</xdr:colOff>
      <xdr:row>1459</xdr:row>
      <xdr:rowOff>739398</xdr:rowOff>
    </xdr:to>
    <xdr:pic>
      <xdr:nvPicPr>
        <xdr:cNvPr id="2919" name="Picture 2918" descr="Insight Picture 2918">
          <a:extLst>
            <a:ext uri="{FF2B5EF4-FFF2-40B4-BE49-F238E27FC236}">
              <a16:creationId xmlns:a16="http://schemas.microsoft.com/office/drawing/2014/main" id="{E2B9B057-AA38-0F81-3CB1-F1C518915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9"/>
        <a:stretch>
          <a:fillRect/>
        </a:stretch>
      </xdr:blipFill>
      <xdr:spPr>
        <a:xfrm>
          <a:off x="432435" y="1273979962"/>
          <a:ext cx="1771650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628888</xdr:colOff>
      <xdr:row>1460</xdr:row>
      <xdr:rowOff>62428</xdr:rowOff>
    </xdr:from>
    <xdr:to>
      <xdr:col>0</xdr:col>
      <xdr:colOff>2007632</xdr:colOff>
      <xdr:row>1460</xdr:row>
      <xdr:rowOff>791091</xdr:rowOff>
    </xdr:to>
    <xdr:pic>
      <xdr:nvPicPr>
        <xdr:cNvPr id="2921" name="Picture 2920" descr="Insight Picture 2920">
          <a:extLst>
            <a:ext uri="{FF2B5EF4-FFF2-40B4-BE49-F238E27FC236}">
              <a16:creationId xmlns:a16="http://schemas.microsoft.com/office/drawing/2014/main" id="{529F3C93-B316-15F2-B37F-6A8E8D601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0"/>
        <a:stretch>
          <a:fillRect/>
        </a:stretch>
      </xdr:blipFill>
      <xdr:spPr>
        <a:xfrm>
          <a:off x="628888" y="1274781748"/>
          <a:ext cx="1378744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464582</xdr:colOff>
      <xdr:row>1461</xdr:row>
      <xdr:rowOff>60980</xdr:rowOff>
    </xdr:from>
    <xdr:to>
      <xdr:col>0</xdr:col>
      <xdr:colOff>2171938</xdr:colOff>
      <xdr:row>1461</xdr:row>
      <xdr:rowOff>746780</xdr:rowOff>
    </xdr:to>
    <xdr:pic>
      <xdr:nvPicPr>
        <xdr:cNvPr id="2923" name="Picture 2922" descr="Insight Picture 2922">
          <a:extLst>
            <a:ext uri="{FF2B5EF4-FFF2-40B4-BE49-F238E27FC236}">
              <a16:creationId xmlns:a16="http://schemas.microsoft.com/office/drawing/2014/main" id="{19B6B168-794A-EE8C-45F0-2EFADC692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1"/>
        <a:stretch>
          <a:fillRect/>
        </a:stretch>
      </xdr:blipFill>
      <xdr:spPr>
        <a:xfrm>
          <a:off x="464582" y="1275633740"/>
          <a:ext cx="1707356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464582</xdr:colOff>
      <xdr:row>1462</xdr:row>
      <xdr:rowOff>60504</xdr:rowOff>
    </xdr:from>
    <xdr:to>
      <xdr:col>0</xdr:col>
      <xdr:colOff>2171938</xdr:colOff>
      <xdr:row>1462</xdr:row>
      <xdr:rowOff>960617</xdr:rowOff>
    </xdr:to>
    <xdr:pic>
      <xdr:nvPicPr>
        <xdr:cNvPr id="2925" name="Picture 2924" descr="Insight Picture 2924">
          <a:extLst>
            <a:ext uri="{FF2B5EF4-FFF2-40B4-BE49-F238E27FC236}">
              <a16:creationId xmlns:a16="http://schemas.microsoft.com/office/drawing/2014/main" id="{1F309F57-97CB-E6C7-8D0C-9D0462BA0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2"/>
        <a:stretch>
          <a:fillRect/>
        </a:stretch>
      </xdr:blipFill>
      <xdr:spPr>
        <a:xfrm>
          <a:off x="464582" y="1276440984"/>
          <a:ext cx="1707356" cy="900113"/>
        </a:xfrm>
        <a:prstGeom prst="rect">
          <a:avLst/>
        </a:prstGeom>
      </xdr:spPr>
    </xdr:pic>
    <xdr:clientData/>
  </xdr:twoCellAnchor>
  <xdr:twoCellAnchor editAs="oneCell">
    <xdr:from>
      <xdr:col>0</xdr:col>
      <xdr:colOff>464582</xdr:colOff>
      <xdr:row>1463</xdr:row>
      <xdr:rowOff>60484</xdr:rowOff>
    </xdr:from>
    <xdr:to>
      <xdr:col>0</xdr:col>
      <xdr:colOff>2171938</xdr:colOff>
      <xdr:row>1463</xdr:row>
      <xdr:rowOff>960597</xdr:rowOff>
    </xdr:to>
    <xdr:pic>
      <xdr:nvPicPr>
        <xdr:cNvPr id="2927" name="Picture 2926" descr="Insight Picture 2926">
          <a:extLst>
            <a:ext uri="{FF2B5EF4-FFF2-40B4-BE49-F238E27FC236}">
              <a16:creationId xmlns:a16="http://schemas.microsoft.com/office/drawing/2014/main" id="{BB226FB3-1878-BAFA-EAD1-EE96E29BB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3"/>
        <a:stretch>
          <a:fillRect/>
        </a:stretch>
      </xdr:blipFill>
      <xdr:spPr>
        <a:xfrm>
          <a:off x="464582" y="1277462044"/>
          <a:ext cx="1707356" cy="900113"/>
        </a:xfrm>
        <a:prstGeom prst="rect">
          <a:avLst/>
        </a:prstGeom>
      </xdr:spPr>
    </xdr:pic>
    <xdr:clientData/>
  </xdr:twoCellAnchor>
  <xdr:twoCellAnchor editAs="oneCell">
    <xdr:from>
      <xdr:col>0</xdr:col>
      <xdr:colOff>736045</xdr:colOff>
      <xdr:row>1464</xdr:row>
      <xdr:rowOff>63837</xdr:rowOff>
    </xdr:from>
    <xdr:to>
      <xdr:col>0</xdr:col>
      <xdr:colOff>1900476</xdr:colOff>
      <xdr:row>1464</xdr:row>
      <xdr:rowOff>606762</xdr:rowOff>
    </xdr:to>
    <xdr:pic>
      <xdr:nvPicPr>
        <xdr:cNvPr id="2929" name="Picture 2928" descr="Insight Picture 2928">
          <a:extLst>
            <a:ext uri="{FF2B5EF4-FFF2-40B4-BE49-F238E27FC236}">
              <a16:creationId xmlns:a16="http://schemas.microsoft.com/office/drawing/2014/main" id="{98524045-5575-B3AA-7A47-373812522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4"/>
        <a:stretch>
          <a:fillRect/>
        </a:stretch>
      </xdr:blipFill>
      <xdr:spPr>
        <a:xfrm>
          <a:off x="736045" y="1278486477"/>
          <a:ext cx="1164431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536020</xdr:colOff>
      <xdr:row>1465</xdr:row>
      <xdr:rowOff>63798</xdr:rowOff>
    </xdr:from>
    <xdr:to>
      <xdr:col>0</xdr:col>
      <xdr:colOff>2100501</xdr:colOff>
      <xdr:row>1465</xdr:row>
      <xdr:rowOff>606723</xdr:rowOff>
    </xdr:to>
    <xdr:pic>
      <xdr:nvPicPr>
        <xdr:cNvPr id="2931" name="Picture 2930" descr="Insight Picture 2930">
          <a:extLst>
            <a:ext uri="{FF2B5EF4-FFF2-40B4-BE49-F238E27FC236}">
              <a16:creationId xmlns:a16="http://schemas.microsoft.com/office/drawing/2014/main" id="{6E69A8B3-95AE-EF79-0115-35169E052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5"/>
        <a:stretch>
          <a:fillRect/>
        </a:stretch>
      </xdr:blipFill>
      <xdr:spPr>
        <a:xfrm>
          <a:off x="536020" y="1279156998"/>
          <a:ext cx="1564481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671750</xdr:colOff>
      <xdr:row>1466</xdr:row>
      <xdr:rowOff>62865</xdr:rowOff>
    </xdr:from>
    <xdr:to>
      <xdr:col>0</xdr:col>
      <xdr:colOff>1964769</xdr:colOff>
      <xdr:row>1466</xdr:row>
      <xdr:rowOff>805815</xdr:rowOff>
    </xdr:to>
    <xdr:pic>
      <xdr:nvPicPr>
        <xdr:cNvPr id="2933" name="Picture 2932" descr="Insight Picture 2932">
          <a:extLst>
            <a:ext uri="{FF2B5EF4-FFF2-40B4-BE49-F238E27FC236}">
              <a16:creationId xmlns:a16="http://schemas.microsoft.com/office/drawing/2014/main" id="{32719E93-A481-2F27-08B7-FCADFACED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6"/>
        <a:stretch>
          <a:fillRect/>
        </a:stretch>
      </xdr:blipFill>
      <xdr:spPr>
        <a:xfrm>
          <a:off x="671750" y="1279826625"/>
          <a:ext cx="1293019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650320</xdr:colOff>
      <xdr:row>1467</xdr:row>
      <xdr:rowOff>63837</xdr:rowOff>
    </xdr:from>
    <xdr:to>
      <xdr:col>0</xdr:col>
      <xdr:colOff>1986201</xdr:colOff>
      <xdr:row>1467</xdr:row>
      <xdr:rowOff>606762</xdr:rowOff>
    </xdr:to>
    <xdr:pic>
      <xdr:nvPicPr>
        <xdr:cNvPr id="2935" name="Picture 2934" descr="Insight Picture 2934">
          <a:extLst>
            <a:ext uri="{FF2B5EF4-FFF2-40B4-BE49-F238E27FC236}">
              <a16:creationId xmlns:a16="http://schemas.microsoft.com/office/drawing/2014/main" id="{449DB8C1-6449-CAD0-E63B-333CC8BF5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7"/>
        <a:stretch>
          <a:fillRect/>
        </a:stretch>
      </xdr:blipFill>
      <xdr:spPr>
        <a:xfrm>
          <a:off x="650320" y="1280696277"/>
          <a:ext cx="1335881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861060</xdr:colOff>
      <xdr:row>1468</xdr:row>
      <xdr:rowOff>60226</xdr:rowOff>
    </xdr:from>
    <xdr:to>
      <xdr:col>0</xdr:col>
      <xdr:colOff>1775460</xdr:colOff>
      <xdr:row>1468</xdr:row>
      <xdr:rowOff>838895</xdr:rowOff>
    </xdr:to>
    <xdr:pic>
      <xdr:nvPicPr>
        <xdr:cNvPr id="2937" name="Picture 2936" descr="Insight Picture 2936">
          <a:extLst>
            <a:ext uri="{FF2B5EF4-FFF2-40B4-BE49-F238E27FC236}">
              <a16:creationId xmlns:a16="http://schemas.microsoft.com/office/drawing/2014/main" id="{5474635B-20FE-7C24-401D-03C1BBD73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8"/>
        <a:stretch>
          <a:fillRect/>
        </a:stretch>
      </xdr:blipFill>
      <xdr:spPr>
        <a:xfrm>
          <a:off x="861060" y="1281363226"/>
          <a:ext cx="914400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646747</xdr:colOff>
      <xdr:row>1469</xdr:row>
      <xdr:rowOff>61873</xdr:rowOff>
    </xdr:from>
    <xdr:to>
      <xdr:col>0</xdr:col>
      <xdr:colOff>1989772</xdr:colOff>
      <xdr:row>1469</xdr:row>
      <xdr:rowOff>776248</xdr:rowOff>
    </xdr:to>
    <xdr:pic>
      <xdr:nvPicPr>
        <xdr:cNvPr id="2939" name="Picture 2938" descr="Insight Picture 2938">
          <a:extLst>
            <a:ext uri="{FF2B5EF4-FFF2-40B4-BE49-F238E27FC236}">
              <a16:creationId xmlns:a16="http://schemas.microsoft.com/office/drawing/2014/main" id="{A0A5BA7B-61BB-B0D1-5579-95DAA0367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9"/>
        <a:stretch>
          <a:fillRect/>
        </a:stretch>
      </xdr:blipFill>
      <xdr:spPr>
        <a:xfrm>
          <a:off x="646747" y="1282264033"/>
          <a:ext cx="1343025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543163</xdr:colOff>
      <xdr:row>1470</xdr:row>
      <xdr:rowOff>61674</xdr:rowOff>
    </xdr:from>
    <xdr:to>
      <xdr:col>0</xdr:col>
      <xdr:colOff>2093357</xdr:colOff>
      <xdr:row>1470</xdr:row>
      <xdr:rowOff>768905</xdr:rowOff>
    </xdr:to>
    <xdr:pic>
      <xdr:nvPicPr>
        <xdr:cNvPr id="2941" name="Picture 2940" descr="Insight Picture 2940">
          <a:extLst>
            <a:ext uri="{FF2B5EF4-FFF2-40B4-BE49-F238E27FC236}">
              <a16:creationId xmlns:a16="http://schemas.microsoft.com/office/drawing/2014/main" id="{748FDDE2-7623-58D4-B523-20425ECAA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0"/>
        <a:stretch>
          <a:fillRect/>
        </a:stretch>
      </xdr:blipFill>
      <xdr:spPr>
        <a:xfrm>
          <a:off x="543163" y="1283102034"/>
          <a:ext cx="1550194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611028</xdr:colOff>
      <xdr:row>1471</xdr:row>
      <xdr:rowOff>63540</xdr:rowOff>
    </xdr:from>
    <xdr:to>
      <xdr:col>0</xdr:col>
      <xdr:colOff>2025491</xdr:colOff>
      <xdr:row>1471</xdr:row>
      <xdr:rowOff>942221</xdr:rowOff>
    </xdr:to>
    <xdr:pic>
      <xdr:nvPicPr>
        <xdr:cNvPr id="2943" name="Picture 2942" descr="Insight Picture 2942">
          <a:extLst>
            <a:ext uri="{FF2B5EF4-FFF2-40B4-BE49-F238E27FC236}">
              <a16:creationId xmlns:a16="http://schemas.microsoft.com/office/drawing/2014/main" id="{3F13696D-958C-AED4-32A4-786572408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1"/>
        <a:stretch>
          <a:fillRect/>
        </a:stretch>
      </xdr:blipFill>
      <xdr:spPr>
        <a:xfrm>
          <a:off x="611028" y="1283934480"/>
          <a:ext cx="1414463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675322</xdr:colOff>
      <xdr:row>1472</xdr:row>
      <xdr:rowOff>63381</xdr:rowOff>
    </xdr:from>
    <xdr:to>
      <xdr:col>0</xdr:col>
      <xdr:colOff>1961197</xdr:colOff>
      <xdr:row>1472</xdr:row>
      <xdr:rowOff>592019</xdr:rowOff>
    </xdr:to>
    <xdr:pic>
      <xdr:nvPicPr>
        <xdr:cNvPr id="2945" name="Picture 2944" descr="Insight Picture 2944">
          <a:extLst>
            <a:ext uri="{FF2B5EF4-FFF2-40B4-BE49-F238E27FC236}">
              <a16:creationId xmlns:a16="http://schemas.microsoft.com/office/drawing/2014/main" id="{5D3F786F-0AEB-B539-AD5D-F44C8C13F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2"/>
        <a:stretch>
          <a:fillRect/>
        </a:stretch>
      </xdr:blipFill>
      <xdr:spPr>
        <a:xfrm>
          <a:off x="675322" y="1284940161"/>
          <a:ext cx="1285875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746760</xdr:colOff>
      <xdr:row>1473</xdr:row>
      <xdr:rowOff>63302</xdr:rowOff>
    </xdr:from>
    <xdr:to>
      <xdr:col>0</xdr:col>
      <xdr:colOff>1889760</xdr:colOff>
      <xdr:row>1473</xdr:row>
      <xdr:rowOff>591940</xdr:rowOff>
    </xdr:to>
    <xdr:pic>
      <xdr:nvPicPr>
        <xdr:cNvPr id="2947" name="Picture 2946" descr="Insight Picture 2946">
          <a:extLst>
            <a:ext uri="{FF2B5EF4-FFF2-40B4-BE49-F238E27FC236}">
              <a16:creationId xmlns:a16="http://schemas.microsoft.com/office/drawing/2014/main" id="{57F29CB0-6E5D-0B5E-A7B5-9D8582C1A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3"/>
        <a:stretch>
          <a:fillRect/>
        </a:stretch>
      </xdr:blipFill>
      <xdr:spPr>
        <a:xfrm>
          <a:off x="746760" y="1285595402"/>
          <a:ext cx="1143000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821770</xdr:colOff>
      <xdr:row>1474</xdr:row>
      <xdr:rowOff>63321</xdr:rowOff>
    </xdr:from>
    <xdr:to>
      <xdr:col>0</xdr:col>
      <xdr:colOff>1814751</xdr:colOff>
      <xdr:row>1474</xdr:row>
      <xdr:rowOff>591959</xdr:rowOff>
    </xdr:to>
    <xdr:pic>
      <xdr:nvPicPr>
        <xdr:cNvPr id="2949" name="Picture 2948" descr="Insight Picture 2948">
          <a:extLst>
            <a:ext uri="{FF2B5EF4-FFF2-40B4-BE49-F238E27FC236}">
              <a16:creationId xmlns:a16="http://schemas.microsoft.com/office/drawing/2014/main" id="{64FF2918-E4F8-1595-6609-0949D774E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4"/>
        <a:stretch>
          <a:fillRect/>
        </a:stretch>
      </xdr:blipFill>
      <xdr:spPr>
        <a:xfrm>
          <a:off x="821770" y="1286250741"/>
          <a:ext cx="992981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739616</xdr:colOff>
      <xdr:row>1475</xdr:row>
      <xdr:rowOff>60265</xdr:rowOff>
    </xdr:from>
    <xdr:to>
      <xdr:col>0</xdr:col>
      <xdr:colOff>1896904</xdr:colOff>
      <xdr:row>1475</xdr:row>
      <xdr:rowOff>838934</xdr:rowOff>
    </xdr:to>
    <xdr:pic>
      <xdr:nvPicPr>
        <xdr:cNvPr id="2951" name="Picture 2950" descr="Insight Picture 2950">
          <a:extLst>
            <a:ext uri="{FF2B5EF4-FFF2-40B4-BE49-F238E27FC236}">
              <a16:creationId xmlns:a16="http://schemas.microsoft.com/office/drawing/2014/main" id="{CF8B02BE-C1B5-D735-32C7-752852BFA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5"/>
        <a:stretch>
          <a:fillRect/>
        </a:stretch>
      </xdr:blipFill>
      <xdr:spPr>
        <a:xfrm>
          <a:off x="739616" y="1286903005"/>
          <a:ext cx="1157288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932498</xdr:colOff>
      <xdr:row>1476</xdr:row>
      <xdr:rowOff>61416</xdr:rowOff>
    </xdr:from>
    <xdr:to>
      <xdr:col>0</xdr:col>
      <xdr:colOff>1704023</xdr:colOff>
      <xdr:row>1476</xdr:row>
      <xdr:rowOff>990104</xdr:rowOff>
    </xdr:to>
    <xdr:pic>
      <xdr:nvPicPr>
        <xdr:cNvPr id="2953" name="Picture 2952" descr="Insight Picture 2952">
          <a:extLst>
            <a:ext uri="{FF2B5EF4-FFF2-40B4-BE49-F238E27FC236}">
              <a16:creationId xmlns:a16="http://schemas.microsoft.com/office/drawing/2014/main" id="{4004C06B-448D-A803-0237-40018EF74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6"/>
        <a:stretch>
          <a:fillRect/>
        </a:stretch>
      </xdr:blipFill>
      <xdr:spPr>
        <a:xfrm>
          <a:off x="932498" y="1287803316"/>
          <a:ext cx="771525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732472</xdr:colOff>
      <xdr:row>1477</xdr:row>
      <xdr:rowOff>60682</xdr:rowOff>
    </xdr:from>
    <xdr:to>
      <xdr:col>0</xdr:col>
      <xdr:colOff>1904047</xdr:colOff>
      <xdr:row>1477</xdr:row>
      <xdr:rowOff>853638</xdr:rowOff>
    </xdr:to>
    <xdr:pic>
      <xdr:nvPicPr>
        <xdr:cNvPr id="2955" name="Picture 2954" descr="Insight Picture 2954">
          <a:extLst>
            <a:ext uri="{FF2B5EF4-FFF2-40B4-BE49-F238E27FC236}">
              <a16:creationId xmlns:a16="http://schemas.microsoft.com/office/drawing/2014/main" id="{FE0F0AE7-3D6E-31FF-C343-F90964E2A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7"/>
        <a:stretch>
          <a:fillRect/>
        </a:stretch>
      </xdr:blipFill>
      <xdr:spPr>
        <a:xfrm>
          <a:off x="732472" y="1288854142"/>
          <a:ext cx="1171575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693182</xdr:colOff>
      <xdr:row>1478</xdr:row>
      <xdr:rowOff>60285</xdr:rowOff>
    </xdr:from>
    <xdr:to>
      <xdr:col>0</xdr:col>
      <xdr:colOff>1943338</xdr:colOff>
      <xdr:row>1478</xdr:row>
      <xdr:rowOff>610354</xdr:rowOff>
    </xdr:to>
    <xdr:pic>
      <xdr:nvPicPr>
        <xdr:cNvPr id="2957" name="Picture 2956" descr="Insight Picture 2956">
          <a:extLst>
            <a:ext uri="{FF2B5EF4-FFF2-40B4-BE49-F238E27FC236}">
              <a16:creationId xmlns:a16="http://schemas.microsoft.com/office/drawing/2014/main" id="{DC81D6EF-CAA6-9453-D47B-DCD3CB56A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8"/>
        <a:stretch>
          <a:fillRect/>
        </a:stretch>
      </xdr:blipFill>
      <xdr:spPr>
        <a:xfrm>
          <a:off x="693182" y="1289768145"/>
          <a:ext cx="1250156" cy="550069"/>
        </a:xfrm>
        <a:prstGeom prst="rect">
          <a:avLst/>
        </a:prstGeom>
      </xdr:spPr>
    </xdr:pic>
    <xdr:clientData/>
  </xdr:twoCellAnchor>
  <xdr:twoCellAnchor editAs="oneCell">
    <xdr:from>
      <xdr:col>0</xdr:col>
      <xdr:colOff>625316</xdr:colOff>
      <xdr:row>1479</xdr:row>
      <xdr:rowOff>61238</xdr:rowOff>
    </xdr:from>
    <xdr:to>
      <xdr:col>0</xdr:col>
      <xdr:colOff>2011204</xdr:colOff>
      <xdr:row>1479</xdr:row>
      <xdr:rowOff>982782</xdr:rowOff>
    </xdr:to>
    <xdr:pic>
      <xdr:nvPicPr>
        <xdr:cNvPr id="2959" name="Picture 2958" descr="Insight Picture 2958">
          <a:extLst>
            <a:ext uri="{FF2B5EF4-FFF2-40B4-BE49-F238E27FC236}">
              <a16:creationId xmlns:a16="http://schemas.microsoft.com/office/drawing/2014/main" id="{4091613E-AFC9-3B31-320C-60A4944EE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9"/>
        <a:stretch>
          <a:fillRect/>
        </a:stretch>
      </xdr:blipFill>
      <xdr:spPr>
        <a:xfrm>
          <a:off x="625316" y="1290439658"/>
          <a:ext cx="1385888" cy="921544"/>
        </a:xfrm>
        <a:prstGeom prst="rect">
          <a:avLst/>
        </a:prstGeom>
      </xdr:spPr>
    </xdr:pic>
    <xdr:clientData/>
  </xdr:twoCellAnchor>
  <xdr:twoCellAnchor editAs="oneCell">
    <xdr:from>
      <xdr:col>0</xdr:col>
      <xdr:colOff>571738</xdr:colOff>
      <xdr:row>1480</xdr:row>
      <xdr:rowOff>63063</xdr:rowOff>
    </xdr:from>
    <xdr:to>
      <xdr:col>0</xdr:col>
      <xdr:colOff>2064782</xdr:colOff>
      <xdr:row>1480</xdr:row>
      <xdr:rowOff>698857</xdr:rowOff>
    </xdr:to>
    <xdr:pic>
      <xdr:nvPicPr>
        <xdr:cNvPr id="2961" name="Picture 2960" descr="Insight Picture 2960">
          <a:extLst>
            <a:ext uri="{FF2B5EF4-FFF2-40B4-BE49-F238E27FC236}">
              <a16:creationId xmlns:a16="http://schemas.microsoft.com/office/drawing/2014/main" id="{A74C93BE-E948-BE4A-0228-BC7406EBE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0"/>
        <a:stretch>
          <a:fillRect/>
        </a:stretch>
      </xdr:blipFill>
      <xdr:spPr>
        <a:xfrm>
          <a:off x="571738" y="1291485423"/>
          <a:ext cx="1493044" cy="635794"/>
        </a:xfrm>
        <a:prstGeom prst="rect">
          <a:avLst/>
        </a:prstGeom>
      </xdr:spPr>
    </xdr:pic>
    <xdr:clientData/>
  </xdr:twoCellAnchor>
  <xdr:twoCellAnchor editAs="oneCell">
    <xdr:from>
      <xdr:col>0</xdr:col>
      <xdr:colOff>543163</xdr:colOff>
      <xdr:row>1481</xdr:row>
      <xdr:rowOff>60682</xdr:rowOff>
    </xdr:from>
    <xdr:to>
      <xdr:col>0</xdr:col>
      <xdr:colOff>2093357</xdr:colOff>
      <xdr:row>1481</xdr:row>
      <xdr:rowOff>853638</xdr:rowOff>
    </xdr:to>
    <xdr:pic>
      <xdr:nvPicPr>
        <xdr:cNvPr id="2963" name="Picture 2962" descr="Insight Picture 2962">
          <a:extLst>
            <a:ext uri="{FF2B5EF4-FFF2-40B4-BE49-F238E27FC236}">
              <a16:creationId xmlns:a16="http://schemas.microsoft.com/office/drawing/2014/main" id="{2AC103EB-6464-C05F-3C2A-538C6B5E8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1"/>
        <a:stretch>
          <a:fillRect/>
        </a:stretch>
      </xdr:blipFill>
      <xdr:spPr>
        <a:xfrm>
          <a:off x="543163" y="1292245042"/>
          <a:ext cx="1550194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611028</xdr:colOff>
      <xdr:row>1482</xdr:row>
      <xdr:rowOff>61873</xdr:rowOff>
    </xdr:from>
    <xdr:to>
      <xdr:col>0</xdr:col>
      <xdr:colOff>2025491</xdr:colOff>
      <xdr:row>1482</xdr:row>
      <xdr:rowOff>661948</xdr:rowOff>
    </xdr:to>
    <xdr:pic>
      <xdr:nvPicPr>
        <xdr:cNvPr id="2965" name="Picture 2964" descr="Insight Picture 2964">
          <a:extLst>
            <a:ext uri="{FF2B5EF4-FFF2-40B4-BE49-F238E27FC236}">
              <a16:creationId xmlns:a16="http://schemas.microsoft.com/office/drawing/2014/main" id="{B4ACA926-5FFA-1979-F34F-4EA46A72A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2"/>
        <a:stretch>
          <a:fillRect/>
        </a:stretch>
      </xdr:blipFill>
      <xdr:spPr>
        <a:xfrm>
          <a:off x="611028" y="1293160633"/>
          <a:ext cx="1414463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882491</xdr:colOff>
      <xdr:row>1483</xdr:row>
      <xdr:rowOff>62667</xdr:rowOff>
    </xdr:from>
    <xdr:to>
      <xdr:col>0</xdr:col>
      <xdr:colOff>1754029</xdr:colOff>
      <xdr:row>1483</xdr:row>
      <xdr:rowOff>798473</xdr:rowOff>
    </xdr:to>
    <xdr:pic>
      <xdr:nvPicPr>
        <xdr:cNvPr id="2967" name="Picture 2966" descr="Insight Picture 2966">
          <a:extLst>
            <a:ext uri="{FF2B5EF4-FFF2-40B4-BE49-F238E27FC236}">
              <a16:creationId xmlns:a16="http://schemas.microsoft.com/office/drawing/2014/main" id="{A4CA09E1-A881-E1DA-DB87-869461C31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3"/>
        <a:stretch>
          <a:fillRect/>
        </a:stretch>
      </xdr:blipFill>
      <xdr:spPr>
        <a:xfrm>
          <a:off x="882491" y="1293885327"/>
          <a:ext cx="871538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771763</xdr:colOff>
      <xdr:row>1484</xdr:row>
      <xdr:rowOff>62627</xdr:rowOff>
    </xdr:from>
    <xdr:to>
      <xdr:col>0</xdr:col>
      <xdr:colOff>1864757</xdr:colOff>
      <xdr:row>1484</xdr:row>
      <xdr:rowOff>798433</xdr:rowOff>
    </xdr:to>
    <xdr:pic>
      <xdr:nvPicPr>
        <xdr:cNvPr id="2969" name="Picture 2968" descr="Insight Picture 2968">
          <a:extLst>
            <a:ext uri="{FF2B5EF4-FFF2-40B4-BE49-F238E27FC236}">
              <a16:creationId xmlns:a16="http://schemas.microsoft.com/office/drawing/2014/main" id="{63C4455A-C58E-B061-0366-DF5164A83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4"/>
        <a:stretch>
          <a:fillRect/>
        </a:stretch>
      </xdr:blipFill>
      <xdr:spPr>
        <a:xfrm>
          <a:off x="771763" y="1294746347"/>
          <a:ext cx="1092994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743188</xdr:colOff>
      <xdr:row>1485</xdr:row>
      <xdr:rowOff>61198</xdr:rowOff>
    </xdr:from>
    <xdr:to>
      <xdr:col>0</xdr:col>
      <xdr:colOff>1893332</xdr:colOff>
      <xdr:row>1485</xdr:row>
      <xdr:rowOff>982742</xdr:rowOff>
    </xdr:to>
    <xdr:pic>
      <xdr:nvPicPr>
        <xdr:cNvPr id="2971" name="Picture 2970" descr="Insight Picture 2970">
          <a:extLst>
            <a:ext uri="{FF2B5EF4-FFF2-40B4-BE49-F238E27FC236}">
              <a16:creationId xmlns:a16="http://schemas.microsoft.com/office/drawing/2014/main" id="{23C65450-7A0C-FF86-A8C2-895F370E5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5"/>
        <a:stretch>
          <a:fillRect/>
        </a:stretch>
      </xdr:blipFill>
      <xdr:spPr>
        <a:xfrm>
          <a:off x="743188" y="1295605978"/>
          <a:ext cx="1150144" cy="921544"/>
        </a:xfrm>
        <a:prstGeom prst="rect">
          <a:avLst/>
        </a:prstGeom>
      </xdr:spPr>
    </xdr:pic>
    <xdr:clientData/>
  </xdr:twoCellAnchor>
  <xdr:twoCellAnchor editAs="oneCell">
    <xdr:from>
      <xdr:col>0</xdr:col>
      <xdr:colOff>571738</xdr:colOff>
      <xdr:row>1486</xdr:row>
      <xdr:rowOff>63818</xdr:rowOff>
    </xdr:from>
    <xdr:to>
      <xdr:col>0</xdr:col>
      <xdr:colOff>2064782</xdr:colOff>
      <xdr:row>1486</xdr:row>
      <xdr:rowOff>835343</xdr:rowOff>
    </xdr:to>
    <xdr:pic>
      <xdr:nvPicPr>
        <xdr:cNvPr id="2973" name="Picture 2972" descr="Insight Picture 2972">
          <a:extLst>
            <a:ext uri="{FF2B5EF4-FFF2-40B4-BE49-F238E27FC236}">
              <a16:creationId xmlns:a16="http://schemas.microsoft.com/office/drawing/2014/main" id="{BEBF6BFF-8C9B-CB34-4A39-C31AA26E6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6"/>
        <a:stretch>
          <a:fillRect/>
        </a:stretch>
      </xdr:blipFill>
      <xdr:spPr>
        <a:xfrm>
          <a:off x="571738" y="1296652538"/>
          <a:ext cx="1493044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618172</xdr:colOff>
      <xdr:row>1487</xdr:row>
      <xdr:rowOff>60702</xdr:rowOff>
    </xdr:from>
    <xdr:to>
      <xdr:col>0</xdr:col>
      <xdr:colOff>2018347</xdr:colOff>
      <xdr:row>1487</xdr:row>
      <xdr:rowOff>853658</xdr:rowOff>
    </xdr:to>
    <xdr:pic>
      <xdr:nvPicPr>
        <xdr:cNvPr id="2975" name="Picture 2974" descr="Insight Picture 2974">
          <a:extLst>
            <a:ext uri="{FF2B5EF4-FFF2-40B4-BE49-F238E27FC236}">
              <a16:creationId xmlns:a16="http://schemas.microsoft.com/office/drawing/2014/main" id="{E2D5655F-51BC-4E6E-5888-D6EF7CD9E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7"/>
        <a:stretch>
          <a:fillRect/>
        </a:stretch>
      </xdr:blipFill>
      <xdr:spPr>
        <a:xfrm>
          <a:off x="618172" y="1297548582"/>
          <a:ext cx="1400175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796766</xdr:colOff>
      <xdr:row>1488</xdr:row>
      <xdr:rowOff>63381</xdr:rowOff>
    </xdr:from>
    <xdr:to>
      <xdr:col>0</xdr:col>
      <xdr:colOff>1839754</xdr:colOff>
      <xdr:row>1488</xdr:row>
      <xdr:rowOff>706319</xdr:rowOff>
    </xdr:to>
    <xdr:pic>
      <xdr:nvPicPr>
        <xdr:cNvPr id="2977" name="Picture 2976" descr="Insight Picture 2976">
          <a:extLst>
            <a:ext uri="{FF2B5EF4-FFF2-40B4-BE49-F238E27FC236}">
              <a16:creationId xmlns:a16="http://schemas.microsoft.com/office/drawing/2014/main" id="{F1B5D5C0-6383-445B-BB60-D63F6A005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8"/>
        <a:stretch>
          <a:fillRect/>
        </a:stretch>
      </xdr:blipFill>
      <xdr:spPr>
        <a:xfrm>
          <a:off x="796766" y="1298465661"/>
          <a:ext cx="1042988" cy="642938"/>
        </a:xfrm>
        <a:prstGeom prst="rect">
          <a:avLst/>
        </a:prstGeom>
      </xdr:spPr>
    </xdr:pic>
    <xdr:clientData/>
  </xdr:twoCellAnchor>
  <xdr:twoCellAnchor editAs="oneCell">
    <xdr:from>
      <xdr:col>0</xdr:col>
      <xdr:colOff>593170</xdr:colOff>
      <xdr:row>1489</xdr:row>
      <xdr:rowOff>62607</xdr:rowOff>
    </xdr:from>
    <xdr:to>
      <xdr:col>0</xdr:col>
      <xdr:colOff>2043351</xdr:colOff>
      <xdr:row>1489</xdr:row>
      <xdr:rowOff>684113</xdr:rowOff>
    </xdr:to>
    <xdr:pic>
      <xdr:nvPicPr>
        <xdr:cNvPr id="2979" name="Picture 2978" descr="Insight Picture 2978">
          <a:extLst>
            <a:ext uri="{FF2B5EF4-FFF2-40B4-BE49-F238E27FC236}">
              <a16:creationId xmlns:a16="http://schemas.microsoft.com/office/drawing/2014/main" id="{AA498B66-A1B6-D948-EA35-A6C00DD9D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9"/>
        <a:stretch>
          <a:fillRect/>
        </a:stretch>
      </xdr:blipFill>
      <xdr:spPr>
        <a:xfrm>
          <a:off x="593170" y="1299234507"/>
          <a:ext cx="1450181" cy="621506"/>
        </a:xfrm>
        <a:prstGeom prst="rect">
          <a:avLst/>
        </a:prstGeom>
      </xdr:spPr>
    </xdr:pic>
    <xdr:clientData/>
  </xdr:twoCellAnchor>
  <xdr:twoCellAnchor editAs="oneCell">
    <xdr:from>
      <xdr:col>0</xdr:col>
      <xdr:colOff>350282</xdr:colOff>
      <xdr:row>1490</xdr:row>
      <xdr:rowOff>60682</xdr:rowOff>
    </xdr:from>
    <xdr:to>
      <xdr:col>0</xdr:col>
      <xdr:colOff>2286238</xdr:colOff>
      <xdr:row>1490</xdr:row>
      <xdr:rowOff>739338</xdr:rowOff>
    </xdr:to>
    <xdr:pic>
      <xdr:nvPicPr>
        <xdr:cNvPr id="2981" name="Picture 2980" descr="Insight Picture 2980">
          <a:extLst>
            <a:ext uri="{FF2B5EF4-FFF2-40B4-BE49-F238E27FC236}">
              <a16:creationId xmlns:a16="http://schemas.microsoft.com/office/drawing/2014/main" id="{36EE1939-B30E-37F4-1D0E-64B8B1E89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0"/>
        <a:stretch>
          <a:fillRect/>
        </a:stretch>
      </xdr:blipFill>
      <xdr:spPr>
        <a:xfrm>
          <a:off x="350282" y="1299979342"/>
          <a:ext cx="1935956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396716</xdr:colOff>
      <xdr:row>1491</xdr:row>
      <xdr:rowOff>60682</xdr:rowOff>
    </xdr:from>
    <xdr:to>
      <xdr:col>0</xdr:col>
      <xdr:colOff>2239804</xdr:colOff>
      <xdr:row>1491</xdr:row>
      <xdr:rowOff>853638</xdr:rowOff>
    </xdr:to>
    <xdr:pic>
      <xdr:nvPicPr>
        <xdr:cNvPr id="2983" name="Picture 2982" descr="Insight Picture 2982">
          <a:extLst>
            <a:ext uri="{FF2B5EF4-FFF2-40B4-BE49-F238E27FC236}">
              <a16:creationId xmlns:a16="http://schemas.microsoft.com/office/drawing/2014/main" id="{9C4F252D-F19D-CD11-0955-BA4D0A19F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1"/>
        <a:stretch>
          <a:fillRect/>
        </a:stretch>
      </xdr:blipFill>
      <xdr:spPr>
        <a:xfrm>
          <a:off x="396716" y="1300779442"/>
          <a:ext cx="1843088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636032</xdr:colOff>
      <xdr:row>1492</xdr:row>
      <xdr:rowOff>62667</xdr:rowOff>
    </xdr:from>
    <xdr:to>
      <xdr:col>0</xdr:col>
      <xdr:colOff>2000488</xdr:colOff>
      <xdr:row>1492</xdr:row>
      <xdr:rowOff>1141373</xdr:rowOff>
    </xdr:to>
    <xdr:pic>
      <xdr:nvPicPr>
        <xdr:cNvPr id="2985" name="Picture 2984" descr="Insight Picture 2984">
          <a:extLst>
            <a:ext uri="{FF2B5EF4-FFF2-40B4-BE49-F238E27FC236}">
              <a16:creationId xmlns:a16="http://schemas.microsoft.com/office/drawing/2014/main" id="{665840C8-6A19-50ED-51E7-62696EACE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2"/>
        <a:stretch>
          <a:fillRect/>
        </a:stretch>
      </xdr:blipFill>
      <xdr:spPr>
        <a:xfrm>
          <a:off x="636032" y="1301695827"/>
          <a:ext cx="1364456" cy="1078706"/>
        </a:xfrm>
        <a:prstGeom prst="rect">
          <a:avLst/>
        </a:prstGeom>
      </xdr:spPr>
    </xdr:pic>
    <xdr:clientData/>
  </xdr:twoCellAnchor>
  <xdr:twoCellAnchor editAs="oneCell">
    <xdr:from>
      <xdr:col>0</xdr:col>
      <xdr:colOff>728900</xdr:colOff>
      <xdr:row>1493</xdr:row>
      <xdr:rowOff>60742</xdr:rowOff>
    </xdr:from>
    <xdr:to>
      <xdr:col>0</xdr:col>
      <xdr:colOff>1907619</xdr:colOff>
      <xdr:row>1493</xdr:row>
      <xdr:rowOff>967998</xdr:rowOff>
    </xdr:to>
    <xdr:pic>
      <xdr:nvPicPr>
        <xdr:cNvPr id="2987" name="Picture 2986" descr="Insight Picture 2986">
          <a:extLst>
            <a:ext uri="{FF2B5EF4-FFF2-40B4-BE49-F238E27FC236}">
              <a16:creationId xmlns:a16="http://schemas.microsoft.com/office/drawing/2014/main" id="{21480560-91DD-5067-DB3D-094D41C72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xfrm>
          <a:off x="728900" y="1302897862"/>
          <a:ext cx="1178719" cy="907256"/>
        </a:xfrm>
        <a:prstGeom prst="rect">
          <a:avLst/>
        </a:prstGeom>
      </xdr:spPr>
    </xdr:pic>
    <xdr:clientData/>
  </xdr:twoCellAnchor>
  <xdr:twoCellAnchor editAs="oneCell">
    <xdr:from>
      <xdr:col>0</xdr:col>
      <xdr:colOff>707470</xdr:colOff>
      <xdr:row>1494</xdr:row>
      <xdr:rowOff>62627</xdr:rowOff>
    </xdr:from>
    <xdr:to>
      <xdr:col>0</xdr:col>
      <xdr:colOff>1929051</xdr:colOff>
      <xdr:row>1494</xdr:row>
      <xdr:rowOff>684133</xdr:rowOff>
    </xdr:to>
    <xdr:pic>
      <xdr:nvPicPr>
        <xdr:cNvPr id="2989" name="Picture 2988" descr="Insight Picture 2988">
          <a:extLst>
            <a:ext uri="{FF2B5EF4-FFF2-40B4-BE49-F238E27FC236}">
              <a16:creationId xmlns:a16="http://schemas.microsoft.com/office/drawing/2014/main" id="{9E1563D3-5FC7-1CAA-6F5F-96A6AB8D6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4"/>
        <a:stretch>
          <a:fillRect/>
        </a:stretch>
      </xdr:blipFill>
      <xdr:spPr>
        <a:xfrm>
          <a:off x="707470" y="1303928447"/>
          <a:ext cx="1221581" cy="621506"/>
        </a:xfrm>
        <a:prstGeom prst="rect">
          <a:avLst/>
        </a:prstGeom>
      </xdr:spPr>
    </xdr:pic>
    <xdr:clientData/>
  </xdr:twoCellAnchor>
  <xdr:twoCellAnchor editAs="oneCell">
    <xdr:from>
      <xdr:col>0</xdr:col>
      <xdr:colOff>861060</xdr:colOff>
      <xdr:row>1495</xdr:row>
      <xdr:rowOff>60206</xdr:rowOff>
    </xdr:from>
    <xdr:to>
      <xdr:col>0</xdr:col>
      <xdr:colOff>1775460</xdr:colOff>
      <xdr:row>1495</xdr:row>
      <xdr:rowOff>838875</xdr:rowOff>
    </xdr:to>
    <xdr:pic>
      <xdr:nvPicPr>
        <xdr:cNvPr id="2991" name="Picture 2990" descr="Insight Picture 2990">
          <a:extLst>
            <a:ext uri="{FF2B5EF4-FFF2-40B4-BE49-F238E27FC236}">
              <a16:creationId xmlns:a16="http://schemas.microsoft.com/office/drawing/2014/main" id="{6FA33B94-C849-CDDF-8586-8978E5C32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5"/>
        <a:stretch>
          <a:fillRect/>
        </a:stretch>
      </xdr:blipFill>
      <xdr:spPr>
        <a:xfrm>
          <a:off x="861060" y="1304672786"/>
          <a:ext cx="914400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664607</xdr:colOff>
      <xdr:row>1496</xdr:row>
      <xdr:rowOff>60265</xdr:rowOff>
    </xdr:from>
    <xdr:to>
      <xdr:col>0</xdr:col>
      <xdr:colOff>1971913</xdr:colOff>
      <xdr:row>1496</xdr:row>
      <xdr:rowOff>1067534</xdr:rowOff>
    </xdr:to>
    <xdr:pic>
      <xdr:nvPicPr>
        <xdr:cNvPr id="2993" name="Picture 2992" descr="Insight Picture 2992">
          <a:extLst>
            <a:ext uri="{FF2B5EF4-FFF2-40B4-BE49-F238E27FC236}">
              <a16:creationId xmlns:a16="http://schemas.microsoft.com/office/drawing/2014/main" id="{34C966AC-D758-DB51-4611-062CB49F7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6"/>
        <a:stretch>
          <a:fillRect/>
        </a:stretch>
      </xdr:blipFill>
      <xdr:spPr>
        <a:xfrm>
          <a:off x="664607" y="1305572005"/>
          <a:ext cx="1307306" cy="1007269"/>
        </a:xfrm>
        <a:prstGeom prst="rect">
          <a:avLst/>
        </a:prstGeom>
      </xdr:spPr>
    </xdr:pic>
    <xdr:clientData/>
  </xdr:twoCellAnchor>
  <xdr:twoCellAnchor editAs="oneCell">
    <xdr:from>
      <xdr:col>0</xdr:col>
      <xdr:colOff>368141</xdr:colOff>
      <xdr:row>1497</xdr:row>
      <xdr:rowOff>63798</xdr:rowOff>
    </xdr:from>
    <xdr:to>
      <xdr:col>0</xdr:col>
      <xdr:colOff>2268379</xdr:colOff>
      <xdr:row>1497</xdr:row>
      <xdr:rowOff>721023</xdr:rowOff>
    </xdr:to>
    <xdr:pic>
      <xdr:nvPicPr>
        <xdr:cNvPr id="2995" name="Picture 2994" descr="Insight Picture 2994">
          <a:extLst>
            <a:ext uri="{FF2B5EF4-FFF2-40B4-BE49-F238E27FC236}">
              <a16:creationId xmlns:a16="http://schemas.microsoft.com/office/drawing/2014/main" id="{1FB24D9E-DC6B-C669-04EC-BAC5DB409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7"/>
        <a:stretch>
          <a:fillRect/>
        </a:stretch>
      </xdr:blipFill>
      <xdr:spPr>
        <a:xfrm>
          <a:off x="368141" y="1306703298"/>
          <a:ext cx="1900238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346710</xdr:colOff>
      <xdr:row>1498</xdr:row>
      <xdr:rowOff>63857</xdr:rowOff>
    </xdr:from>
    <xdr:to>
      <xdr:col>0</xdr:col>
      <xdr:colOff>2289810</xdr:colOff>
      <xdr:row>1498</xdr:row>
      <xdr:rowOff>835382</xdr:rowOff>
    </xdr:to>
    <xdr:pic>
      <xdr:nvPicPr>
        <xdr:cNvPr id="2997" name="Picture 2996" descr="Insight Picture 2996">
          <a:extLst>
            <a:ext uri="{FF2B5EF4-FFF2-40B4-BE49-F238E27FC236}">
              <a16:creationId xmlns:a16="http://schemas.microsoft.com/office/drawing/2014/main" id="{42ACF485-64A4-DE89-0C47-734C61C57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8"/>
        <a:stretch>
          <a:fillRect/>
        </a:stretch>
      </xdr:blipFill>
      <xdr:spPr>
        <a:xfrm>
          <a:off x="346710" y="1307488217"/>
          <a:ext cx="1943100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564595</xdr:colOff>
      <xdr:row>1499</xdr:row>
      <xdr:rowOff>60246</xdr:rowOff>
    </xdr:from>
    <xdr:to>
      <xdr:col>0</xdr:col>
      <xdr:colOff>2071926</xdr:colOff>
      <xdr:row>1499</xdr:row>
      <xdr:rowOff>1067515</xdr:rowOff>
    </xdr:to>
    <xdr:pic>
      <xdr:nvPicPr>
        <xdr:cNvPr id="2999" name="Picture 2998" descr="Insight Picture 2998">
          <a:extLst>
            <a:ext uri="{FF2B5EF4-FFF2-40B4-BE49-F238E27FC236}">
              <a16:creationId xmlns:a16="http://schemas.microsoft.com/office/drawing/2014/main" id="{71E15628-E6C4-1602-52F4-9B582EBA4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9"/>
        <a:stretch>
          <a:fillRect/>
        </a:stretch>
      </xdr:blipFill>
      <xdr:spPr>
        <a:xfrm>
          <a:off x="564595" y="1308383766"/>
          <a:ext cx="1507331" cy="1007269"/>
        </a:xfrm>
        <a:prstGeom prst="rect">
          <a:avLst/>
        </a:prstGeom>
      </xdr:spPr>
    </xdr:pic>
    <xdr:clientData/>
  </xdr:twoCellAnchor>
  <xdr:twoCellAnchor editAs="oneCell">
    <xdr:from>
      <xdr:col>0</xdr:col>
      <xdr:colOff>628888</xdr:colOff>
      <xdr:row>1500</xdr:row>
      <xdr:rowOff>63579</xdr:rowOff>
    </xdr:from>
    <xdr:to>
      <xdr:col>0</xdr:col>
      <xdr:colOff>2007632</xdr:colOff>
      <xdr:row>1500</xdr:row>
      <xdr:rowOff>942260</xdr:rowOff>
    </xdr:to>
    <xdr:pic>
      <xdr:nvPicPr>
        <xdr:cNvPr id="3001" name="Picture 3000" descr="Insight Picture 3000">
          <a:extLst>
            <a:ext uri="{FF2B5EF4-FFF2-40B4-BE49-F238E27FC236}">
              <a16:creationId xmlns:a16="http://schemas.microsoft.com/office/drawing/2014/main" id="{9AC0D9E3-FA2C-3422-2825-9C240E4C9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0"/>
        <a:stretch>
          <a:fillRect/>
        </a:stretch>
      </xdr:blipFill>
      <xdr:spPr>
        <a:xfrm>
          <a:off x="628888" y="1309514859"/>
          <a:ext cx="1378744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436007</xdr:colOff>
      <xdr:row>1501</xdr:row>
      <xdr:rowOff>61932</xdr:rowOff>
    </xdr:from>
    <xdr:to>
      <xdr:col>0</xdr:col>
      <xdr:colOff>2200513</xdr:colOff>
      <xdr:row>1501</xdr:row>
      <xdr:rowOff>776307</xdr:rowOff>
    </xdr:to>
    <xdr:pic>
      <xdr:nvPicPr>
        <xdr:cNvPr id="3003" name="Picture 3002" descr="Insight Picture 3002">
          <a:extLst>
            <a:ext uri="{FF2B5EF4-FFF2-40B4-BE49-F238E27FC236}">
              <a16:creationId xmlns:a16="http://schemas.microsoft.com/office/drawing/2014/main" id="{7D614EE4-9EC0-8D50-AD3C-7950FFD9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1"/>
        <a:stretch>
          <a:fillRect/>
        </a:stretch>
      </xdr:blipFill>
      <xdr:spPr>
        <a:xfrm>
          <a:off x="436007" y="1310519052"/>
          <a:ext cx="1764506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814625</xdr:colOff>
      <xdr:row>1502</xdr:row>
      <xdr:rowOff>61238</xdr:rowOff>
    </xdr:from>
    <xdr:to>
      <xdr:col>0</xdr:col>
      <xdr:colOff>1821894</xdr:colOff>
      <xdr:row>1502</xdr:row>
      <xdr:rowOff>639882</xdr:rowOff>
    </xdr:to>
    <xdr:pic>
      <xdr:nvPicPr>
        <xdr:cNvPr id="3005" name="Picture 3004" descr="Insight Picture 3004">
          <a:extLst>
            <a:ext uri="{FF2B5EF4-FFF2-40B4-BE49-F238E27FC236}">
              <a16:creationId xmlns:a16="http://schemas.microsoft.com/office/drawing/2014/main" id="{7E0F40FE-0B5C-82C9-7A31-9A66E99F7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2"/>
        <a:stretch>
          <a:fillRect/>
        </a:stretch>
      </xdr:blipFill>
      <xdr:spPr>
        <a:xfrm>
          <a:off x="814625" y="1311356558"/>
          <a:ext cx="1007269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814625</xdr:colOff>
      <xdr:row>1503</xdr:row>
      <xdr:rowOff>60980</xdr:rowOff>
    </xdr:from>
    <xdr:to>
      <xdr:col>0</xdr:col>
      <xdr:colOff>1821894</xdr:colOff>
      <xdr:row>1503</xdr:row>
      <xdr:rowOff>746780</xdr:rowOff>
    </xdr:to>
    <xdr:pic>
      <xdr:nvPicPr>
        <xdr:cNvPr id="3007" name="Picture 3006" descr="Insight Picture 3006">
          <a:extLst>
            <a:ext uri="{FF2B5EF4-FFF2-40B4-BE49-F238E27FC236}">
              <a16:creationId xmlns:a16="http://schemas.microsoft.com/office/drawing/2014/main" id="{DCA287C8-AAE0-6E69-D9A5-DD0C97562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3"/>
        <a:stretch>
          <a:fillRect/>
        </a:stretch>
      </xdr:blipFill>
      <xdr:spPr>
        <a:xfrm>
          <a:off x="814625" y="1312057340"/>
          <a:ext cx="1007269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775335</xdr:colOff>
      <xdr:row>1504</xdr:row>
      <xdr:rowOff>62389</xdr:rowOff>
    </xdr:from>
    <xdr:to>
      <xdr:col>0</xdr:col>
      <xdr:colOff>1861185</xdr:colOff>
      <xdr:row>1504</xdr:row>
      <xdr:rowOff>1019652</xdr:rowOff>
    </xdr:to>
    <xdr:pic>
      <xdr:nvPicPr>
        <xdr:cNvPr id="3009" name="Picture 3008" descr="Insight Picture 3008">
          <a:extLst>
            <a:ext uri="{FF2B5EF4-FFF2-40B4-BE49-F238E27FC236}">
              <a16:creationId xmlns:a16="http://schemas.microsoft.com/office/drawing/2014/main" id="{DFA502B8-81B5-030C-F64E-292094B26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4"/>
        <a:stretch>
          <a:fillRect/>
        </a:stretch>
      </xdr:blipFill>
      <xdr:spPr>
        <a:xfrm>
          <a:off x="775335" y="1312866469"/>
          <a:ext cx="1085850" cy="957263"/>
        </a:xfrm>
        <a:prstGeom prst="rect">
          <a:avLst/>
        </a:prstGeom>
      </xdr:spPr>
    </xdr:pic>
    <xdr:clientData/>
  </xdr:twoCellAnchor>
  <xdr:twoCellAnchor editAs="oneCell">
    <xdr:from>
      <xdr:col>0</xdr:col>
      <xdr:colOff>746760</xdr:colOff>
      <xdr:row>1505</xdr:row>
      <xdr:rowOff>61238</xdr:rowOff>
    </xdr:from>
    <xdr:to>
      <xdr:col>0</xdr:col>
      <xdr:colOff>1889760</xdr:colOff>
      <xdr:row>1505</xdr:row>
      <xdr:rowOff>982782</xdr:rowOff>
    </xdr:to>
    <xdr:pic>
      <xdr:nvPicPr>
        <xdr:cNvPr id="3011" name="Picture 3010" descr="Insight Picture 3010">
          <a:extLst>
            <a:ext uri="{FF2B5EF4-FFF2-40B4-BE49-F238E27FC236}">
              <a16:creationId xmlns:a16="http://schemas.microsoft.com/office/drawing/2014/main" id="{19957A9C-BC47-093E-2599-C5EED1EB9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5"/>
        <a:stretch>
          <a:fillRect/>
        </a:stretch>
      </xdr:blipFill>
      <xdr:spPr>
        <a:xfrm>
          <a:off x="746760" y="1313947358"/>
          <a:ext cx="1143000" cy="921544"/>
        </a:xfrm>
        <a:prstGeom prst="rect">
          <a:avLst/>
        </a:prstGeom>
      </xdr:spPr>
    </xdr:pic>
    <xdr:clientData/>
  </xdr:twoCellAnchor>
  <xdr:twoCellAnchor editAs="oneCell">
    <xdr:from>
      <xdr:col>0</xdr:col>
      <xdr:colOff>650320</xdr:colOff>
      <xdr:row>1506</xdr:row>
      <xdr:rowOff>61178</xdr:rowOff>
    </xdr:from>
    <xdr:to>
      <xdr:col>0</xdr:col>
      <xdr:colOff>1986201</xdr:colOff>
      <xdr:row>1506</xdr:row>
      <xdr:rowOff>639822</xdr:rowOff>
    </xdr:to>
    <xdr:pic>
      <xdr:nvPicPr>
        <xdr:cNvPr id="3013" name="Picture 3012" descr="Insight Picture 3012">
          <a:extLst>
            <a:ext uri="{FF2B5EF4-FFF2-40B4-BE49-F238E27FC236}">
              <a16:creationId xmlns:a16="http://schemas.microsoft.com/office/drawing/2014/main" id="{122A1ED7-4A84-A0F6-D590-523F7936C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6"/>
        <a:stretch>
          <a:fillRect/>
        </a:stretch>
      </xdr:blipFill>
      <xdr:spPr>
        <a:xfrm>
          <a:off x="650320" y="1314991238"/>
          <a:ext cx="1335881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871775</xdr:colOff>
      <xdr:row>1507</xdr:row>
      <xdr:rowOff>63103</xdr:rowOff>
    </xdr:from>
    <xdr:to>
      <xdr:col>0</xdr:col>
      <xdr:colOff>1764744</xdr:colOff>
      <xdr:row>1507</xdr:row>
      <xdr:rowOff>1041797</xdr:rowOff>
    </xdr:to>
    <xdr:pic>
      <xdr:nvPicPr>
        <xdr:cNvPr id="3015" name="Picture 3014" descr="Insight Picture 3014">
          <a:extLst>
            <a:ext uri="{FF2B5EF4-FFF2-40B4-BE49-F238E27FC236}">
              <a16:creationId xmlns:a16="http://schemas.microsoft.com/office/drawing/2014/main" id="{5E69D3BA-09B5-229C-9FB9-ACFE0A128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7"/>
        <a:stretch>
          <a:fillRect/>
        </a:stretch>
      </xdr:blipFill>
      <xdr:spPr>
        <a:xfrm>
          <a:off x="871775" y="1315694203"/>
          <a:ext cx="892969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846773</xdr:colOff>
      <xdr:row>1508</xdr:row>
      <xdr:rowOff>61218</xdr:rowOff>
    </xdr:from>
    <xdr:to>
      <xdr:col>0</xdr:col>
      <xdr:colOff>1789748</xdr:colOff>
      <xdr:row>1508</xdr:row>
      <xdr:rowOff>1097062</xdr:rowOff>
    </xdr:to>
    <xdr:pic>
      <xdr:nvPicPr>
        <xdr:cNvPr id="3017" name="Picture 3016" descr="Insight Picture 3016">
          <a:extLst>
            <a:ext uri="{FF2B5EF4-FFF2-40B4-BE49-F238E27FC236}">
              <a16:creationId xmlns:a16="http://schemas.microsoft.com/office/drawing/2014/main" id="{F4EDEA8C-BF03-3FE3-D267-09EB4C8F6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8"/>
        <a:stretch>
          <a:fillRect/>
        </a:stretch>
      </xdr:blipFill>
      <xdr:spPr>
        <a:xfrm>
          <a:off x="846773" y="1316797218"/>
          <a:ext cx="942975" cy="1035844"/>
        </a:xfrm>
        <a:prstGeom prst="rect">
          <a:avLst/>
        </a:prstGeom>
      </xdr:spPr>
    </xdr:pic>
    <xdr:clientData/>
  </xdr:twoCellAnchor>
  <xdr:twoCellAnchor editAs="oneCell">
    <xdr:from>
      <xdr:col>0</xdr:col>
      <xdr:colOff>682466</xdr:colOff>
      <xdr:row>1509</xdr:row>
      <xdr:rowOff>60762</xdr:rowOff>
    </xdr:from>
    <xdr:to>
      <xdr:col>0</xdr:col>
      <xdr:colOff>1954054</xdr:colOff>
      <xdr:row>1509</xdr:row>
      <xdr:rowOff>853718</xdr:rowOff>
    </xdr:to>
    <xdr:pic>
      <xdr:nvPicPr>
        <xdr:cNvPr id="3019" name="Picture 3018" descr="Insight Picture 3018">
          <a:extLst>
            <a:ext uri="{FF2B5EF4-FFF2-40B4-BE49-F238E27FC236}">
              <a16:creationId xmlns:a16="http://schemas.microsoft.com/office/drawing/2014/main" id="{A8DB4B18-E16B-8191-1D8B-DD89C64CC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9"/>
        <a:stretch>
          <a:fillRect/>
        </a:stretch>
      </xdr:blipFill>
      <xdr:spPr>
        <a:xfrm>
          <a:off x="682466" y="1317955002"/>
          <a:ext cx="1271588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807482</xdr:colOff>
      <xdr:row>1510</xdr:row>
      <xdr:rowOff>60762</xdr:rowOff>
    </xdr:from>
    <xdr:to>
      <xdr:col>0</xdr:col>
      <xdr:colOff>1829038</xdr:colOff>
      <xdr:row>1510</xdr:row>
      <xdr:rowOff>739418</xdr:rowOff>
    </xdr:to>
    <xdr:pic>
      <xdr:nvPicPr>
        <xdr:cNvPr id="3021" name="Picture 3020" descr="Insight Picture 3020">
          <a:extLst>
            <a:ext uri="{FF2B5EF4-FFF2-40B4-BE49-F238E27FC236}">
              <a16:creationId xmlns:a16="http://schemas.microsoft.com/office/drawing/2014/main" id="{5110C9E4-82EA-7EC1-75AF-5AA294B7C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0"/>
        <a:stretch>
          <a:fillRect/>
        </a:stretch>
      </xdr:blipFill>
      <xdr:spPr>
        <a:xfrm>
          <a:off x="807482" y="1318869402"/>
          <a:ext cx="1021556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675322</xdr:colOff>
      <xdr:row>1511</xdr:row>
      <xdr:rowOff>62151</xdr:rowOff>
    </xdr:from>
    <xdr:to>
      <xdr:col>0</xdr:col>
      <xdr:colOff>1961197</xdr:colOff>
      <xdr:row>1511</xdr:row>
      <xdr:rowOff>783670</xdr:rowOff>
    </xdr:to>
    <xdr:pic>
      <xdr:nvPicPr>
        <xdr:cNvPr id="3023" name="Picture 3022" descr="Insight Picture 3022">
          <a:extLst>
            <a:ext uri="{FF2B5EF4-FFF2-40B4-BE49-F238E27FC236}">
              <a16:creationId xmlns:a16="http://schemas.microsoft.com/office/drawing/2014/main" id="{3DBD5944-5F24-5873-0074-199C9BD00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1"/>
        <a:stretch>
          <a:fillRect/>
        </a:stretch>
      </xdr:blipFill>
      <xdr:spPr>
        <a:xfrm>
          <a:off x="675322" y="1319670891"/>
          <a:ext cx="1285875" cy="721519"/>
        </a:xfrm>
        <a:prstGeom prst="rect">
          <a:avLst/>
        </a:prstGeom>
      </xdr:spPr>
    </xdr:pic>
    <xdr:clientData/>
  </xdr:twoCellAnchor>
  <xdr:twoCellAnchor editAs="oneCell">
    <xdr:from>
      <xdr:col>0</xdr:col>
      <xdr:colOff>682466</xdr:colOff>
      <xdr:row>1512</xdr:row>
      <xdr:rowOff>63063</xdr:rowOff>
    </xdr:from>
    <xdr:to>
      <xdr:col>0</xdr:col>
      <xdr:colOff>1954054</xdr:colOff>
      <xdr:row>1512</xdr:row>
      <xdr:rowOff>813157</xdr:rowOff>
    </xdr:to>
    <xdr:pic>
      <xdr:nvPicPr>
        <xdr:cNvPr id="3025" name="Picture 3024" descr="Insight Picture 3024">
          <a:extLst>
            <a:ext uri="{FF2B5EF4-FFF2-40B4-BE49-F238E27FC236}">
              <a16:creationId xmlns:a16="http://schemas.microsoft.com/office/drawing/2014/main" id="{22592D21-D411-B241-C33F-DD0269B7C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2"/>
        <a:stretch>
          <a:fillRect/>
        </a:stretch>
      </xdr:blipFill>
      <xdr:spPr>
        <a:xfrm>
          <a:off x="682466" y="1320517623"/>
          <a:ext cx="1271588" cy="750094"/>
        </a:xfrm>
        <a:prstGeom prst="rect">
          <a:avLst/>
        </a:prstGeom>
      </xdr:spPr>
    </xdr:pic>
    <xdr:clientData/>
  </xdr:twoCellAnchor>
  <xdr:twoCellAnchor editAs="oneCell">
    <xdr:from>
      <xdr:col>0</xdr:col>
      <xdr:colOff>636032</xdr:colOff>
      <xdr:row>1513</xdr:row>
      <xdr:rowOff>62170</xdr:rowOff>
    </xdr:from>
    <xdr:to>
      <xdr:col>0</xdr:col>
      <xdr:colOff>2000488</xdr:colOff>
      <xdr:row>1513</xdr:row>
      <xdr:rowOff>783689</xdr:rowOff>
    </xdr:to>
    <xdr:pic>
      <xdr:nvPicPr>
        <xdr:cNvPr id="3027" name="Picture 3026" descr="Insight Picture 3026">
          <a:extLst>
            <a:ext uri="{FF2B5EF4-FFF2-40B4-BE49-F238E27FC236}">
              <a16:creationId xmlns:a16="http://schemas.microsoft.com/office/drawing/2014/main" id="{44856C6E-C0D0-39B9-A785-93428BA6F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3"/>
        <a:stretch>
          <a:fillRect/>
        </a:stretch>
      </xdr:blipFill>
      <xdr:spPr>
        <a:xfrm>
          <a:off x="636032" y="1321393030"/>
          <a:ext cx="1364456" cy="721519"/>
        </a:xfrm>
        <a:prstGeom prst="rect">
          <a:avLst/>
        </a:prstGeom>
      </xdr:spPr>
    </xdr:pic>
    <xdr:clientData/>
  </xdr:twoCellAnchor>
  <xdr:twoCellAnchor editAs="oneCell">
    <xdr:from>
      <xdr:col>0</xdr:col>
      <xdr:colOff>871775</xdr:colOff>
      <xdr:row>1514</xdr:row>
      <xdr:rowOff>61694</xdr:rowOff>
    </xdr:from>
    <xdr:to>
      <xdr:col>0</xdr:col>
      <xdr:colOff>1764744</xdr:colOff>
      <xdr:row>1514</xdr:row>
      <xdr:rowOff>883225</xdr:rowOff>
    </xdr:to>
    <xdr:pic>
      <xdr:nvPicPr>
        <xdr:cNvPr id="3029" name="Picture 3028" descr="Insight Picture 3028">
          <a:extLst>
            <a:ext uri="{FF2B5EF4-FFF2-40B4-BE49-F238E27FC236}">
              <a16:creationId xmlns:a16="http://schemas.microsoft.com/office/drawing/2014/main" id="{A1151C61-F018-626C-4161-2AA77D5DF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4"/>
        <a:stretch>
          <a:fillRect/>
        </a:stretch>
      </xdr:blipFill>
      <xdr:spPr>
        <a:xfrm>
          <a:off x="871775" y="1322238374"/>
          <a:ext cx="892969" cy="821531"/>
        </a:xfrm>
        <a:prstGeom prst="rect">
          <a:avLst/>
        </a:prstGeom>
      </xdr:spPr>
    </xdr:pic>
    <xdr:clientData/>
  </xdr:twoCellAnchor>
  <xdr:twoCellAnchor editAs="oneCell">
    <xdr:from>
      <xdr:col>0</xdr:col>
      <xdr:colOff>675322</xdr:colOff>
      <xdr:row>1515</xdr:row>
      <xdr:rowOff>62170</xdr:rowOff>
    </xdr:from>
    <xdr:to>
      <xdr:col>0</xdr:col>
      <xdr:colOff>1961197</xdr:colOff>
      <xdr:row>1515</xdr:row>
      <xdr:rowOff>783689</xdr:rowOff>
    </xdr:to>
    <xdr:pic>
      <xdr:nvPicPr>
        <xdr:cNvPr id="3031" name="Picture 3030" descr="Insight Picture 3030">
          <a:extLst>
            <a:ext uri="{FF2B5EF4-FFF2-40B4-BE49-F238E27FC236}">
              <a16:creationId xmlns:a16="http://schemas.microsoft.com/office/drawing/2014/main" id="{7CBAA078-9500-1CC4-EC3A-D4968BE34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5"/>
        <a:stretch>
          <a:fillRect/>
        </a:stretch>
      </xdr:blipFill>
      <xdr:spPr>
        <a:xfrm>
          <a:off x="675322" y="1323183730"/>
          <a:ext cx="1285875" cy="721519"/>
        </a:xfrm>
        <a:prstGeom prst="rect">
          <a:avLst/>
        </a:prstGeom>
      </xdr:spPr>
    </xdr:pic>
    <xdr:clientData/>
  </xdr:twoCellAnchor>
  <xdr:twoCellAnchor editAs="oneCell">
    <xdr:from>
      <xdr:col>0</xdr:col>
      <xdr:colOff>675322</xdr:colOff>
      <xdr:row>1516</xdr:row>
      <xdr:rowOff>60702</xdr:rowOff>
    </xdr:from>
    <xdr:to>
      <xdr:col>0</xdr:col>
      <xdr:colOff>1961197</xdr:colOff>
      <xdr:row>1516</xdr:row>
      <xdr:rowOff>739358</xdr:rowOff>
    </xdr:to>
    <xdr:pic>
      <xdr:nvPicPr>
        <xdr:cNvPr id="3033" name="Picture 3032" descr="Insight Picture 3032">
          <a:extLst>
            <a:ext uri="{FF2B5EF4-FFF2-40B4-BE49-F238E27FC236}">
              <a16:creationId xmlns:a16="http://schemas.microsoft.com/office/drawing/2014/main" id="{B0B89119-BC4A-6034-F4A3-79E5B8B46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6"/>
        <a:stretch>
          <a:fillRect/>
        </a:stretch>
      </xdr:blipFill>
      <xdr:spPr>
        <a:xfrm>
          <a:off x="675322" y="1324028082"/>
          <a:ext cx="1285875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721757</xdr:colOff>
      <xdr:row>1517</xdr:row>
      <xdr:rowOff>60702</xdr:rowOff>
    </xdr:from>
    <xdr:to>
      <xdr:col>0</xdr:col>
      <xdr:colOff>1914763</xdr:colOff>
      <xdr:row>1517</xdr:row>
      <xdr:rowOff>739358</xdr:rowOff>
    </xdr:to>
    <xdr:pic>
      <xdr:nvPicPr>
        <xdr:cNvPr id="3035" name="Picture 3034" descr="Insight Picture 3034">
          <a:extLst>
            <a:ext uri="{FF2B5EF4-FFF2-40B4-BE49-F238E27FC236}">
              <a16:creationId xmlns:a16="http://schemas.microsoft.com/office/drawing/2014/main" id="{DD35DA14-019C-90C5-DD31-05FBE6371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7"/>
        <a:stretch>
          <a:fillRect/>
        </a:stretch>
      </xdr:blipFill>
      <xdr:spPr>
        <a:xfrm>
          <a:off x="721757" y="1324828182"/>
          <a:ext cx="1193006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675322</xdr:colOff>
      <xdr:row>1518</xdr:row>
      <xdr:rowOff>63381</xdr:rowOff>
    </xdr:from>
    <xdr:to>
      <xdr:col>0</xdr:col>
      <xdr:colOff>1961197</xdr:colOff>
      <xdr:row>1518</xdr:row>
      <xdr:rowOff>1163519</xdr:rowOff>
    </xdr:to>
    <xdr:pic>
      <xdr:nvPicPr>
        <xdr:cNvPr id="3037" name="Picture 3036" descr="Insight Picture 3036">
          <a:extLst>
            <a:ext uri="{FF2B5EF4-FFF2-40B4-BE49-F238E27FC236}">
              <a16:creationId xmlns:a16="http://schemas.microsoft.com/office/drawing/2014/main" id="{875A284A-5F39-456F-6F26-DDF999548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8"/>
        <a:stretch>
          <a:fillRect/>
        </a:stretch>
      </xdr:blipFill>
      <xdr:spPr>
        <a:xfrm>
          <a:off x="675322" y="1325630961"/>
          <a:ext cx="1285875" cy="1100138"/>
        </a:xfrm>
        <a:prstGeom prst="rect">
          <a:avLst/>
        </a:prstGeom>
      </xdr:spPr>
    </xdr:pic>
    <xdr:clientData/>
  </xdr:twoCellAnchor>
  <xdr:twoCellAnchor editAs="oneCell">
    <xdr:from>
      <xdr:col>0</xdr:col>
      <xdr:colOff>607457</xdr:colOff>
      <xdr:row>1519</xdr:row>
      <xdr:rowOff>63302</xdr:rowOff>
    </xdr:from>
    <xdr:to>
      <xdr:col>0</xdr:col>
      <xdr:colOff>2029063</xdr:colOff>
      <xdr:row>1519</xdr:row>
      <xdr:rowOff>1163440</xdr:rowOff>
    </xdr:to>
    <xdr:pic>
      <xdr:nvPicPr>
        <xdr:cNvPr id="3039" name="Picture 3038" descr="Insight Picture 3038">
          <a:extLst>
            <a:ext uri="{FF2B5EF4-FFF2-40B4-BE49-F238E27FC236}">
              <a16:creationId xmlns:a16="http://schemas.microsoft.com/office/drawing/2014/main" id="{1F3520B6-D104-41D8-89AA-C23645A27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9"/>
        <a:stretch>
          <a:fillRect/>
        </a:stretch>
      </xdr:blipFill>
      <xdr:spPr>
        <a:xfrm>
          <a:off x="607457" y="1326857702"/>
          <a:ext cx="1421606" cy="1100138"/>
        </a:xfrm>
        <a:prstGeom prst="rect">
          <a:avLst/>
        </a:prstGeom>
      </xdr:spPr>
    </xdr:pic>
    <xdr:clientData/>
  </xdr:twoCellAnchor>
  <xdr:twoCellAnchor editAs="oneCell">
    <xdr:from>
      <xdr:col>0</xdr:col>
      <xdr:colOff>696753</xdr:colOff>
      <xdr:row>1520</xdr:row>
      <xdr:rowOff>63321</xdr:rowOff>
    </xdr:from>
    <xdr:to>
      <xdr:col>0</xdr:col>
      <xdr:colOff>1939766</xdr:colOff>
      <xdr:row>1520</xdr:row>
      <xdr:rowOff>1163459</xdr:rowOff>
    </xdr:to>
    <xdr:pic>
      <xdr:nvPicPr>
        <xdr:cNvPr id="3041" name="Picture 3040" descr="Insight Picture 3040">
          <a:extLst>
            <a:ext uri="{FF2B5EF4-FFF2-40B4-BE49-F238E27FC236}">
              <a16:creationId xmlns:a16="http://schemas.microsoft.com/office/drawing/2014/main" id="{041308A9-EE8B-D35B-33C5-9B46DC9A8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0"/>
        <a:stretch>
          <a:fillRect/>
        </a:stretch>
      </xdr:blipFill>
      <xdr:spPr>
        <a:xfrm>
          <a:off x="696753" y="1328084541"/>
          <a:ext cx="1243013" cy="1100138"/>
        </a:xfrm>
        <a:prstGeom prst="rect">
          <a:avLst/>
        </a:prstGeom>
      </xdr:spPr>
    </xdr:pic>
    <xdr:clientData/>
  </xdr:twoCellAnchor>
  <xdr:twoCellAnchor editAs="oneCell">
    <xdr:from>
      <xdr:col>0</xdr:col>
      <xdr:colOff>593170</xdr:colOff>
      <xdr:row>1521</xdr:row>
      <xdr:rowOff>63341</xdr:rowOff>
    </xdr:from>
    <xdr:to>
      <xdr:col>0</xdr:col>
      <xdr:colOff>2043351</xdr:colOff>
      <xdr:row>1521</xdr:row>
      <xdr:rowOff>1163479</xdr:rowOff>
    </xdr:to>
    <xdr:pic>
      <xdr:nvPicPr>
        <xdr:cNvPr id="3043" name="Picture 3042" descr="Insight Picture 3042">
          <a:extLst>
            <a:ext uri="{FF2B5EF4-FFF2-40B4-BE49-F238E27FC236}">
              <a16:creationId xmlns:a16="http://schemas.microsoft.com/office/drawing/2014/main" id="{DBDAE395-756C-ED63-66BB-61A9C33E1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1"/>
        <a:stretch>
          <a:fillRect/>
        </a:stretch>
      </xdr:blipFill>
      <xdr:spPr>
        <a:xfrm>
          <a:off x="593170" y="1329311381"/>
          <a:ext cx="1450181" cy="1100138"/>
        </a:xfrm>
        <a:prstGeom prst="rect">
          <a:avLst/>
        </a:prstGeom>
      </xdr:spPr>
    </xdr:pic>
    <xdr:clientData/>
  </xdr:twoCellAnchor>
  <xdr:twoCellAnchor editAs="oneCell">
    <xdr:from>
      <xdr:col>0</xdr:col>
      <xdr:colOff>628888</xdr:colOff>
      <xdr:row>1522</xdr:row>
      <xdr:rowOff>63063</xdr:rowOff>
    </xdr:from>
    <xdr:to>
      <xdr:col>0</xdr:col>
      <xdr:colOff>2007632</xdr:colOff>
      <xdr:row>1522</xdr:row>
      <xdr:rowOff>813157</xdr:rowOff>
    </xdr:to>
    <xdr:pic>
      <xdr:nvPicPr>
        <xdr:cNvPr id="3045" name="Picture 3044" descr="Insight Picture 3044">
          <a:extLst>
            <a:ext uri="{FF2B5EF4-FFF2-40B4-BE49-F238E27FC236}">
              <a16:creationId xmlns:a16="http://schemas.microsoft.com/office/drawing/2014/main" id="{45A7DB17-CC45-1C1A-D37B-BC3697D96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2"/>
        <a:stretch>
          <a:fillRect/>
        </a:stretch>
      </xdr:blipFill>
      <xdr:spPr>
        <a:xfrm>
          <a:off x="628888" y="1330537923"/>
          <a:ext cx="1378744" cy="750094"/>
        </a:xfrm>
        <a:prstGeom prst="rect">
          <a:avLst/>
        </a:prstGeom>
      </xdr:spPr>
    </xdr:pic>
    <xdr:clientData/>
  </xdr:twoCellAnchor>
  <xdr:twoCellAnchor editAs="oneCell">
    <xdr:from>
      <xdr:col>0</xdr:col>
      <xdr:colOff>628888</xdr:colOff>
      <xdr:row>1523</xdr:row>
      <xdr:rowOff>63063</xdr:rowOff>
    </xdr:from>
    <xdr:to>
      <xdr:col>0</xdr:col>
      <xdr:colOff>2007632</xdr:colOff>
      <xdr:row>1523</xdr:row>
      <xdr:rowOff>813157</xdr:rowOff>
    </xdr:to>
    <xdr:pic>
      <xdr:nvPicPr>
        <xdr:cNvPr id="3047" name="Picture 3046" descr="Insight Picture 3046">
          <a:extLst>
            <a:ext uri="{FF2B5EF4-FFF2-40B4-BE49-F238E27FC236}">
              <a16:creationId xmlns:a16="http://schemas.microsoft.com/office/drawing/2014/main" id="{ABD77499-645D-B796-3C2A-C5795E1DF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3"/>
        <a:stretch>
          <a:fillRect/>
        </a:stretch>
      </xdr:blipFill>
      <xdr:spPr>
        <a:xfrm>
          <a:off x="628888" y="1331414223"/>
          <a:ext cx="1378744" cy="750094"/>
        </a:xfrm>
        <a:prstGeom prst="rect">
          <a:avLst/>
        </a:prstGeom>
      </xdr:spPr>
    </xdr:pic>
    <xdr:clientData/>
  </xdr:twoCellAnchor>
  <xdr:twoCellAnchor editAs="oneCell">
    <xdr:from>
      <xdr:col>0</xdr:col>
      <xdr:colOff>807482</xdr:colOff>
      <xdr:row>1524</xdr:row>
      <xdr:rowOff>62170</xdr:rowOff>
    </xdr:from>
    <xdr:to>
      <xdr:col>0</xdr:col>
      <xdr:colOff>1829038</xdr:colOff>
      <xdr:row>1524</xdr:row>
      <xdr:rowOff>783689</xdr:rowOff>
    </xdr:to>
    <xdr:pic>
      <xdr:nvPicPr>
        <xdr:cNvPr id="3049" name="Picture 3048" descr="Insight Picture 3048">
          <a:extLst>
            <a:ext uri="{FF2B5EF4-FFF2-40B4-BE49-F238E27FC236}">
              <a16:creationId xmlns:a16="http://schemas.microsoft.com/office/drawing/2014/main" id="{40122DB2-C5F8-D0C4-E675-5B547BAAA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4"/>
        <a:stretch>
          <a:fillRect/>
        </a:stretch>
      </xdr:blipFill>
      <xdr:spPr>
        <a:xfrm>
          <a:off x="807482" y="1332289630"/>
          <a:ext cx="1021556" cy="721519"/>
        </a:xfrm>
        <a:prstGeom prst="rect">
          <a:avLst/>
        </a:prstGeom>
      </xdr:spPr>
    </xdr:pic>
    <xdr:clientData/>
  </xdr:twoCellAnchor>
  <xdr:twoCellAnchor editAs="oneCell">
    <xdr:from>
      <xdr:col>0</xdr:col>
      <xdr:colOff>525303</xdr:colOff>
      <xdr:row>1525</xdr:row>
      <xdr:rowOff>63083</xdr:rowOff>
    </xdr:from>
    <xdr:to>
      <xdr:col>0</xdr:col>
      <xdr:colOff>2111216</xdr:colOff>
      <xdr:row>1525</xdr:row>
      <xdr:rowOff>813177</xdr:rowOff>
    </xdr:to>
    <xdr:pic>
      <xdr:nvPicPr>
        <xdr:cNvPr id="3051" name="Picture 3050" descr="Insight Picture 3050">
          <a:extLst>
            <a:ext uri="{FF2B5EF4-FFF2-40B4-BE49-F238E27FC236}">
              <a16:creationId xmlns:a16="http://schemas.microsoft.com/office/drawing/2014/main" id="{10264313-59B9-43AE-5759-5C209746C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5"/>
        <a:stretch>
          <a:fillRect/>
        </a:stretch>
      </xdr:blipFill>
      <xdr:spPr>
        <a:xfrm>
          <a:off x="525303" y="1333136363"/>
          <a:ext cx="1585913" cy="750094"/>
        </a:xfrm>
        <a:prstGeom prst="rect">
          <a:avLst/>
        </a:prstGeom>
      </xdr:spPr>
    </xdr:pic>
    <xdr:clientData/>
  </xdr:twoCellAnchor>
  <xdr:twoCellAnchor editAs="oneCell">
    <xdr:from>
      <xdr:col>0</xdr:col>
      <xdr:colOff>700325</xdr:colOff>
      <xdr:row>1526</xdr:row>
      <xdr:rowOff>62190</xdr:rowOff>
    </xdr:from>
    <xdr:to>
      <xdr:col>0</xdr:col>
      <xdr:colOff>1936194</xdr:colOff>
      <xdr:row>1526</xdr:row>
      <xdr:rowOff>783709</xdr:rowOff>
    </xdr:to>
    <xdr:pic>
      <xdr:nvPicPr>
        <xdr:cNvPr id="3053" name="Picture 3052" descr="Insight Picture 3052">
          <a:extLst>
            <a:ext uri="{FF2B5EF4-FFF2-40B4-BE49-F238E27FC236}">
              <a16:creationId xmlns:a16="http://schemas.microsoft.com/office/drawing/2014/main" id="{18422B4A-E4F6-FF8C-E058-E6610A3CA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6"/>
        <a:stretch>
          <a:fillRect/>
        </a:stretch>
      </xdr:blipFill>
      <xdr:spPr>
        <a:xfrm>
          <a:off x="700325" y="1334011770"/>
          <a:ext cx="1235869" cy="721519"/>
        </a:xfrm>
        <a:prstGeom prst="rect">
          <a:avLst/>
        </a:prstGeom>
      </xdr:spPr>
    </xdr:pic>
    <xdr:clientData/>
  </xdr:twoCellAnchor>
  <xdr:twoCellAnchor editAs="oneCell">
    <xdr:from>
      <xdr:col>0</xdr:col>
      <xdr:colOff>900350</xdr:colOff>
      <xdr:row>1527</xdr:row>
      <xdr:rowOff>62409</xdr:rowOff>
    </xdr:from>
    <xdr:to>
      <xdr:col>0</xdr:col>
      <xdr:colOff>1736169</xdr:colOff>
      <xdr:row>1527</xdr:row>
      <xdr:rowOff>905372</xdr:rowOff>
    </xdr:to>
    <xdr:pic>
      <xdr:nvPicPr>
        <xdr:cNvPr id="3055" name="Picture 3054" descr="Insight Picture 3054">
          <a:extLst>
            <a:ext uri="{FF2B5EF4-FFF2-40B4-BE49-F238E27FC236}">
              <a16:creationId xmlns:a16="http://schemas.microsoft.com/office/drawing/2014/main" id="{A9C1DF30-41AC-9268-8457-0B3778922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7"/>
        <a:stretch>
          <a:fillRect/>
        </a:stretch>
      </xdr:blipFill>
      <xdr:spPr>
        <a:xfrm>
          <a:off x="900350" y="1334857809"/>
          <a:ext cx="835819" cy="842963"/>
        </a:xfrm>
        <a:prstGeom prst="rect">
          <a:avLst/>
        </a:prstGeom>
      </xdr:spPr>
    </xdr:pic>
    <xdr:clientData/>
  </xdr:twoCellAnchor>
  <xdr:twoCellAnchor editAs="oneCell">
    <xdr:from>
      <xdr:col>0</xdr:col>
      <xdr:colOff>771763</xdr:colOff>
      <xdr:row>1528</xdr:row>
      <xdr:rowOff>63540</xdr:rowOff>
    </xdr:from>
    <xdr:to>
      <xdr:col>0</xdr:col>
      <xdr:colOff>1864757</xdr:colOff>
      <xdr:row>1528</xdr:row>
      <xdr:rowOff>942221</xdr:rowOff>
    </xdr:to>
    <xdr:pic>
      <xdr:nvPicPr>
        <xdr:cNvPr id="3057" name="Picture 3056" descr="Insight Picture 3056">
          <a:extLst>
            <a:ext uri="{FF2B5EF4-FFF2-40B4-BE49-F238E27FC236}">
              <a16:creationId xmlns:a16="http://schemas.microsoft.com/office/drawing/2014/main" id="{DE4C5CA2-5D82-2B34-57A6-67CCC6BA7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8"/>
        <a:stretch>
          <a:fillRect/>
        </a:stretch>
      </xdr:blipFill>
      <xdr:spPr>
        <a:xfrm>
          <a:off x="771763" y="1335826680"/>
          <a:ext cx="1092994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721757</xdr:colOff>
      <xdr:row>1529</xdr:row>
      <xdr:rowOff>60702</xdr:rowOff>
    </xdr:from>
    <xdr:to>
      <xdr:col>0</xdr:col>
      <xdr:colOff>1914763</xdr:colOff>
      <xdr:row>1529</xdr:row>
      <xdr:rowOff>739358</xdr:rowOff>
    </xdr:to>
    <xdr:pic>
      <xdr:nvPicPr>
        <xdr:cNvPr id="3059" name="Picture 3058" descr="Insight Picture 3058">
          <a:extLst>
            <a:ext uri="{FF2B5EF4-FFF2-40B4-BE49-F238E27FC236}">
              <a16:creationId xmlns:a16="http://schemas.microsoft.com/office/drawing/2014/main" id="{7FBA61F1-8E72-BE84-49AE-19AF9F3C1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9"/>
        <a:stretch>
          <a:fillRect/>
        </a:stretch>
      </xdr:blipFill>
      <xdr:spPr>
        <a:xfrm>
          <a:off x="721757" y="1336829682"/>
          <a:ext cx="1193006" cy="678656"/>
        </a:xfrm>
        <a:prstGeom prst="rect">
          <a:avLst/>
        </a:prstGeom>
      </xdr:spPr>
    </xdr:pic>
    <xdr:clientData/>
  </xdr:twoCellAnchor>
  <xdr:twoCellAnchor editAs="oneCell">
    <xdr:from>
      <xdr:col>0</xdr:col>
      <xdr:colOff>586025</xdr:colOff>
      <xdr:row>1530</xdr:row>
      <xdr:rowOff>63381</xdr:rowOff>
    </xdr:from>
    <xdr:to>
      <xdr:col>0</xdr:col>
      <xdr:colOff>2050494</xdr:colOff>
      <xdr:row>1530</xdr:row>
      <xdr:rowOff>1163519</xdr:rowOff>
    </xdr:to>
    <xdr:pic>
      <xdr:nvPicPr>
        <xdr:cNvPr id="3061" name="Picture 3060" descr="Insight Picture 3060">
          <a:extLst>
            <a:ext uri="{FF2B5EF4-FFF2-40B4-BE49-F238E27FC236}">
              <a16:creationId xmlns:a16="http://schemas.microsoft.com/office/drawing/2014/main" id="{990E288F-868A-971E-6E91-E1501B19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0"/>
        <a:stretch>
          <a:fillRect/>
        </a:stretch>
      </xdr:blipFill>
      <xdr:spPr>
        <a:xfrm>
          <a:off x="586025" y="1337632461"/>
          <a:ext cx="1464469" cy="1100138"/>
        </a:xfrm>
        <a:prstGeom prst="rect">
          <a:avLst/>
        </a:prstGeom>
      </xdr:spPr>
    </xdr:pic>
    <xdr:clientData/>
  </xdr:twoCellAnchor>
  <xdr:twoCellAnchor editAs="oneCell">
    <xdr:from>
      <xdr:col>0</xdr:col>
      <xdr:colOff>736045</xdr:colOff>
      <xdr:row>1531</xdr:row>
      <xdr:rowOff>63599</xdr:rowOff>
    </xdr:from>
    <xdr:to>
      <xdr:col>0</xdr:col>
      <xdr:colOff>1900476</xdr:colOff>
      <xdr:row>1531</xdr:row>
      <xdr:rowOff>1285180</xdr:rowOff>
    </xdr:to>
    <xdr:pic>
      <xdr:nvPicPr>
        <xdr:cNvPr id="3063" name="Picture 3062" descr="Insight Picture 3062">
          <a:extLst>
            <a:ext uri="{FF2B5EF4-FFF2-40B4-BE49-F238E27FC236}">
              <a16:creationId xmlns:a16="http://schemas.microsoft.com/office/drawing/2014/main" id="{CCF0BEBD-B3B6-B615-C21E-BF8F381FD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1"/>
        <a:stretch>
          <a:fillRect/>
        </a:stretch>
      </xdr:blipFill>
      <xdr:spPr>
        <a:xfrm>
          <a:off x="736045" y="1338859499"/>
          <a:ext cx="1164431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507445</xdr:colOff>
      <xdr:row>1532</xdr:row>
      <xdr:rowOff>63341</xdr:rowOff>
    </xdr:from>
    <xdr:to>
      <xdr:col>0</xdr:col>
      <xdr:colOff>2129076</xdr:colOff>
      <xdr:row>1532</xdr:row>
      <xdr:rowOff>1163479</xdr:rowOff>
    </xdr:to>
    <xdr:pic>
      <xdr:nvPicPr>
        <xdr:cNvPr id="3065" name="Picture 3064" descr="Insight Picture 3064">
          <a:extLst>
            <a:ext uri="{FF2B5EF4-FFF2-40B4-BE49-F238E27FC236}">
              <a16:creationId xmlns:a16="http://schemas.microsoft.com/office/drawing/2014/main" id="{31DF0A2A-08D0-6BE8-7FA9-3B144F2F0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2"/>
        <a:stretch>
          <a:fillRect/>
        </a:stretch>
      </xdr:blipFill>
      <xdr:spPr>
        <a:xfrm>
          <a:off x="507445" y="1340207981"/>
          <a:ext cx="1621631" cy="1100138"/>
        </a:xfrm>
        <a:prstGeom prst="rect">
          <a:avLst/>
        </a:prstGeom>
      </xdr:spPr>
    </xdr:pic>
    <xdr:clientData/>
  </xdr:twoCellAnchor>
  <xdr:twoCellAnchor editAs="oneCell">
    <xdr:from>
      <xdr:col>0</xdr:col>
      <xdr:colOff>664607</xdr:colOff>
      <xdr:row>1533</xdr:row>
      <xdr:rowOff>62369</xdr:rowOff>
    </xdr:from>
    <xdr:to>
      <xdr:col>0</xdr:col>
      <xdr:colOff>1971913</xdr:colOff>
      <xdr:row>1533</xdr:row>
      <xdr:rowOff>905332</xdr:rowOff>
    </xdr:to>
    <xdr:pic>
      <xdr:nvPicPr>
        <xdr:cNvPr id="3067" name="Picture 3066" descr="Insight Picture 3066">
          <a:extLst>
            <a:ext uri="{FF2B5EF4-FFF2-40B4-BE49-F238E27FC236}">
              <a16:creationId xmlns:a16="http://schemas.microsoft.com/office/drawing/2014/main" id="{30881B9A-DEEF-809F-11CF-2CFAD494B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3"/>
        <a:stretch>
          <a:fillRect/>
        </a:stretch>
      </xdr:blipFill>
      <xdr:spPr>
        <a:xfrm>
          <a:off x="664607" y="1341433829"/>
          <a:ext cx="1307306" cy="842963"/>
        </a:xfrm>
        <a:prstGeom prst="rect">
          <a:avLst/>
        </a:prstGeom>
      </xdr:spPr>
    </xdr:pic>
    <xdr:clientData/>
  </xdr:twoCellAnchor>
  <xdr:twoCellAnchor editAs="oneCell">
    <xdr:from>
      <xdr:col>0</xdr:col>
      <xdr:colOff>828913</xdr:colOff>
      <xdr:row>1534</xdr:row>
      <xdr:rowOff>63599</xdr:rowOff>
    </xdr:from>
    <xdr:to>
      <xdr:col>0</xdr:col>
      <xdr:colOff>1807607</xdr:colOff>
      <xdr:row>1534</xdr:row>
      <xdr:rowOff>1285180</xdr:rowOff>
    </xdr:to>
    <xdr:pic>
      <xdr:nvPicPr>
        <xdr:cNvPr id="3069" name="Picture 3068" descr="Insight Picture 3068">
          <a:extLst>
            <a:ext uri="{FF2B5EF4-FFF2-40B4-BE49-F238E27FC236}">
              <a16:creationId xmlns:a16="http://schemas.microsoft.com/office/drawing/2014/main" id="{D6212C48-89E3-1380-B0D8-C7172E252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4"/>
        <a:stretch>
          <a:fillRect/>
        </a:stretch>
      </xdr:blipFill>
      <xdr:spPr>
        <a:xfrm>
          <a:off x="828913" y="1342402799"/>
          <a:ext cx="978694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621745</xdr:colOff>
      <xdr:row>1535</xdr:row>
      <xdr:rowOff>63837</xdr:rowOff>
    </xdr:from>
    <xdr:to>
      <xdr:col>0</xdr:col>
      <xdr:colOff>2014776</xdr:colOff>
      <xdr:row>1535</xdr:row>
      <xdr:rowOff>606762</xdr:rowOff>
    </xdr:to>
    <xdr:pic>
      <xdr:nvPicPr>
        <xdr:cNvPr id="3071" name="Picture 3070" descr="Insight Picture 3070">
          <a:extLst>
            <a:ext uri="{FF2B5EF4-FFF2-40B4-BE49-F238E27FC236}">
              <a16:creationId xmlns:a16="http://schemas.microsoft.com/office/drawing/2014/main" id="{5B802E22-51D5-E26E-2DA1-DB501214C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5"/>
        <a:stretch>
          <a:fillRect/>
        </a:stretch>
      </xdr:blipFill>
      <xdr:spPr>
        <a:xfrm>
          <a:off x="621745" y="1343751777"/>
          <a:ext cx="1393031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803910</xdr:colOff>
      <xdr:row>1536</xdr:row>
      <xdr:rowOff>60523</xdr:rowOff>
    </xdr:from>
    <xdr:to>
      <xdr:col>0</xdr:col>
      <xdr:colOff>1832610</xdr:colOff>
      <xdr:row>1536</xdr:row>
      <xdr:rowOff>846336</xdr:rowOff>
    </xdr:to>
    <xdr:pic>
      <xdr:nvPicPr>
        <xdr:cNvPr id="3073" name="Picture 3072" descr="Insight Picture 3072">
          <a:extLst>
            <a:ext uri="{FF2B5EF4-FFF2-40B4-BE49-F238E27FC236}">
              <a16:creationId xmlns:a16="http://schemas.microsoft.com/office/drawing/2014/main" id="{F61A813A-EA42-96AF-B3D4-49CC83E33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6"/>
        <a:stretch>
          <a:fillRect/>
        </a:stretch>
      </xdr:blipFill>
      <xdr:spPr>
        <a:xfrm>
          <a:off x="803910" y="1344419023"/>
          <a:ext cx="1028700" cy="785813"/>
        </a:xfrm>
        <a:prstGeom prst="rect">
          <a:avLst/>
        </a:prstGeom>
      </xdr:spPr>
    </xdr:pic>
    <xdr:clientData/>
  </xdr:twoCellAnchor>
  <xdr:twoCellAnchor editAs="oneCell">
    <xdr:from>
      <xdr:col>0</xdr:col>
      <xdr:colOff>703897</xdr:colOff>
      <xdr:row>1537</xdr:row>
      <xdr:rowOff>63778</xdr:rowOff>
    </xdr:from>
    <xdr:to>
      <xdr:col>0</xdr:col>
      <xdr:colOff>1932622</xdr:colOff>
      <xdr:row>1537</xdr:row>
      <xdr:rowOff>606703</xdr:rowOff>
    </xdr:to>
    <xdr:pic>
      <xdr:nvPicPr>
        <xdr:cNvPr id="3075" name="Picture 3074" descr="Insight Picture 3074">
          <a:extLst>
            <a:ext uri="{FF2B5EF4-FFF2-40B4-BE49-F238E27FC236}">
              <a16:creationId xmlns:a16="http://schemas.microsoft.com/office/drawing/2014/main" id="{648DC071-82A6-43C3-0396-0F7866E9A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7"/>
        <a:stretch>
          <a:fillRect/>
        </a:stretch>
      </xdr:blipFill>
      <xdr:spPr>
        <a:xfrm>
          <a:off x="703897" y="1345329058"/>
          <a:ext cx="1228725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521732</xdr:colOff>
      <xdr:row>1538</xdr:row>
      <xdr:rowOff>62151</xdr:rowOff>
    </xdr:from>
    <xdr:to>
      <xdr:col>0</xdr:col>
      <xdr:colOff>2114788</xdr:colOff>
      <xdr:row>1538</xdr:row>
      <xdr:rowOff>1126570</xdr:rowOff>
    </xdr:to>
    <xdr:pic>
      <xdr:nvPicPr>
        <xdr:cNvPr id="3077" name="Picture 3076" descr="Insight Picture 3076">
          <a:extLst>
            <a:ext uri="{FF2B5EF4-FFF2-40B4-BE49-F238E27FC236}">
              <a16:creationId xmlns:a16="http://schemas.microsoft.com/office/drawing/2014/main" id="{769C56AB-5113-1A2A-CCB3-4A3F5159B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8"/>
        <a:stretch>
          <a:fillRect/>
        </a:stretch>
      </xdr:blipFill>
      <xdr:spPr>
        <a:xfrm>
          <a:off x="521732" y="1345997991"/>
          <a:ext cx="1593056" cy="1064419"/>
        </a:xfrm>
        <a:prstGeom prst="rect">
          <a:avLst/>
        </a:prstGeom>
      </xdr:spPr>
    </xdr:pic>
    <xdr:clientData/>
  </xdr:twoCellAnchor>
  <xdr:twoCellAnchor editAs="oneCell">
    <xdr:from>
      <xdr:col>0</xdr:col>
      <xdr:colOff>600313</xdr:colOff>
      <xdr:row>1539</xdr:row>
      <xdr:rowOff>63857</xdr:rowOff>
    </xdr:from>
    <xdr:to>
      <xdr:col>0</xdr:col>
      <xdr:colOff>2036207</xdr:colOff>
      <xdr:row>1539</xdr:row>
      <xdr:rowOff>606782</xdr:rowOff>
    </xdr:to>
    <xdr:pic>
      <xdr:nvPicPr>
        <xdr:cNvPr id="3079" name="Picture 3078" descr="Insight Picture 3078">
          <a:extLst>
            <a:ext uri="{FF2B5EF4-FFF2-40B4-BE49-F238E27FC236}">
              <a16:creationId xmlns:a16="http://schemas.microsoft.com/office/drawing/2014/main" id="{9C3CD638-A8A9-3037-1BD5-A14008E3D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9"/>
        <a:stretch>
          <a:fillRect/>
        </a:stretch>
      </xdr:blipFill>
      <xdr:spPr>
        <a:xfrm>
          <a:off x="600313" y="1347188417"/>
          <a:ext cx="1435894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975360</xdr:colOff>
      <xdr:row>1540</xdr:row>
      <xdr:rowOff>62627</xdr:rowOff>
    </xdr:from>
    <xdr:to>
      <xdr:col>0</xdr:col>
      <xdr:colOff>1661160</xdr:colOff>
      <xdr:row>1540</xdr:row>
      <xdr:rowOff>569833</xdr:rowOff>
    </xdr:to>
    <xdr:pic>
      <xdr:nvPicPr>
        <xdr:cNvPr id="3081" name="Picture 3080" descr="Insight Picture 3080">
          <a:extLst>
            <a:ext uri="{FF2B5EF4-FFF2-40B4-BE49-F238E27FC236}">
              <a16:creationId xmlns:a16="http://schemas.microsoft.com/office/drawing/2014/main" id="{1489A600-19F7-7603-4E97-84D850FFF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0"/>
        <a:stretch>
          <a:fillRect/>
        </a:stretch>
      </xdr:blipFill>
      <xdr:spPr>
        <a:xfrm>
          <a:off x="975360" y="1347857747"/>
          <a:ext cx="685800" cy="507206"/>
        </a:xfrm>
        <a:prstGeom prst="rect">
          <a:avLst/>
        </a:prstGeom>
      </xdr:spPr>
    </xdr:pic>
    <xdr:clientData/>
  </xdr:twoCellAnchor>
  <xdr:twoCellAnchor editAs="oneCell">
    <xdr:from>
      <xdr:col>0</xdr:col>
      <xdr:colOff>921782</xdr:colOff>
      <xdr:row>1541</xdr:row>
      <xdr:rowOff>60504</xdr:rowOff>
    </xdr:from>
    <xdr:to>
      <xdr:col>0</xdr:col>
      <xdr:colOff>1714738</xdr:colOff>
      <xdr:row>1541</xdr:row>
      <xdr:rowOff>503417</xdr:rowOff>
    </xdr:to>
    <xdr:pic>
      <xdr:nvPicPr>
        <xdr:cNvPr id="3083" name="Picture 3082" descr="Insight Picture 3082">
          <a:extLst>
            <a:ext uri="{FF2B5EF4-FFF2-40B4-BE49-F238E27FC236}">
              <a16:creationId xmlns:a16="http://schemas.microsoft.com/office/drawing/2014/main" id="{A47181F4-B8A1-1FE9-C384-7584FCF3B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1"/>
        <a:stretch>
          <a:fillRect/>
        </a:stretch>
      </xdr:blipFill>
      <xdr:spPr>
        <a:xfrm>
          <a:off x="921782" y="1348488084"/>
          <a:ext cx="792956" cy="442913"/>
        </a:xfrm>
        <a:prstGeom prst="rect">
          <a:avLst/>
        </a:prstGeom>
      </xdr:spPr>
    </xdr:pic>
    <xdr:clientData/>
  </xdr:twoCellAnchor>
  <xdr:twoCellAnchor editAs="oneCell">
    <xdr:from>
      <xdr:col>0</xdr:col>
      <xdr:colOff>811053</xdr:colOff>
      <xdr:row>1542</xdr:row>
      <xdr:rowOff>63857</xdr:rowOff>
    </xdr:from>
    <xdr:to>
      <xdr:col>0</xdr:col>
      <xdr:colOff>1825466</xdr:colOff>
      <xdr:row>1542</xdr:row>
      <xdr:rowOff>721082</xdr:rowOff>
    </xdr:to>
    <xdr:pic>
      <xdr:nvPicPr>
        <xdr:cNvPr id="3085" name="Picture 3084" descr="Insight Picture 3084">
          <a:extLst>
            <a:ext uri="{FF2B5EF4-FFF2-40B4-BE49-F238E27FC236}">
              <a16:creationId xmlns:a16="http://schemas.microsoft.com/office/drawing/2014/main" id="{9F0199E2-DDF7-600E-8BA2-D7C06D052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2"/>
        <a:stretch>
          <a:fillRect/>
        </a:stretch>
      </xdr:blipFill>
      <xdr:spPr>
        <a:xfrm>
          <a:off x="811053" y="1349055317"/>
          <a:ext cx="1014413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578882</xdr:colOff>
      <xdr:row>1543</xdr:row>
      <xdr:rowOff>61436</xdr:rowOff>
    </xdr:from>
    <xdr:to>
      <xdr:col>0</xdr:col>
      <xdr:colOff>2057638</xdr:colOff>
      <xdr:row>1543</xdr:row>
      <xdr:rowOff>990124</xdr:rowOff>
    </xdr:to>
    <xdr:pic>
      <xdr:nvPicPr>
        <xdr:cNvPr id="3087" name="Picture 3086" descr="Insight Picture 3086">
          <a:extLst>
            <a:ext uri="{FF2B5EF4-FFF2-40B4-BE49-F238E27FC236}">
              <a16:creationId xmlns:a16="http://schemas.microsoft.com/office/drawing/2014/main" id="{89F0CC86-5766-A7E1-7415-78D05D7FB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3"/>
        <a:stretch>
          <a:fillRect/>
        </a:stretch>
      </xdr:blipFill>
      <xdr:spPr>
        <a:xfrm>
          <a:off x="578882" y="1349837756"/>
          <a:ext cx="1478756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921782</xdr:colOff>
      <xdr:row>1544</xdr:row>
      <xdr:rowOff>63083</xdr:rowOff>
    </xdr:from>
    <xdr:to>
      <xdr:col>0</xdr:col>
      <xdr:colOff>1714738</xdr:colOff>
      <xdr:row>1544</xdr:row>
      <xdr:rowOff>470277</xdr:rowOff>
    </xdr:to>
    <xdr:pic>
      <xdr:nvPicPr>
        <xdr:cNvPr id="3089" name="Picture 3088" descr="Insight Picture 3088">
          <a:extLst>
            <a:ext uri="{FF2B5EF4-FFF2-40B4-BE49-F238E27FC236}">
              <a16:creationId xmlns:a16="http://schemas.microsoft.com/office/drawing/2014/main" id="{625A27CA-17A8-DB82-03C5-160436459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4"/>
        <a:stretch>
          <a:fillRect/>
        </a:stretch>
      </xdr:blipFill>
      <xdr:spPr>
        <a:xfrm>
          <a:off x="921782" y="1350890963"/>
          <a:ext cx="792956" cy="407194"/>
        </a:xfrm>
        <a:prstGeom prst="rect">
          <a:avLst/>
        </a:prstGeom>
      </xdr:spPr>
    </xdr:pic>
    <xdr:clientData/>
  </xdr:twoCellAnchor>
  <xdr:twoCellAnchor editAs="oneCell">
    <xdr:from>
      <xdr:col>0</xdr:col>
      <xdr:colOff>853916</xdr:colOff>
      <xdr:row>1545</xdr:row>
      <xdr:rowOff>62587</xdr:rowOff>
    </xdr:from>
    <xdr:to>
      <xdr:col>0</xdr:col>
      <xdr:colOff>1782604</xdr:colOff>
      <xdr:row>1545</xdr:row>
      <xdr:rowOff>569793</xdr:rowOff>
    </xdr:to>
    <xdr:pic>
      <xdr:nvPicPr>
        <xdr:cNvPr id="3091" name="Picture 3090" descr="Insight Picture 3090">
          <a:extLst>
            <a:ext uri="{FF2B5EF4-FFF2-40B4-BE49-F238E27FC236}">
              <a16:creationId xmlns:a16="http://schemas.microsoft.com/office/drawing/2014/main" id="{697A161A-B816-BB89-1D15-6654C7F56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5"/>
        <a:stretch>
          <a:fillRect/>
        </a:stretch>
      </xdr:blipFill>
      <xdr:spPr>
        <a:xfrm>
          <a:off x="853916" y="1351423867"/>
          <a:ext cx="928688" cy="507206"/>
        </a:xfrm>
        <a:prstGeom prst="rect">
          <a:avLst/>
        </a:prstGeom>
      </xdr:spPr>
    </xdr:pic>
    <xdr:clientData/>
  </xdr:twoCellAnchor>
  <xdr:twoCellAnchor editAs="oneCell">
    <xdr:from>
      <xdr:col>0</xdr:col>
      <xdr:colOff>707470</xdr:colOff>
      <xdr:row>1546</xdr:row>
      <xdr:rowOff>60762</xdr:rowOff>
    </xdr:from>
    <xdr:to>
      <xdr:col>0</xdr:col>
      <xdr:colOff>1929051</xdr:colOff>
      <xdr:row>1546</xdr:row>
      <xdr:rowOff>968018</xdr:rowOff>
    </xdr:to>
    <xdr:pic>
      <xdr:nvPicPr>
        <xdr:cNvPr id="3093" name="Picture 3092" descr="Insight Picture 3092">
          <a:extLst>
            <a:ext uri="{FF2B5EF4-FFF2-40B4-BE49-F238E27FC236}">
              <a16:creationId xmlns:a16="http://schemas.microsoft.com/office/drawing/2014/main" id="{91C02F48-3176-1DCF-6864-9AFDCCDF4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6"/>
        <a:stretch>
          <a:fillRect/>
        </a:stretch>
      </xdr:blipFill>
      <xdr:spPr>
        <a:xfrm>
          <a:off x="707470" y="1352054502"/>
          <a:ext cx="1221581" cy="907256"/>
        </a:xfrm>
        <a:prstGeom prst="rect">
          <a:avLst/>
        </a:prstGeom>
      </xdr:spPr>
    </xdr:pic>
    <xdr:clientData/>
  </xdr:twoCellAnchor>
  <xdr:twoCellAnchor editAs="oneCell">
    <xdr:from>
      <xdr:col>0</xdr:col>
      <xdr:colOff>975360</xdr:colOff>
      <xdr:row>1547</xdr:row>
      <xdr:rowOff>60464</xdr:rowOff>
    </xdr:from>
    <xdr:to>
      <xdr:col>0</xdr:col>
      <xdr:colOff>1661160</xdr:colOff>
      <xdr:row>1547</xdr:row>
      <xdr:rowOff>617677</xdr:rowOff>
    </xdr:to>
    <xdr:pic>
      <xdr:nvPicPr>
        <xdr:cNvPr id="3095" name="Picture 3094" descr="Insight Picture 3094">
          <a:extLst>
            <a:ext uri="{FF2B5EF4-FFF2-40B4-BE49-F238E27FC236}">
              <a16:creationId xmlns:a16="http://schemas.microsoft.com/office/drawing/2014/main" id="{72A9FBA4-BC0B-1173-FFBF-524112EC5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7"/>
        <a:stretch>
          <a:fillRect/>
        </a:stretch>
      </xdr:blipFill>
      <xdr:spPr>
        <a:xfrm>
          <a:off x="975360" y="1353082904"/>
          <a:ext cx="685800" cy="557213"/>
        </a:xfrm>
        <a:prstGeom prst="rect">
          <a:avLst/>
        </a:prstGeom>
      </xdr:spPr>
    </xdr:pic>
    <xdr:clientData/>
  </xdr:twoCellAnchor>
  <xdr:twoCellAnchor editAs="oneCell">
    <xdr:from>
      <xdr:col>0</xdr:col>
      <xdr:colOff>825341</xdr:colOff>
      <xdr:row>1548</xdr:row>
      <xdr:rowOff>63619</xdr:rowOff>
    </xdr:from>
    <xdr:to>
      <xdr:col>0</xdr:col>
      <xdr:colOff>1811179</xdr:colOff>
      <xdr:row>1548</xdr:row>
      <xdr:rowOff>828000</xdr:rowOff>
    </xdr:to>
    <xdr:pic>
      <xdr:nvPicPr>
        <xdr:cNvPr id="3097" name="Picture 3096" descr="Insight Picture 3096">
          <a:extLst>
            <a:ext uri="{FF2B5EF4-FFF2-40B4-BE49-F238E27FC236}">
              <a16:creationId xmlns:a16="http://schemas.microsoft.com/office/drawing/2014/main" id="{1DD26428-AB1F-8CE3-5A78-8C477D898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8"/>
        <a:stretch>
          <a:fillRect/>
        </a:stretch>
      </xdr:blipFill>
      <xdr:spPr>
        <a:xfrm>
          <a:off x="825341" y="1353764239"/>
          <a:ext cx="985838" cy="764381"/>
        </a:xfrm>
        <a:prstGeom prst="rect">
          <a:avLst/>
        </a:prstGeom>
      </xdr:spPr>
    </xdr:pic>
    <xdr:clientData/>
  </xdr:twoCellAnchor>
  <xdr:twoCellAnchor editAs="oneCell">
    <xdr:from>
      <xdr:col>0</xdr:col>
      <xdr:colOff>282416</xdr:colOff>
      <xdr:row>1549</xdr:row>
      <xdr:rowOff>63361</xdr:rowOff>
    </xdr:from>
    <xdr:to>
      <xdr:col>0</xdr:col>
      <xdr:colOff>2354104</xdr:colOff>
      <xdr:row>1549</xdr:row>
      <xdr:rowOff>820599</xdr:rowOff>
    </xdr:to>
    <xdr:pic>
      <xdr:nvPicPr>
        <xdr:cNvPr id="3099" name="Picture 3098" descr="Insight Picture 3098">
          <a:extLst>
            <a:ext uri="{FF2B5EF4-FFF2-40B4-BE49-F238E27FC236}">
              <a16:creationId xmlns:a16="http://schemas.microsoft.com/office/drawing/2014/main" id="{AF205E54-2683-B276-5A7F-610D96720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9"/>
        <a:stretch>
          <a:fillRect/>
        </a:stretch>
      </xdr:blipFill>
      <xdr:spPr>
        <a:xfrm>
          <a:off x="282416" y="1354655521"/>
          <a:ext cx="2071688" cy="757238"/>
        </a:xfrm>
        <a:prstGeom prst="rect">
          <a:avLst/>
        </a:prstGeom>
      </xdr:spPr>
    </xdr:pic>
    <xdr:clientData/>
  </xdr:twoCellAnchor>
  <xdr:twoCellAnchor editAs="oneCell">
    <xdr:from>
      <xdr:col>0</xdr:col>
      <xdr:colOff>536020</xdr:colOff>
      <xdr:row>1550</xdr:row>
      <xdr:rowOff>61694</xdr:rowOff>
    </xdr:from>
    <xdr:to>
      <xdr:col>0</xdr:col>
      <xdr:colOff>2100501</xdr:colOff>
      <xdr:row>1550</xdr:row>
      <xdr:rowOff>768925</xdr:rowOff>
    </xdr:to>
    <xdr:pic>
      <xdr:nvPicPr>
        <xdr:cNvPr id="3101" name="Picture 3100" descr="Insight Picture 3100">
          <a:extLst>
            <a:ext uri="{FF2B5EF4-FFF2-40B4-BE49-F238E27FC236}">
              <a16:creationId xmlns:a16="http://schemas.microsoft.com/office/drawing/2014/main" id="{A75F6AA3-7945-C1EA-7CBF-3740D228A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0"/>
        <a:stretch>
          <a:fillRect/>
        </a:stretch>
      </xdr:blipFill>
      <xdr:spPr>
        <a:xfrm>
          <a:off x="536020" y="1355537774"/>
          <a:ext cx="1564481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528875</xdr:colOff>
      <xdr:row>1551</xdr:row>
      <xdr:rowOff>63361</xdr:rowOff>
    </xdr:from>
    <xdr:to>
      <xdr:col>0</xdr:col>
      <xdr:colOff>2107644</xdr:colOff>
      <xdr:row>1551</xdr:row>
      <xdr:rowOff>591999</xdr:rowOff>
    </xdr:to>
    <xdr:pic>
      <xdr:nvPicPr>
        <xdr:cNvPr id="3103" name="Picture 3102" descr="Insight Picture 3102">
          <a:extLst>
            <a:ext uri="{FF2B5EF4-FFF2-40B4-BE49-F238E27FC236}">
              <a16:creationId xmlns:a16="http://schemas.microsoft.com/office/drawing/2014/main" id="{E8FA7F32-A59F-47D1-69EA-1FC1EFAEB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1"/>
        <a:stretch>
          <a:fillRect/>
        </a:stretch>
      </xdr:blipFill>
      <xdr:spPr>
        <a:xfrm>
          <a:off x="528875" y="1356370021"/>
          <a:ext cx="1578769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621745</xdr:colOff>
      <xdr:row>1552</xdr:row>
      <xdr:rowOff>62587</xdr:rowOff>
    </xdr:from>
    <xdr:to>
      <xdr:col>0</xdr:col>
      <xdr:colOff>2014776</xdr:colOff>
      <xdr:row>1552</xdr:row>
      <xdr:rowOff>798393</xdr:rowOff>
    </xdr:to>
    <xdr:pic>
      <xdr:nvPicPr>
        <xdr:cNvPr id="3105" name="Picture 3104" descr="Insight Picture 3104">
          <a:extLst>
            <a:ext uri="{FF2B5EF4-FFF2-40B4-BE49-F238E27FC236}">
              <a16:creationId xmlns:a16="http://schemas.microsoft.com/office/drawing/2014/main" id="{FF14AE98-C496-2107-76D9-75D8FDC44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2"/>
        <a:stretch>
          <a:fillRect/>
        </a:stretch>
      </xdr:blipFill>
      <xdr:spPr>
        <a:xfrm>
          <a:off x="621745" y="1357024567"/>
          <a:ext cx="1393031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778907</xdr:colOff>
      <xdr:row>1553</xdr:row>
      <xdr:rowOff>62647</xdr:rowOff>
    </xdr:from>
    <xdr:to>
      <xdr:col>0</xdr:col>
      <xdr:colOff>1857613</xdr:colOff>
      <xdr:row>1553</xdr:row>
      <xdr:rowOff>798453</xdr:rowOff>
    </xdr:to>
    <xdr:pic>
      <xdr:nvPicPr>
        <xdr:cNvPr id="3107" name="Picture 3106" descr="Insight Picture 3106">
          <a:extLst>
            <a:ext uri="{FF2B5EF4-FFF2-40B4-BE49-F238E27FC236}">
              <a16:creationId xmlns:a16="http://schemas.microsoft.com/office/drawing/2014/main" id="{780569BB-8B6D-038F-124E-C439461BA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3"/>
        <a:stretch>
          <a:fillRect/>
        </a:stretch>
      </xdr:blipFill>
      <xdr:spPr>
        <a:xfrm>
          <a:off x="778907" y="1357885687"/>
          <a:ext cx="1078706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796766</xdr:colOff>
      <xdr:row>1554</xdr:row>
      <xdr:rowOff>62607</xdr:rowOff>
    </xdr:from>
    <xdr:to>
      <xdr:col>0</xdr:col>
      <xdr:colOff>1839754</xdr:colOff>
      <xdr:row>1554</xdr:row>
      <xdr:rowOff>798413</xdr:rowOff>
    </xdr:to>
    <xdr:pic>
      <xdr:nvPicPr>
        <xdr:cNvPr id="3109" name="Picture 3108" descr="Insight Picture 3108">
          <a:extLst>
            <a:ext uri="{FF2B5EF4-FFF2-40B4-BE49-F238E27FC236}">
              <a16:creationId xmlns:a16="http://schemas.microsoft.com/office/drawing/2014/main" id="{0190FC37-5E6C-8EC2-5947-CF9F43931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4"/>
        <a:stretch>
          <a:fillRect/>
        </a:stretch>
      </xdr:blipFill>
      <xdr:spPr>
        <a:xfrm>
          <a:off x="796766" y="1358746707"/>
          <a:ext cx="1042988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714613</xdr:colOff>
      <xdr:row>1555</xdr:row>
      <xdr:rowOff>61873</xdr:rowOff>
    </xdr:from>
    <xdr:to>
      <xdr:col>0</xdr:col>
      <xdr:colOff>1921907</xdr:colOff>
      <xdr:row>1555</xdr:row>
      <xdr:rowOff>890548</xdr:rowOff>
    </xdr:to>
    <xdr:pic>
      <xdr:nvPicPr>
        <xdr:cNvPr id="3111" name="Picture 3110" descr="Insight Picture 3110">
          <a:extLst>
            <a:ext uri="{FF2B5EF4-FFF2-40B4-BE49-F238E27FC236}">
              <a16:creationId xmlns:a16="http://schemas.microsoft.com/office/drawing/2014/main" id="{9B3222CB-C485-1C8F-22E4-431D256EB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5"/>
        <a:stretch>
          <a:fillRect/>
        </a:stretch>
      </xdr:blipFill>
      <xdr:spPr>
        <a:xfrm>
          <a:off x="714613" y="1359607033"/>
          <a:ext cx="1207294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664607</xdr:colOff>
      <xdr:row>1556</xdr:row>
      <xdr:rowOff>61873</xdr:rowOff>
    </xdr:from>
    <xdr:to>
      <xdr:col>0</xdr:col>
      <xdr:colOff>1971913</xdr:colOff>
      <xdr:row>1556</xdr:row>
      <xdr:rowOff>890548</xdr:rowOff>
    </xdr:to>
    <xdr:pic>
      <xdr:nvPicPr>
        <xdr:cNvPr id="3113" name="Picture 3112" descr="Insight Picture 3112">
          <a:extLst>
            <a:ext uri="{FF2B5EF4-FFF2-40B4-BE49-F238E27FC236}">
              <a16:creationId xmlns:a16="http://schemas.microsoft.com/office/drawing/2014/main" id="{9B358758-A661-1D04-3BAF-FF52F0150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6"/>
        <a:stretch>
          <a:fillRect/>
        </a:stretch>
      </xdr:blipFill>
      <xdr:spPr>
        <a:xfrm>
          <a:off x="664607" y="1360559533"/>
          <a:ext cx="1307306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796766</xdr:colOff>
      <xdr:row>1557</xdr:row>
      <xdr:rowOff>62170</xdr:rowOff>
    </xdr:from>
    <xdr:to>
      <xdr:col>0</xdr:col>
      <xdr:colOff>1839754</xdr:colOff>
      <xdr:row>1557</xdr:row>
      <xdr:rowOff>897989</xdr:rowOff>
    </xdr:to>
    <xdr:pic>
      <xdr:nvPicPr>
        <xdr:cNvPr id="3115" name="Picture 3114" descr="Insight Picture 3114">
          <a:extLst>
            <a:ext uri="{FF2B5EF4-FFF2-40B4-BE49-F238E27FC236}">
              <a16:creationId xmlns:a16="http://schemas.microsoft.com/office/drawing/2014/main" id="{4009E737-2E2B-4F06-680D-AE94A1987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7"/>
        <a:stretch>
          <a:fillRect/>
        </a:stretch>
      </xdr:blipFill>
      <xdr:spPr>
        <a:xfrm>
          <a:off x="796766" y="1361512330"/>
          <a:ext cx="1042988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796766</xdr:colOff>
      <xdr:row>1558</xdr:row>
      <xdr:rowOff>62190</xdr:rowOff>
    </xdr:from>
    <xdr:to>
      <xdr:col>0</xdr:col>
      <xdr:colOff>1839754</xdr:colOff>
      <xdr:row>1558</xdr:row>
      <xdr:rowOff>898009</xdr:rowOff>
    </xdr:to>
    <xdr:pic>
      <xdr:nvPicPr>
        <xdr:cNvPr id="3117" name="Picture 3116" descr="Insight Picture 3116">
          <a:extLst>
            <a:ext uri="{FF2B5EF4-FFF2-40B4-BE49-F238E27FC236}">
              <a16:creationId xmlns:a16="http://schemas.microsoft.com/office/drawing/2014/main" id="{14797246-9E42-1BDA-00DA-92D11F99B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8"/>
        <a:stretch>
          <a:fillRect/>
        </a:stretch>
      </xdr:blipFill>
      <xdr:spPr>
        <a:xfrm>
          <a:off x="796766" y="1362472470"/>
          <a:ext cx="1042988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711041</xdr:colOff>
      <xdr:row>1559</xdr:row>
      <xdr:rowOff>62111</xdr:rowOff>
    </xdr:from>
    <xdr:to>
      <xdr:col>0</xdr:col>
      <xdr:colOff>1925479</xdr:colOff>
      <xdr:row>1559</xdr:row>
      <xdr:rowOff>897930</xdr:rowOff>
    </xdr:to>
    <xdr:pic>
      <xdr:nvPicPr>
        <xdr:cNvPr id="3119" name="Picture 3118" descr="Insight Picture 3118">
          <a:extLst>
            <a:ext uri="{FF2B5EF4-FFF2-40B4-BE49-F238E27FC236}">
              <a16:creationId xmlns:a16="http://schemas.microsoft.com/office/drawing/2014/main" id="{135AF006-20A6-4684-1E53-87873312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9"/>
        <a:stretch>
          <a:fillRect/>
        </a:stretch>
      </xdr:blipFill>
      <xdr:spPr>
        <a:xfrm>
          <a:off x="711041" y="1363432511"/>
          <a:ext cx="1214438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636032</xdr:colOff>
      <xdr:row>1560</xdr:row>
      <xdr:rowOff>61932</xdr:rowOff>
    </xdr:from>
    <xdr:to>
      <xdr:col>0</xdr:col>
      <xdr:colOff>2000488</xdr:colOff>
      <xdr:row>1560</xdr:row>
      <xdr:rowOff>776307</xdr:rowOff>
    </xdr:to>
    <xdr:pic>
      <xdr:nvPicPr>
        <xdr:cNvPr id="3121" name="Picture 3120" descr="Insight Picture 3120">
          <a:extLst>
            <a:ext uri="{FF2B5EF4-FFF2-40B4-BE49-F238E27FC236}">
              <a16:creationId xmlns:a16="http://schemas.microsoft.com/office/drawing/2014/main" id="{B222572B-5586-CF80-70CA-944D914BB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0"/>
        <a:stretch>
          <a:fillRect/>
        </a:stretch>
      </xdr:blipFill>
      <xdr:spPr>
        <a:xfrm>
          <a:off x="636032" y="1364392452"/>
          <a:ext cx="1364456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539591</xdr:colOff>
      <xdr:row>1561</xdr:row>
      <xdr:rowOff>62131</xdr:rowOff>
    </xdr:from>
    <xdr:to>
      <xdr:col>0</xdr:col>
      <xdr:colOff>2096929</xdr:colOff>
      <xdr:row>1561</xdr:row>
      <xdr:rowOff>1012250</xdr:rowOff>
    </xdr:to>
    <xdr:pic>
      <xdr:nvPicPr>
        <xdr:cNvPr id="3123" name="Picture 3122" descr="Insight Picture 3122">
          <a:extLst>
            <a:ext uri="{FF2B5EF4-FFF2-40B4-BE49-F238E27FC236}">
              <a16:creationId xmlns:a16="http://schemas.microsoft.com/office/drawing/2014/main" id="{AC319C01-EBE6-920A-02C1-A447F1095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1"/>
        <a:stretch>
          <a:fillRect/>
        </a:stretch>
      </xdr:blipFill>
      <xdr:spPr>
        <a:xfrm>
          <a:off x="539591" y="1365230851"/>
          <a:ext cx="1557338" cy="950119"/>
        </a:xfrm>
        <a:prstGeom prst="rect">
          <a:avLst/>
        </a:prstGeom>
      </xdr:spPr>
    </xdr:pic>
    <xdr:clientData/>
  </xdr:twoCellAnchor>
  <xdr:twoCellAnchor editAs="oneCell">
    <xdr:from>
      <xdr:col>0</xdr:col>
      <xdr:colOff>825341</xdr:colOff>
      <xdr:row>1562</xdr:row>
      <xdr:rowOff>63540</xdr:rowOff>
    </xdr:from>
    <xdr:to>
      <xdr:col>0</xdr:col>
      <xdr:colOff>1811179</xdr:colOff>
      <xdr:row>1562</xdr:row>
      <xdr:rowOff>942221</xdr:rowOff>
    </xdr:to>
    <xdr:pic>
      <xdr:nvPicPr>
        <xdr:cNvPr id="3125" name="Picture 3124" descr="Insight Picture 3124">
          <a:extLst>
            <a:ext uri="{FF2B5EF4-FFF2-40B4-BE49-F238E27FC236}">
              <a16:creationId xmlns:a16="http://schemas.microsoft.com/office/drawing/2014/main" id="{1D79AAE3-D70A-6C27-7A05-E5AD40805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2"/>
        <a:stretch>
          <a:fillRect/>
        </a:stretch>
      </xdr:blipFill>
      <xdr:spPr>
        <a:xfrm>
          <a:off x="825341" y="1366306680"/>
          <a:ext cx="985838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736045</xdr:colOff>
      <xdr:row>1563</xdr:row>
      <xdr:rowOff>63579</xdr:rowOff>
    </xdr:from>
    <xdr:to>
      <xdr:col>0</xdr:col>
      <xdr:colOff>1900476</xdr:colOff>
      <xdr:row>1563</xdr:row>
      <xdr:rowOff>942260</xdr:rowOff>
    </xdr:to>
    <xdr:pic>
      <xdr:nvPicPr>
        <xdr:cNvPr id="3127" name="Picture 3126" descr="Insight Picture 3126">
          <a:extLst>
            <a:ext uri="{FF2B5EF4-FFF2-40B4-BE49-F238E27FC236}">
              <a16:creationId xmlns:a16="http://schemas.microsoft.com/office/drawing/2014/main" id="{EBD50F11-3602-37D7-665E-4FBB4F4AB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3"/>
        <a:stretch>
          <a:fillRect/>
        </a:stretch>
      </xdr:blipFill>
      <xdr:spPr>
        <a:xfrm>
          <a:off x="736045" y="1367312559"/>
          <a:ext cx="1164431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721757</xdr:colOff>
      <xdr:row>1564</xdr:row>
      <xdr:rowOff>60742</xdr:rowOff>
    </xdr:from>
    <xdr:to>
      <xdr:col>0</xdr:col>
      <xdr:colOff>1914763</xdr:colOff>
      <xdr:row>1564</xdr:row>
      <xdr:rowOff>967998</xdr:rowOff>
    </xdr:to>
    <xdr:pic>
      <xdr:nvPicPr>
        <xdr:cNvPr id="3129" name="Picture 3128" descr="Insight Picture 3128">
          <a:extLst>
            <a:ext uri="{FF2B5EF4-FFF2-40B4-BE49-F238E27FC236}">
              <a16:creationId xmlns:a16="http://schemas.microsoft.com/office/drawing/2014/main" id="{1677B9A3-F174-0EF3-F428-C0BDD56AB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4"/>
        <a:stretch>
          <a:fillRect/>
        </a:stretch>
      </xdr:blipFill>
      <xdr:spPr>
        <a:xfrm>
          <a:off x="721757" y="1368315562"/>
          <a:ext cx="1193006" cy="907256"/>
        </a:xfrm>
        <a:prstGeom prst="rect">
          <a:avLst/>
        </a:prstGeom>
      </xdr:spPr>
    </xdr:pic>
    <xdr:clientData/>
  </xdr:twoCellAnchor>
  <xdr:twoCellAnchor editAs="oneCell">
    <xdr:from>
      <xdr:col>0</xdr:col>
      <xdr:colOff>653891</xdr:colOff>
      <xdr:row>1565</xdr:row>
      <xdr:rowOff>61635</xdr:rowOff>
    </xdr:from>
    <xdr:to>
      <xdr:col>0</xdr:col>
      <xdr:colOff>1982629</xdr:colOff>
      <xdr:row>1565</xdr:row>
      <xdr:rowOff>768866</xdr:rowOff>
    </xdr:to>
    <xdr:pic>
      <xdr:nvPicPr>
        <xdr:cNvPr id="3131" name="Picture 3130" descr="Insight Picture 3130">
          <a:extLst>
            <a:ext uri="{FF2B5EF4-FFF2-40B4-BE49-F238E27FC236}">
              <a16:creationId xmlns:a16="http://schemas.microsoft.com/office/drawing/2014/main" id="{67189377-C978-6AC0-E7A4-FD6383F6E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5"/>
        <a:stretch>
          <a:fillRect/>
        </a:stretch>
      </xdr:blipFill>
      <xdr:spPr>
        <a:xfrm>
          <a:off x="653891" y="1369345155"/>
          <a:ext cx="1328738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464582</xdr:colOff>
      <xdr:row>1566</xdr:row>
      <xdr:rowOff>63302</xdr:rowOff>
    </xdr:from>
    <xdr:to>
      <xdr:col>0</xdr:col>
      <xdr:colOff>2171938</xdr:colOff>
      <xdr:row>1566</xdr:row>
      <xdr:rowOff>591940</xdr:rowOff>
    </xdr:to>
    <xdr:pic>
      <xdr:nvPicPr>
        <xdr:cNvPr id="3133" name="Picture 3132" descr="Insight Picture 3132">
          <a:extLst>
            <a:ext uri="{FF2B5EF4-FFF2-40B4-BE49-F238E27FC236}">
              <a16:creationId xmlns:a16="http://schemas.microsoft.com/office/drawing/2014/main" id="{71D3EB97-9ED2-8DA0-A284-D5C78D134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6"/>
        <a:stretch>
          <a:fillRect/>
        </a:stretch>
      </xdr:blipFill>
      <xdr:spPr>
        <a:xfrm>
          <a:off x="464582" y="1370177402"/>
          <a:ext cx="1707356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707470</xdr:colOff>
      <xdr:row>1567</xdr:row>
      <xdr:rowOff>63619</xdr:rowOff>
    </xdr:from>
    <xdr:to>
      <xdr:col>0</xdr:col>
      <xdr:colOff>1929051</xdr:colOff>
      <xdr:row>1567</xdr:row>
      <xdr:rowOff>942300</xdr:rowOff>
    </xdr:to>
    <xdr:pic>
      <xdr:nvPicPr>
        <xdr:cNvPr id="3135" name="Picture 3134" descr="Insight Picture 3134">
          <a:extLst>
            <a:ext uri="{FF2B5EF4-FFF2-40B4-BE49-F238E27FC236}">
              <a16:creationId xmlns:a16="http://schemas.microsoft.com/office/drawing/2014/main" id="{E54F02FD-8082-9EEF-4E78-B2B9EDE52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7"/>
        <a:stretch>
          <a:fillRect/>
        </a:stretch>
      </xdr:blipFill>
      <xdr:spPr>
        <a:xfrm>
          <a:off x="707470" y="1370833039"/>
          <a:ext cx="1221581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693182</xdr:colOff>
      <xdr:row>1568</xdr:row>
      <xdr:rowOff>63560</xdr:rowOff>
    </xdr:from>
    <xdr:to>
      <xdr:col>0</xdr:col>
      <xdr:colOff>1943338</xdr:colOff>
      <xdr:row>1568</xdr:row>
      <xdr:rowOff>599341</xdr:rowOff>
    </xdr:to>
    <xdr:pic>
      <xdr:nvPicPr>
        <xdr:cNvPr id="3137" name="Picture 3136" descr="Insight Picture 3136">
          <a:extLst>
            <a:ext uri="{FF2B5EF4-FFF2-40B4-BE49-F238E27FC236}">
              <a16:creationId xmlns:a16="http://schemas.microsoft.com/office/drawing/2014/main" id="{CB5F98D9-1A76-1764-D328-215911106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8"/>
        <a:stretch>
          <a:fillRect/>
        </a:stretch>
      </xdr:blipFill>
      <xdr:spPr>
        <a:xfrm>
          <a:off x="693182" y="1371838820"/>
          <a:ext cx="1250156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625316</xdr:colOff>
      <xdr:row>1569</xdr:row>
      <xdr:rowOff>61714</xdr:rowOff>
    </xdr:from>
    <xdr:to>
      <xdr:col>0</xdr:col>
      <xdr:colOff>2011204</xdr:colOff>
      <xdr:row>1569</xdr:row>
      <xdr:rowOff>540345</xdr:rowOff>
    </xdr:to>
    <xdr:pic>
      <xdr:nvPicPr>
        <xdr:cNvPr id="3139" name="Picture 3138" descr="Insight Picture 3138">
          <a:extLst>
            <a:ext uri="{FF2B5EF4-FFF2-40B4-BE49-F238E27FC236}">
              <a16:creationId xmlns:a16="http://schemas.microsoft.com/office/drawing/2014/main" id="{E64C9D8C-F89E-1BCC-4E5F-E3C7917E0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9"/>
        <a:stretch>
          <a:fillRect/>
        </a:stretch>
      </xdr:blipFill>
      <xdr:spPr>
        <a:xfrm>
          <a:off x="625316" y="1372499914"/>
          <a:ext cx="1385888" cy="478631"/>
        </a:xfrm>
        <a:prstGeom prst="rect">
          <a:avLst/>
        </a:prstGeom>
      </xdr:spPr>
    </xdr:pic>
    <xdr:clientData/>
  </xdr:twoCellAnchor>
  <xdr:twoCellAnchor editAs="oneCell">
    <xdr:from>
      <xdr:col>0</xdr:col>
      <xdr:colOff>771763</xdr:colOff>
      <xdr:row>1570</xdr:row>
      <xdr:rowOff>61694</xdr:rowOff>
    </xdr:from>
    <xdr:to>
      <xdr:col>0</xdr:col>
      <xdr:colOff>1864757</xdr:colOff>
      <xdr:row>1570</xdr:row>
      <xdr:rowOff>540325</xdr:rowOff>
    </xdr:to>
    <xdr:pic>
      <xdr:nvPicPr>
        <xdr:cNvPr id="3141" name="Picture 3140" descr="Insight Picture 3140">
          <a:extLst>
            <a:ext uri="{FF2B5EF4-FFF2-40B4-BE49-F238E27FC236}">
              <a16:creationId xmlns:a16="http://schemas.microsoft.com/office/drawing/2014/main" id="{FBE46436-0A3C-3BE2-D2F8-FEF316AA7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0"/>
        <a:stretch>
          <a:fillRect/>
        </a:stretch>
      </xdr:blipFill>
      <xdr:spPr>
        <a:xfrm>
          <a:off x="771763" y="1373101874"/>
          <a:ext cx="1092994" cy="478631"/>
        </a:xfrm>
        <a:prstGeom prst="rect">
          <a:avLst/>
        </a:prstGeom>
      </xdr:spPr>
    </xdr:pic>
    <xdr:clientData/>
  </xdr:twoCellAnchor>
  <xdr:twoCellAnchor editAs="oneCell">
    <xdr:from>
      <xdr:col>0</xdr:col>
      <xdr:colOff>746760</xdr:colOff>
      <xdr:row>1571</xdr:row>
      <xdr:rowOff>61674</xdr:rowOff>
    </xdr:from>
    <xdr:to>
      <xdr:col>0</xdr:col>
      <xdr:colOff>1889760</xdr:colOff>
      <xdr:row>1571</xdr:row>
      <xdr:rowOff>540305</xdr:rowOff>
    </xdr:to>
    <xdr:pic>
      <xdr:nvPicPr>
        <xdr:cNvPr id="3143" name="Picture 3142" descr="Insight Picture 3142">
          <a:extLst>
            <a:ext uri="{FF2B5EF4-FFF2-40B4-BE49-F238E27FC236}">
              <a16:creationId xmlns:a16="http://schemas.microsoft.com/office/drawing/2014/main" id="{94763C8E-B2A0-560C-7B61-E8C6E4FCF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1"/>
        <a:stretch>
          <a:fillRect/>
        </a:stretch>
      </xdr:blipFill>
      <xdr:spPr>
        <a:xfrm>
          <a:off x="746760" y="1373703834"/>
          <a:ext cx="1143000" cy="478631"/>
        </a:xfrm>
        <a:prstGeom prst="rect">
          <a:avLst/>
        </a:prstGeom>
      </xdr:spPr>
    </xdr:pic>
    <xdr:clientData/>
  </xdr:twoCellAnchor>
  <xdr:twoCellAnchor editAs="oneCell">
    <xdr:from>
      <xdr:col>0</xdr:col>
      <xdr:colOff>889635</xdr:colOff>
      <xdr:row>1572</xdr:row>
      <xdr:rowOff>60762</xdr:rowOff>
    </xdr:from>
    <xdr:to>
      <xdr:col>0</xdr:col>
      <xdr:colOff>1746885</xdr:colOff>
      <xdr:row>1572</xdr:row>
      <xdr:rowOff>853718</xdr:rowOff>
    </xdr:to>
    <xdr:pic>
      <xdr:nvPicPr>
        <xdr:cNvPr id="3145" name="Picture 3144" descr="Insight Picture 3144">
          <a:extLst>
            <a:ext uri="{FF2B5EF4-FFF2-40B4-BE49-F238E27FC236}">
              <a16:creationId xmlns:a16="http://schemas.microsoft.com/office/drawing/2014/main" id="{8B326778-4488-ABCD-7C5B-9CAAA732D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2"/>
        <a:stretch>
          <a:fillRect/>
        </a:stretch>
      </xdr:blipFill>
      <xdr:spPr>
        <a:xfrm>
          <a:off x="889635" y="1374304902"/>
          <a:ext cx="857250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821770</xdr:colOff>
      <xdr:row>1573</xdr:row>
      <xdr:rowOff>61952</xdr:rowOff>
    </xdr:from>
    <xdr:to>
      <xdr:col>0</xdr:col>
      <xdr:colOff>1814751</xdr:colOff>
      <xdr:row>1573</xdr:row>
      <xdr:rowOff>890627</xdr:rowOff>
    </xdr:to>
    <xdr:pic>
      <xdr:nvPicPr>
        <xdr:cNvPr id="3147" name="Picture 3146" descr="Insight Picture 3146">
          <a:extLst>
            <a:ext uri="{FF2B5EF4-FFF2-40B4-BE49-F238E27FC236}">
              <a16:creationId xmlns:a16="http://schemas.microsoft.com/office/drawing/2014/main" id="{ECAD4FB6-FDD6-64B0-B8A2-A03135149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3"/>
        <a:stretch>
          <a:fillRect/>
        </a:stretch>
      </xdr:blipFill>
      <xdr:spPr>
        <a:xfrm>
          <a:off x="821770" y="1375220492"/>
          <a:ext cx="992981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800338</xdr:colOff>
      <xdr:row>1574</xdr:row>
      <xdr:rowOff>61952</xdr:rowOff>
    </xdr:from>
    <xdr:to>
      <xdr:col>0</xdr:col>
      <xdr:colOff>1836182</xdr:colOff>
      <xdr:row>1574</xdr:row>
      <xdr:rowOff>890627</xdr:rowOff>
    </xdr:to>
    <xdr:pic>
      <xdr:nvPicPr>
        <xdr:cNvPr id="3149" name="Picture 3148" descr="Insight Picture 3148">
          <a:extLst>
            <a:ext uri="{FF2B5EF4-FFF2-40B4-BE49-F238E27FC236}">
              <a16:creationId xmlns:a16="http://schemas.microsoft.com/office/drawing/2014/main" id="{FFA53947-7CC8-77FF-6AE4-EF1BA4333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4"/>
        <a:stretch>
          <a:fillRect/>
        </a:stretch>
      </xdr:blipFill>
      <xdr:spPr>
        <a:xfrm>
          <a:off x="800338" y="1376172992"/>
          <a:ext cx="1035844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725328</xdr:colOff>
      <xdr:row>1575</xdr:row>
      <xdr:rowOff>60265</xdr:rowOff>
    </xdr:from>
    <xdr:to>
      <xdr:col>0</xdr:col>
      <xdr:colOff>1911191</xdr:colOff>
      <xdr:row>1575</xdr:row>
      <xdr:rowOff>838934</xdr:rowOff>
    </xdr:to>
    <xdr:pic>
      <xdr:nvPicPr>
        <xdr:cNvPr id="3151" name="Picture 3150" descr="Insight Picture 3150">
          <a:extLst>
            <a:ext uri="{FF2B5EF4-FFF2-40B4-BE49-F238E27FC236}">
              <a16:creationId xmlns:a16="http://schemas.microsoft.com/office/drawing/2014/main" id="{E52EA522-F75E-E287-A3A8-966818C23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5"/>
        <a:stretch>
          <a:fillRect/>
        </a:stretch>
      </xdr:blipFill>
      <xdr:spPr>
        <a:xfrm>
          <a:off x="725328" y="1377123805"/>
          <a:ext cx="1185863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564595</xdr:colOff>
      <xdr:row>1576</xdr:row>
      <xdr:rowOff>61913</xdr:rowOff>
    </xdr:from>
    <xdr:to>
      <xdr:col>0</xdr:col>
      <xdr:colOff>2071926</xdr:colOff>
      <xdr:row>1576</xdr:row>
      <xdr:rowOff>890588</xdr:rowOff>
    </xdr:to>
    <xdr:pic>
      <xdr:nvPicPr>
        <xdr:cNvPr id="3153" name="Picture 3152" descr="Insight Picture 3152">
          <a:extLst>
            <a:ext uri="{FF2B5EF4-FFF2-40B4-BE49-F238E27FC236}">
              <a16:creationId xmlns:a16="http://schemas.microsoft.com/office/drawing/2014/main" id="{629C00E0-BAF5-FD0E-1889-86D2BE449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6"/>
        <a:stretch>
          <a:fillRect/>
        </a:stretch>
      </xdr:blipFill>
      <xdr:spPr>
        <a:xfrm>
          <a:off x="564595" y="1378024613"/>
          <a:ext cx="1507331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818198</xdr:colOff>
      <xdr:row>1577</xdr:row>
      <xdr:rowOff>60920</xdr:rowOff>
    </xdr:from>
    <xdr:to>
      <xdr:col>0</xdr:col>
      <xdr:colOff>1818323</xdr:colOff>
      <xdr:row>1577</xdr:row>
      <xdr:rowOff>861020</xdr:rowOff>
    </xdr:to>
    <xdr:pic>
      <xdr:nvPicPr>
        <xdr:cNvPr id="3155" name="Picture 3154" descr="Insight Picture 3154">
          <a:extLst>
            <a:ext uri="{FF2B5EF4-FFF2-40B4-BE49-F238E27FC236}">
              <a16:creationId xmlns:a16="http://schemas.microsoft.com/office/drawing/2014/main" id="{BE53F57E-5843-8C0F-66DC-9E8FDC383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7"/>
        <a:stretch>
          <a:fillRect/>
        </a:stretch>
      </xdr:blipFill>
      <xdr:spPr>
        <a:xfrm>
          <a:off x="818198" y="1378976120"/>
          <a:ext cx="1000125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611028</xdr:colOff>
      <xdr:row>1578</xdr:row>
      <xdr:rowOff>60246</xdr:rowOff>
    </xdr:from>
    <xdr:to>
      <xdr:col>0</xdr:col>
      <xdr:colOff>2025491</xdr:colOff>
      <xdr:row>1578</xdr:row>
      <xdr:rowOff>724615</xdr:rowOff>
    </xdr:to>
    <xdr:pic>
      <xdr:nvPicPr>
        <xdr:cNvPr id="3157" name="Picture 3156" descr="Insight Picture 3156">
          <a:extLst>
            <a:ext uri="{FF2B5EF4-FFF2-40B4-BE49-F238E27FC236}">
              <a16:creationId xmlns:a16="http://schemas.microsoft.com/office/drawing/2014/main" id="{2EDB6207-40E2-EF44-D341-60DA63507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8"/>
        <a:stretch>
          <a:fillRect/>
        </a:stretch>
      </xdr:blipFill>
      <xdr:spPr>
        <a:xfrm>
          <a:off x="611028" y="1379897466"/>
          <a:ext cx="1414463" cy="664369"/>
        </a:xfrm>
        <a:prstGeom prst="rect">
          <a:avLst/>
        </a:prstGeom>
      </xdr:spPr>
    </xdr:pic>
    <xdr:clientData/>
  </xdr:twoCellAnchor>
  <xdr:twoCellAnchor editAs="oneCell">
    <xdr:from>
      <xdr:col>0</xdr:col>
      <xdr:colOff>818198</xdr:colOff>
      <xdr:row>1579</xdr:row>
      <xdr:rowOff>62587</xdr:rowOff>
    </xdr:from>
    <xdr:to>
      <xdr:col>0</xdr:col>
      <xdr:colOff>1818323</xdr:colOff>
      <xdr:row>1579</xdr:row>
      <xdr:rowOff>798393</xdr:rowOff>
    </xdr:to>
    <xdr:pic>
      <xdr:nvPicPr>
        <xdr:cNvPr id="3159" name="Picture 3158" descr="Insight Picture 3158">
          <a:extLst>
            <a:ext uri="{FF2B5EF4-FFF2-40B4-BE49-F238E27FC236}">
              <a16:creationId xmlns:a16="http://schemas.microsoft.com/office/drawing/2014/main" id="{5542A816-148E-01F7-77E4-F4D1A10ED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9"/>
        <a:stretch>
          <a:fillRect/>
        </a:stretch>
      </xdr:blipFill>
      <xdr:spPr>
        <a:xfrm>
          <a:off x="818198" y="1380684667"/>
          <a:ext cx="1000125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925353</xdr:colOff>
      <xdr:row>1580</xdr:row>
      <xdr:rowOff>60265</xdr:rowOff>
    </xdr:from>
    <xdr:to>
      <xdr:col>0</xdr:col>
      <xdr:colOff>1711166</xdr:colOff>
      <xdr:row>1580</xdr:row>
      <xdr:rowOff>838934</xdr:rowOff>
    </xdr:to>
    <xdr:pic>
      <xdr:nvPicPr>
        <xdr:cNvPr id="3161" name="Picture 3160" descr="Insight Picture 3160">
          <a:extLst>
            <a:ext uri="{FF2B5EF4-FFF2-40B4-BE49-F238E27FC236}">
              <a16:creationId xmlns:a16="http://schemas.microsoft.com/office/drawing/2014/main" id="{ED2C78B9-4A66-8FF6-F45F-5FAC5F369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0"/>
        <a:stretch>
          <a:fillRect/>
        </a:stretch>
      </xdr:blipFill>
      <xdr:spPr>
        <a:xfrm>
          <a:off x="925353" y="1381543405"/>
          <a:ext cx="785813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789622</xdr:colOff>
      <xdr:row>1581</xdr:row>
      <xdr:rowOff>62409</xdr:rowOff>
    </xdr:from>
    <xdr:to>
      <xdr:col>0</xdr:col>
      <xdr:colOff>1846897</xdr:colOff>
      <xdr:row>1581</xdr:row>
      <xdr:rowOff>905372</xdr:rowOff>
    </xdr:to>
    <xdr:pic>
      <xdr:nvPicPr>
        <xdr:cNvPr id="3163" name="Picture 3162" descr="Insight Picture 3162">
          <a:extLst>
            <a:ext uri="{FF2B5EF4-FFF2-40B4-BE49-F238E27FC236}">
              <a16:creationId xmlns:a16="http://schemas.microsoft.com/office/drawing/2014/main" id="{DB27A833-128D-2677-1738-354ECAC6D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1"/>
        <a:stretch>
          <a:fillRect/>
        </a:stretch>
      </xdr:blipFill>
      <xdr:spPr>
        <a:xfrm>
          <a:off x="789622" y="1382444709"/>
          <a:ext cx="1057275" cy="842963"/>
        </a:xfrm>
        <a:prstGeom prst="rect">
          <a:avLst/>
        </a:prstGeom>
      </xdr:spPr>
    </xdr:pic>
    <xdr:clientData/>
  </xdr:twoCellAnchor>
  <xdr:twoCellAnchor editAs="oneCell">
    <xdr:from>
      <xdr:col>0</xdr:col>
      <xdr:colOff>750332</xdr:colOff>
      <xdr:row>1582</xdr:row>
      <xdr:rowOff>62349</xdr:rowOff>
    </xdr:from>
    <xdr:to>
      <xdr:col>0</xdr:col>
      <xdr:colOff>1886188</xdr:colOff>
      <xdr:row>1582</xdr:row>
      <xdr:rowOff>791012</xdr:rowOff>
    </xdr:to>
    <xdr:pic>
      <xdr:nvPicPr>
        <xdr:cNvPr id="3165" name="Picture 3164" descr="Insight Picture 3164">
          <a:extLst>
            <a:ext uri="{FF2B5EF4-FFF2-40B4-BE49-F238E27FC236}">
              <a16:creationId xmlns:a16="http://schemas.microsoft.com/office/drawing/2014/main" id="{D0B72D73-6605-0183-CA5C-4AC7D76FB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2"/>
        <a:stretch>
          <a:fillRect/>
        </a:stretch>
      </xdr:blipFill>
      <xdr:spPr>
        <a:xfrm>
          <a:off x="750332" y="1383412389"/>
          <a:ext cx="1135856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825341</xdr:colOff>
      <xdr:row>1583</xdr:row>
      <xdr:rowOff>63579</xdr:rowOff>
    </xdr:from>
    <xdr:to>
      <xdr:col>0</xdr:col>
      <xdr:colOff>1811179</xdr:colOff>
      <xdr:row>1583</xdr:row>
      <xdr:rowOff>942260</xdr:rowOff>
    </xdr:to>
    <xdr:pic>
      <xdr:nvPicPr>
        <xdr:cNvPr id="3167" name="Picture 3166" descr="Insight Picture 3166">
          <a:extLst>
            <a:ext uri="{FF2B5EF4-FFF2-40B4-BE49-F238E27FC236}">
              <a16:creationId xmlns:a16="http://schemas.microsoft.com/office/drawing/2014/main" id="{466F010A-B6D9-9174-491E-89BBF2463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3"/>
        <a:stretch>
          <a:fillRect/>
        </a:stretch>
      </xdr:blipFill>
      <xdr:spPr>
        <a:xfrm>
          <a:off x="825341" y="1384267059"/>
          <a:ext cx="985838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921782</xdr:colOff>
      <xdr:row>1584</xdr:row>
      <xdr:rowOff>61436</xdr:rowOff>
    </xdr:from>
    <xdr:to>
      <xdr:col>0</xdr:col>
      <xdr:colOff>1714738</xdr:colOff>
      <xdr:row>1584</xdr:row>
      <xdr:rowOff>761524</xdr:rowOff>
    </xdr:to>
    <xdr:pic>
      <xdr:nvPicPr>
        <xdr:cNvPr id="3169" name="Picture 3168" descr="Insight Picture 3168">
          <a:extLst>
            <a:ext uri="{FF2B5EF4-FFF2-40B4-BE49-F238E27FC236}">
              <a16:creationId xmlns:a16="http://schemas.microsoft.com/office/drawing/2014/main" id="{915622EB-F734-4817-8568-8671DD2F6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4"/>
        <a:stretch>
          <a:fillRect/>
        </a:stretch>
      </xdr:blipFill>
      <xdr:spPr>
        <a:xfrm>
          <a:off x="921782" y="1385270756"/>
          <a:ext cx="792956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946785</xdr:colOff>
      <xdr:row>1585</xdr:row>
      <xdr:rowOff>62587</xdr:rowOff>
    </xdr:from>
    <xdr:to>
      <xdr:col>0</xdr:col>
      <xdr:colOff>1689735</xdr:colOff>
      <xdr:row>1585</xdr:row>
      <xdr:rowOff>798393</xdr:rowOff>
    </xdr:to>
    <xdr:pic>
      <xdr:nvPicPr>
        <xdr:cNvPr id="3171" name="Picture 3170" descr="Insight Picture 3170">
          <a:extLst>
            <a:ext uri="{FF2B5EF4-FFF2-40B4-BE49-F238E27FC236}">
              <a16:creationId xmlns:a16="http://schemas.microsoft.com/office/drawing/2014/main" id="{C056C8F0-F35F-049A-6E86-10670F2EA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5"/>
        <a:stretch>
          <a:fillRect/>
        </a:stretch>
      </xdr:blipFill>
      <xdr:spPr>
        <a:xfrm>
          <a:off x="946785" y="1386094867"/>
          <a:ext cx="742950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825341</xdr:colOff>
      <xdr:row>1586</xdr:row>
      <xdr:rowOff>62151</xdr:rowOff>
    </xdr:from>
    <xdr:to>
      <xdr:col>0</xdr:col>
      <xdr:colOff>1811179</xdr:colOff>
      <xdr:row>1586</xdr:row>
      <xdr:rowOff>897970</xdr:rowOff>
    </xdr:to>
    <xdr:pic>
      <xdr:nvPicPr>
        <xdr:cNvPr id="3173" name="Picture 3172" descr="Insight Picture 3172">
          <a:extLst>
            <a:ext uri="{FF2B5EF4-FFF2-40B4-BE49-F238E27FC236}">
              <a16:creationId xmlns:a16="http://schemas.microsoft.com/office/drawing/2014/main" id="{193CB531-D554-9F1A-6D66-8740B6BD1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6"/>
        <a:stretch>
          <a:fillRect/>
        </a:stretch>
      </xdr:blipFill>
      <xdr:spPr>
        <a:xfrm>
          <a:off x="825341" y="1386955491"/>
          <a:ext cx="985838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568166</xdr:colOff>
      <xdr:row>1587</xdr:row>
      <xdr:rowOff>61178</xdr:rowOff>
    </xdr:from>
    <xdr:to>
      <xdr:col>0</xdr:col>
      <xdr:colOff>2068354</xdr:colOff>
      <xdr:row>1587</xdr:row>
      <xdr:rowOff>754122</xdr:rowOff>
    </xdr:to>
    <xdr:pic>
      <xdr:nvPicPr>
        <xdr:cNvPr id="3175" name="Picture 3174" descr="Insight Picture 3174">
          <a:extLst>
            <a:ext uri="{FF2B5EF4-FFF2-40B4-BE49-F238E27FC236}">
              <a16:creationId xmlns:a16="http://schemas.microsoft.com/office/drawing/2014/main" id="{D930C1B1-39D6-8F02-090C-E79011CFE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7"/>
        <a:stretch>
          <a:fillRect/>
        </a:stretch>
      </xdr:blipFill>
      <xdr:spPr>
        <a:xfrm>
          <a:off x="568166" y="1387914638"/>
          <a:ext cx="1500188" cy="692944"/>
        </a:xfrm>
        <a:prstGeom prst="rect">
          <a:avLst/>
        </a:prstGeom>
      </xdr:spPr>
    </xdr:pic>
    <xdr:clientData/>
  </xdr:twoCellAnchor>
  <xdr:twoCellAnchor editAs="oneCell">
    <xdr:from>
      <xdr:col>0</xdr:col>
      <xdr:colOff>839628</xdr:colOff>
      <xdr:row>1588</xdr:row>
      <xdr:rowOff>60226</xdr:rowOff>
    </xdr:from>
    <xdr:to>
      <xdr:col>0</xdr:col>
      <xdr:colOff>1796891</xdr:colOff>
      <xdr:row>1588</xdr:row>
      <xdr:rowOff>838895</xdr:rowOff>
    </xdr:to>
    <xdr:pic>
      <xdr:nvPicPr>
        <xdr:cNvPr id="3177" name="Picture 3176" descr="Insight Picture 3176">
          <a:extLst>
            <a:ext uri="{FF2B5EF4-FFF2-40B4-BE49-F238E27FC236}">
              <a16:creationId xmlns:a16="http://schemas.microsoft.com/office/drawing/2014/main" id="{D9257866-9F6D-484D-77B5-30C18BE3A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8"/>
        <a:stretch>
          <a:fillRect/>
        </a:stretch>
      </xdr:blipFill>
      <xdr:spPr>
        <a:xfrm>
          <a:off x="839628" y="1388729026"/>
          <a:ext cx="957263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839628</xdr:colOff>
      <xdr:row>1589</xdr:row>
      <xdr:rowOff>60285</xdr:rowOff>
    </xdr:from>
    <xdr:to>
      <xdr:col>0</xdr:col>
      <xdr:colOff>1796891</xdr:colOff>
      <xdr:row>1589</xdr:row>
      <xdr:rowOff>838954</xdr:rowOff>
    </xdr:to>
    <xdr:pic>
      <xdr:nvPicPr>
        <xdr:cNvPr id="3179" name="Picture 3178" descr="Insight Picture 3178">
          <a:extLst>
            <a:ext uri="{FF2B5EF4-FFF2-40B4-BE49-F238E27FC236}">
              <a16:creationId xmlns:a16="http://schemas.microsoft.com/office/drawing/2014/main" id="{D4A2915C-F145-2BE8-7803-D4B53D422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9"/>
        <a:stretch>
          <a:fillRect/>
        </a:stretch>
      </xdr:blipFill>
      <xdr:spPr>
        <a:xfrm>
          <a:off x="839628" y="1389628245"/>
          <a:ext cx="957263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664607</xdr:colOff>
      <xdr:row>1590</xdr:row>
      <xdr:rowOff>62131</xdr:rowOff>
    </xdr:from>
    <xdr:to>
      <xdr:col>0</xdr:col>
      <xdr:colOff>1971913</xdr:colOff>
      <xdr:row>1590</xdr:row>
      <xdr:rowOff>897950</xdr:rowOff>
    </xdr:to>
    <xdr:pic>
      <xdr:nvPicPr>
        <xdr:cNvPr id="3181" name="Picture 3180" descr="Insight Picture 3180">
          <a:extLst>
            <a:ext uri="{FF2B5EF4-FFF2-40B4-BE49-F238E27FC236}">
              <a16:creationId xmlns:a16="http://schemas.microsoft.com/office/drawing/2014/main" id="{78BBDF0D-1C30-C8D0-9BF5-C7980C309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0"/>
        <a:stretch>
          <a:fillRect/>
        </a:stretch>
      </xdr:blipFill>
      <xdr:spPr>
        <a:xfrm>
          <a:off x="664607" y="1390529251"/>
          <a:ext cx="1307306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818198</xdr:colOff>
      <xdr:row>1591</xdr:row>
      <xdr:rowOff>63540</xdr:rowOff>
    </xdr:from>
    <xdr:to>
      <xdr:col>0</xdr:col>
      <xdr:colOff>1818323</xdr:colOff>
      <xdr:row>1591</xdr:row>
      <xdr:rowOff>942221</xdr:rowOff>
    </xdr:to>
    <xdr:pic>
      <xdr:nvPicPr>
        <xdr:cNvPr id="3183" name="Picture 3182" descr="Insight Picture 3182">
          <a:extLst>
            <a:ext uri="{FF2B5EF4-FFF2-40B4-BE49-F238E27FC236}">
              <a16:creationId xmlns:a16="http://schemas.microsoft.com/office/drawing/2014/main" id="{3E9B017C-5AB5-F82C-30A6-D510991DC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1"/>
        <a:stretch>
          <a:fillRect/>
        </a:stretch>
      </xdr:blipFill>
      <xdr:spPr>
        <a:xfrm>
          <a:off x="818198" y="1391490780"/>
          <a:ext cx="1000125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811053</xdr:colOff>
      <xdr:row>1592</xdr:row>
      <xdr:rowOff>62190</xdr:rowOff>
    </xdr:from>
    <xdr:to>
      <xdr:col>0</xdr:col>
      <xdr:colOff>1825466</xdr:colOff>
      <xdr:row>1592</xdr:row>
      <xdr:rowOff>898009</xdr:rowOff>
    </xdr:to>
    <xdr:pic>
      <xdr:nvPicPr>
        <xdr:cNvPr id="3185" name="Picture 3184" descr="Insight Picture 3184">
          <a:extLst>
            <a:ext uri="{FF2B5EF4-FFF2-40B4-BE49-F238E27FC236}">
              <a16:creationId xmlns:a16="http://schemas.microsoft.com/office/drawing/2014/main" id="{88E4AF33-8C96-B167-4E31-DC8A6EB7E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2"/>
        <a:stretch>
          <a:fillRect/>
        </a:stretch>
      </xdr:blipFill>
      <xdr:spPr>
        <a:xfrm>
          <a:off x="811053" y="1392495270"/>
          <a:ext cx="1014413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553878</xdr:colOff>
      <xdr:row>1593</xdr:row>
      <xdr:rowOff>63103</xdr:rowOff>
    </xdr:from>
    <xdr:to>
      <xdr:col>0</xdr:col>
      <xdr:colOff>2082641</xdr:colOff>
      <xdr:row>1593</xdr:row>
      <xdr:rowOff>813197</xdr:rowOff>
    </xdr:to>
    <xdr:pic>
      <xdr:nvPicPr>
        <xdr:cNvPr id="3187" name="Picture 3186" descr="Insight Picture 3186">
          <a:extLst>
            <a:ext uri="{FF2B5EF4-FFF2-40B4-BE49-F238E27FC236}">
              <a16:creationId xmlns:a16="http://schemas.microsoft.com/office/drawing/2014/main" id="{FAF785C0-67E2-5BD1-1587-6740BBF9B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3"/>
        <a:stretch>
          <a:fillRect/>
        </a:stretch>
      </xdr:blipFill>
      <xdr:spPr>
        <a:xfrm>
          <a:off x="553878" y="1393456303"/>
          <a:ext cx="1528763" cy="750094"/>
        </a:xfrm>
        <a:prstGeom prst="rect">
          <a:avLst/>
        </a:prstGeom>
      </xdr:spPr>
    </xdr:pic>
    <xdr:clientData/>
  </xdr:twoCellAnchor>
  <xdr:twoCellAnchor editAs="oneCell">
    <xdr:from>
      <xdr:col>0</xdr:col>
      <xdr:colOff>800338</xdr:colOff>
      <xdr:row>1594</xdr:row>
      <xdr:rowOff>63302</xdr:rowOff>
    </xdr:from>
    <xdr:to>
      <xdr:col>0</xdr:col>
      <xdr:colOff>1836182</xdr:colOff>
      <xdr:row>1594</xdr:row>
      <xdr:rowOff>591940</xdr:rowOff>
    </xdr:to>
    <xdr:pic>
      <xdr:nvPicPr>
        <xdr:cNvPr id="3189" name="Picture 3188" descr="Insight Picture 3188">
          <a:extLst>
            <a:ext uri="{FF2B5EF4-FFF2-40B4-BE49-F238E27FC236}">
              <a16:creationId xmlns:a16="http://schemas.microsoft.com/office/drawing/2014/main" id="{EBFAA1BF-48F9-8775-5A90-819D79B7B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4"/>
        <a:stretch>
          <a:fillRect/>
        </a:stretch>
      </xdr:blipFill>
      <xdr:spPr>
        <a:xfrm>
          <a:off x="800338" y="1394332802"/>
          <a:ext cx="1035844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557450</xdr:colOff>
      <xdr:row>1595</xdr:row>
      <xdr:rowOff>62131</xdr:rowOff>
    </xdr:from>
    <xdr:to>
      <xdr:col>0</xdr:col>
      <xdr:colOff>2079069</xdr:colOff>
      <xdr:row>1595</xdr:row>
      <xdr:rowOff>897950</xdr:rowOff>
    </xdr:to>
    <xdr:pic>
      <xdr:nvPicPr>
        <xdr:cNvPr id="3191" name="Picture 3190" descr="Insight Picture 3190">
          <a:extLst>
            <a:ext uri="{FF2B5EF4-FFF2-40B4-BE49-F238E27FC236}">
              <a16:creationId xmlns:a16="http://schemas.microsoft.com/office/drawing/2014/main" id="{A76EC771-51D7-57C7-00B1-D3AE57FA1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5"/>
        <a:stretch>
          <a:fillRect/>
        </a:stretch>
      </xdr:blipFill>
      <xdr:spPr>
        <a:xfrm>
          <a:off x="557450" y="1394986951"/>
          <a:ext cx="1521619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578882</xdr:colOff>
      <xdr:row>1596</xdr:row>
      <xdr:rowOff>60960</xdr:rowOff>
    </xdr:from>
    <xdr:to>
      <xdr:col>0</xdr:col>
      <xdr:colOff>2057638</xdr:colOff>
      <xdr:row>1596</xdr:row>
      <xdr:rowOff>861060</xdr:rowOff>
    </xdr:to>
    <xdr:pic>
      <xdr:nvPicPr>
        <xdr:cNvPr id="3193" name="Picture 3192" descr="Insight Picture 3192">
          <a:extLst>
            <a:ext uri="{FF2B5EF4-FFF2-40B4-BE49-F238E27FC236}">
              <a16:creationId xmlns:a16="http://schemas.microsoft.com/office/drawing/2014/main" id="{936C9A2F-A0A1-5F1C-9179-560C8FA47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6"/>
        <a:stretch>
          <a:fillRect/>
        </a:stretch>
      </xdr:blipFill>
      <xdr:spPr>
        <a:xfrm>
          <a:off x="578882" y="1395945900"/>
          <a:ext cx="1478756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707470</xdr:colOff>
      <xdr:row>1597</xdr:row>
      <xdr:rowOff>63560</xdr:rowOff>
    </xdr:from>
    <xdr:to>
      <xdr:col>0</xdr:col>
      <xdr:colOff>1929051</xdr:colOff>
      <xdr:row>1597</xdr:row>
      <xdr:rowOff>713641</xdr:rowOff>
    </xdr:to>
    <xdr:pic>
      <xdr:nvPicPr>
        <xdr:cNvPr id="3195" name="Picture 3194" descr="Insight Picture 3194">
          <a:extLst>
            <a:ext uri="{FF2B5EF4-FFF2-40B4-BE49-F238E27FC236}">
              <a16:creationId xmlns:a16="http://schemas.microsoft.com/office/drawing/2014/main" id="{CF2D10BD-BB71-04A0-718B-252352EBA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7"/>
        <a:stretch>
          <a:fillRect/>
        </a:stretch>
      </xdr:blipFill>
      <xdr:spPr>
        <a:xfrm>
          <a:off x="707470" y="1396870520"/>
          <a:ext cx="1221581" cy="650081"/>
        </a:xfrm>
        <a:prstGeom prst="rect">
          <a:avLst/>
        </a:prstGeom>
      </xdr:spPr>
    </xdr:pic>
    <xdr:clientData/>
  </xdr:twoCellAnchor>
  <xdr:twoCellAnchor editAs="oneCell">
    <xdr:from>
      <xdr:col>0</xdr:col>
      <xdr:colOff>464582</xdr:colOff>
      <xdr:row>1598</xdr:row>
      <xdr:rowOff>60722</xdr:rowOff>
    </xdr:from>
    <xdr:to>
      <xdr:col>0</xdr:col>
      <xdr:colOff>2171938</xdr:colOff>
      <xdr:row>1598</xdr:row>
      <xdr:rowOff>625078</xdr:rowOff>
    </xdr:to>
    <xdr:pic>
      <xdr:nvPicPr>
        <xdr:cNvPr id="3197" name="Picture 3196" descr="Insight Picture 3196">
          <a:extLst>
            <a:ext uri="{FF2B5EF4-FFF2-40B4-BE49-F238E27FC236}">
              <a16:creationId xmlns:a16="http://schemas.microsoft.com/office/drawing/2014/main" id="{41E8AE8C-7608-4F5E-EE9A-BA3E1D564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8"/>
        <a:stretch>
          <a:fillRect/>
        </a:stretch>
      </xdr:blipFill>
      <xdr:spPr>
        <a:xfrm>
          <a:off x="464582" y="1397644922"/>
          <a:ext cx="1707356" cy="564356"/>
        </a:xfrm>
        <a:prstGeom prst="rect">
          <a:avLst/>
        </a:prstGeom>
      </xdr:spPr>
    </xdr:pic>
    <xdr:clientData/>
  </xdr:twoCellAnchor>
  <xdr:twoCellAnchor editAs="oneCell">
    <xdr:from>
      <xdr:col>0</xdr:col>
      <xdr:colOff>753903</xdr:colOff>
      <xdr:row>1599</xdr:row>
      <xdr:rowOff>61416</xdr:rowOff>
    </xdr:from>
    <xdr:to>
      <xdr:col>0</xdr:col>
      <xdr:colOff>1882616</xdr:colOff>
      <xdr:row>1599</xdr:row>
      <xdr:rowOff>1104404</xdr:rowOff>
    </xdr:to>
    <xdr:pic>
      <xdr:nvPicPr>
        <xdr:cNvPr id="3199" name="Picture 3198" descr="Insight Picture 3198">
          <a:extLst>
            <a:ext uri="{FF2B5EF4-FFF2-40B4-BE49-F238E27FC236}">
              <a16:creationId xmlns:a16="http://schemas.microsoft.com/office/drawing/2014/main" id="{A028B40F-CEE4-1EF2-CD73-2D49B7CF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9"/>
        <a:stretch>
          <a:fillRect/>
        </a:stretch>
      </xdr:blipFill>
      <xdr:spPr>
        <a:xfrm>
          <a:off x="753903" y="1398331416"/>
          <a:ext cx="1128713" cy="1042988"/>
        </a:xfrm>
        <a:prstGeom prst="rect">
          <a:avLst/>
        </a:prstGeom>
      </xdr:spPr>
    </xdr:pic>
    <xdr:clientData/>
  </xdr:twoCellAnchor>
  <xdr:twoCellAnchor editAs="oneCell">
    <xdr:from>
      <xdr:col>0</xdr:col>
      <xdr:colOff>636032</xdr:colOff>
      <xdr:row>1600</xdr:row>
      <xdr:rowOff>61873</xdr:rowOff>
    </xdr:from>
    <xdr:to>
      <xdr:col>0</xdr:col>
      <xdr:colOff>2000488</xdr:colOff>
      <xdr:row>1600</xdr:row>
      <xdr:rowOff>890548</xdr:rowOff>
    </xdr:to>
    <xdr:pic>
      <xdr:nvPicPr>
        <xdr:cNvPr id="3201" name="Picture 3200" descr="Insight Picture 3200">
          <a:extLst>
            <a:ext uri="{FF2B5EF4-FFF2-40B4-BE49-F238E27FC236}">
              <a16:creationId xmlns:a16="http://schemas.microsoft.com/office/drawing/2014/main" id="{927C6497-1C63-3393-0EDD-AB632CBDF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0"/>
        <a:stretch>
          <a:fillRect/>
        </a:stretch>
      </xdr:blipFill>
      <xdr:spPr>
        <a:xfrm>
          <a:off x="636032" y="1399497733"/>
          <a:ext cx="1364456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664607</xdr:colOff>
      <xdr:row>1601</xdr:row>
      <xdr:rowOff>63560</xdr:rowOff>
    </xdr:from>
    <xdr:to>
      <xdr:col>0</xdr:col>
      <xdr:colOff>1971913</xdr:colOff>
      <xdr:row>1601</xdr:row>
      <xdr:rowOff>942241</xdr:rowOff>
    </xdr:to>
    <xdr:pic>
      <xdr:nvPicPr>
        <xdr:cNvPr id="3203" name="Picture 3202" descr="Insight Picture 3202">
          <a:extLst>
            <a:ext uri="{FF2B5EF4-FFF2-40B4-BE49-F238E27FC236}">
              <a16:creationId xmlns:a16="http://schemas.microsoft.com/office/drawing/2014/main" id="{F83ADDE3-4194-D5FE-E96D-40B14130E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1"/>
        <a:stretch>
          <a:fillRect/>
        </a:stretch>
      </xdr:blipFill>
      <xdr:spPr>
        <a:xfrm>
          <a:off x="664607" y="1400451920"/>
          <a:ext cx="1307306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811053</xdr:colOff>
      <xdr:row>1602</xdr:row>
      <xdr:rowOff>63599</xdr:rowOff>
    </xdr:from>
    <xdr:to>
      <xdr:col>0</xdr:col>
      <xdr:colOff>1825466</xdr:colOff>
      <xdr:row>1602</xdr:row>
      <xdr:rowOff>942280</xdr:rowOff>
    </xdr:to>
    <xdr:pic>
      <xdr:nvPicPr>
        <xdr:cNvPr id="3205" name="Picture 3204" descr="Insight Picture 3204">
          <a:extLst>
            <a:ext uri="{FF2B5EF4-FFF2-40B4-BE49-F238E27FC236}">
              <a16:creationId xmlns:a16="http://schemas.microsoft.com/office/drawing/2014/main" id="{249A4944-FD84-389E-C8D9-0704E2C38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2"/>
        <a:stretch>
          <a:fillRect/>
        </a:stretch>
      </xdr:blipFill>
      <xdr:spPr>
        <a:xfrm>
          <a:off x="811053" y="1401457799"/>
          <a:ext cx="1014413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603885</xdr:colOff>
      <xdr:row>1603</xdr:row>
      <xdr:rowOff>62647</xdr:rowOff>
    </xdr:from>
    <xdr:to>
      <xdr:col>0</xdr:col>
      <xdr:colOff>2032635</xdr:colOff>
      <xdr:row>1603</xdr:row>
      <xdr:rowOff>912753</xdr:rowOff>
    </xdr:to>
    <xdr:pic>
      <xdr:nvPicPr>
        <xdr:cNvPr id="3207" name="Picture 3206" descr="Insight Picture 3206">
          <a:extLst>
            <a:ext uri="{FF2B5EF4-FFF2-40B4-BE49-F238E27FC236}">
              <a16:creationId xmlns:a16="http://schemas.microsoft.com/office/drawing/2014/main" id="{1298BCEF-F067-F9AA-A9F6-8934537B8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3"/>
        <a:stretch>
          <a:fillRect/>
        </a:stretch>
      </xdr:blipFill>
      <xdr:spPr>
        <a:xfrm>
          <a:off x="603885" y="1402462687"/>
          <a:ext cx="1428750" cy="850106"/>
        </a:xfrm>
        <a:prstGeom prst="rect">
          <a:avLst/>
        </a:prstGeom>
      </xdr:spPr>
    </xdr:pic>
    <xdr:clientData/>
  </xdr:twoCellAnchor>
  <xdr:twoCellAnchor editAs="oneCell">
    <xdr:from>
      <xdr:col>0</xdr:col>
      <xdr:colOff>450294</xdr:colOff>
      <xdr:row>1604</xdr:row>
      <xdr:rowOff>61714</xdr:rowOff>
    </xdr:from>
    <xdr:to>
      <xdr:col>0</xdr:col>
      <xdr:colOff>2186225</xdr:colOff>
      <xdr:row>1604</xdr:row>
      <xdr:rowOff>654645</xdr:rowOff>
    </xdr:to>
    <xdr:pic>
      <xdr:nvPicPr>
        <xdr:cNvPr id="3209" name="Picture 3208" descr="Insight Picture 3208">
          <a:extLst>
            <a:ext uri="{FF2B5EF4-FFF2-40B4-BE49-F238E27FC236}">
              <a16:creationId xmlns:a16="http://schemas.microsoft.com/office/drawing/2014/main" id="{2E591A58-D606-CB4D-6120-5F5EB7E6A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4"/>
        <a:stretch>
          <a:fillRect/>
        </a:stretch>
      </xdr:blipFill>
      <xdr:spPr>
        <a:xfrm>
          <a:off x="450294" y="1403437114"/>
          <a:ext cx="1735931" cy="592931"/>
        </a:xfrm>
        <a:prstGeom prst="rect">
          <a:avLst/>
        </a:prstGeom>
      </xdr:spPr>
    </xdr:pic>
    <xdr:clientData/>
  </xdr:twoCellAnchor>
  <xdr:twoCellAnchor editAs="oneCell">
    <xdr:from>
      <xdr:col>0</xdr:col>
      <xdr:colOff>628888</xdr:colOff>
      <xdr:row>1605</xdr:row>
      <xdr:rowOff>62389</xdr:rowOff>
    </xdr:from>
    <xdr:to>
      <xdr:col>0</xdr:col>
      <xdr:colOff>2007632</xdr:colOff>
      <xdr:row>1605</xdr:row>
      <xdr:rowOff>791052</xdr:rowOff>
    </xdr:to>
    <xdr:pic>
      <xdr:nvPicPr>
        <xdr:cNvPr id="3211" name="Picture 3210" descr="Insight Picture 3210">
          <a:extLst>
            <a:ext uri="{FF2B5EF4-FFF2-40B4-BE49-F238E27FC236}">
              <a16:creationId xmlns:a16="http://schemas.microsoft.com/office/drawing/2014/main" id="{92F138CC-E985-BCF8-0A35-50F543531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5"/>
        <a:stretch>
          <a:fillRect/>
        </a:stretch>
      </xdr:blipFill>
      <xdr:spPr>
        <a:xfrm>
          <a:off x="628888" y="1404154069"/>
          <a:ext cx="1378744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628888</xdr:colOff>
      <xdr:row>1606</xdr:row>
      <xdr:rowOff>60246</xdr:rowOff>
    </xdr:from>
    <xdr:to>
      <xdr:col>0</xdr:col>
      <xdr:colOff>2007632</xdr:colOff>
      <xdr:row>1606</xdr:row>
      <xdr:rowOff>838915</xdr:rowOff>
    </xdr:to>
    <xdr:pic>
      <xdr:nvPicPr>
        <xdr:cNvPr id="3213" name="Picture 3212" descr="Insight Picture 3212">
          <a:extLst>
            <a:ext uri="{FF2B5EF4-FFF2-40B4-BE49-F238E27FC236}">
              <a16:creationId xmlns:a16="http://schemas.microsoft.com/office/drawing/2014/main" id="{3ABA0E77-C1EF-46D9-6A53-25B12D371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6"/>
        <a:stretch>
          <a:fillRect/>
        </a:stretch>
      </xdr:blipFill>
      <xdr:spPr>
        <a:xfrm>
          <a:off x="628888" y="1405005366"/>
          <a:ext cx="1378744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500301</xdr:colOff>
      <xdr:row>1607</xdr:row>
      <xdr:rowOff>60206</xdr:rowOff>
    </xdr:from>
    <xdr:to>
      <xdr:col>0</xdr:col>
      <xdr:colOff>2136220</xdr:colOff>
      <xdr:row>1607</xdr:row>
      <xdr:rowOff>838875</xdr:rowOff>
    </xdr:to>
    <xdr:pic>
      <xdr:nvPicPr>
        <xdr:cNvPr id="3215" name="Picture 3214" descr="Insight Picture 3214">
          <a:extLst>
            <a:ext uri="{FF2B5EF4-FFF2-40B4-BE49-F238E27FC236}">
              <a16:creationId xmlns:a16="http://schemas.microsoft.com/office/drawing/2014/main" id="{2D1E968B-DE3B-3D44-CD96-33A75705A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7"/>
        <a:stretch>
          <a:fillRect/>
        </a:stretch>
      </xdr:blipFill>
      <xdr:spPr>
        <a:xfrm>
          <a:off x="500301" y="1405904486"/>
          <a:ext cx="1635919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500301</xdr:colOff>
      <xdr:row>1608</xdr:row>
      <xdr:rowOff>62349</xdr:rowOff>
    </xdr:from>
    <xdr:to>
      <xdr:col>0</xdr:col>
      <xdr:colOff>2136220</xdr:colOff>
      <xdr:row>1608</xdr:row>
      <xdr:rowOff>791012</xdr:rowOff>
    </xdr:to>
    <xdr:pic>
      <xdr:nvPicPr>
        <xdr:cNvPr id="3217" name="Picture 3216" descr="Insight Picture 3216">
          <a:extLst>
            <a:ext uri="{FF2B5EF4-FFF2-40B4-BE49-F238E27FC236}">
              <a16:creationId xmlns:a16="http://schemas.microsoft.com/office/drawing/2014/main" id="{E2DFD50F-FFFA-AF74-A590-49AD90466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8"/>
        <a:stretch>
          <a:fillRect/>
        </a:stretch>
      </xdr:blipFill>
      <xdr:spPr>
        <a:xfrm>
          <a:off x="500301" y="1406805789"/>
          <a:ext cx="1635919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732472</xdr:colOff>
      <xdr:row>1609</xdr:row>
      <xdr:rowOff>61397</xdr:rowOff>
    </xdr:from>
    <xdr:to>
      <xdr:col>0</xdr:col>
      <xdr:colOff>1904047</xdr:colOff>
      <xdr:row>1609</xdr:row>
      <xdr:rowOff>761485</xdr:rowOff>
    </xdr:to>
    <xdr:pic>
      <xdr:nvPicPr>
        <xdr:cNvPr id="3219" name="Picture 3218" descr="Insight Picture 3218">
          <a:extLst>
            <a:ext uri="{FF2B5EF4-FFF2-40B4-BE49-F238E27FC236}">
              <a16:creationId xmlns:a16="http://schemas.microsoft.com/office/drawing/2014/main" id="{AD1E0E7A-E793-C5F4-1172-308810335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9"/>
        <a:stretch>
          <a:fillRect/>
        </a:stretch>
      </xdr:blipFill>
      <xdr:spPr>
        <a:xfrm>
          <a:off x="732472" y="1407658277"/>
          <a:ext cx="1171575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732472</xdr:colOff>
      <xdr:row>1610</xdr:row>
      <xdr:rowOff>63837</xdr:rowOff>
    </xdr:from>
    <xdr:to>
      <xdr:col>0</xdr:col>
      <xdr:colOff>1904047</xdr:colOff>
      <xdr:row>1610</xdr:row>
      <xdr:rowOff>1063962</xdr:rowOff>
    </xdr:to>
    <xdr:pic>
      <xdr:nvPicPr>
        <xdr:cNvPr id="3221" name="Picture 3220" descr="Insight Picture 3220">
          <a:extLst>
            <a:ext uri="{FF2B5EF4-FFF2-40B4-BE49-F238E27FC236}">
              <a16:creationId xmlns:a16="http://schemas.microsoft.com/office/drawing/2014/main" id="{B7FD03F9-2F00-6EC7-6357-00C8166FD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0"/>
        <a:stretch>
          <a:fillRect/>
        </a:stretch>
      </xdr:blipFill>
      <xdr:spPr>
        <a:xfrm>
          <a:off x="732472" y="1408483677"/>
          <a:ext cx="1171575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661035</xdr:colOff>
      <xdr:row>1611</xdr:row>
      <xdr:rowOff>61416</xdr:rowOff>
    </xdr:from>
    <xdr:to>
      <xdr:col>0</xdr:col>
      <xdr:colOff>1975485</xdr:colOff>
      <xdr:row>1611</xdr:row>
      <xdr:rowOff>761504</xdr:rowOff>
    </xdr:to>
    <xdr:pic>
      <xdr:nvPicPr>
        <xdr:cNvPr id="3223" name="Picture 3222" descr="Insight Picture 3222">
          <a:extLst>
            <a:ext uri="{FF2B5EF4-FFF2-40B4-BE49-F238E27FC236}">
              <a16:creationId xmlns:a16="http://schemas.microsoft.com/office/drawing/2014/main" id="{B8BC1C8F-C6D0-F45D-1555-DAA423B1F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1"/>
        <a:stretch>
          <a:fillRect/>
        </a:stretch>
      </xdr:blipFill>
      <xdr:spPr>
        <a:xfrm>
          <a:off x="661035" y="1409609016"/>
          <a:ext cx="1314450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614600</xdr:colOff>
      <xdr:row>1612</xdr:row>
      <xdr:rowOff>63361</xdr:rowOff>
    </xdr:from>
    <xdr:to>
      <xdr:col>0</xdr:col>
      <xdr:colOff>2021919</xdr:colOff>
      <xdr:row>1612</xdr:row>
      <xdr:rowOff>820599</xdr:rowOff>
    </xdr:to>
    <xdr:pic>
      <xdr:nvPicPr>
        <xdr:cNvPr id="3225" name="Picture 3224" descr="Insight Picture 3224">
          <a:extLst>
            <a:ext uri="{FF2B5EF4-FFF2-40B4-BE49-F238E27FC236}">
              <a16:creationId xmlns:a16="http://schemas.microsoft.com/office/drawing/2014/main" id="{EBC9361A-FE44-102C-86D1-153938763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2"/>
        <a:stretch>
          <a:fillRect/>
        </a:stretch>
      </xdr:blipFill>
      <xdr:spPr>
        <a:xfrm>
          <a:off x="614600" y="1410433921"/>
          <a:ext cx="1407319" cy="757238"/>
        </a:xfrm>
        <a:prstGeom prst="rect">
          <a:avLst/>
        </a:prstGeom>
      </xdr:spPr>
    </xdr:pic>
    <xdr:clientData/>
  </xdr:twoCellAnchor>
  <xdr:twoCellAnchor editAs="oneCell">
    <xdr:from>
      <xdr:col>0</xdr:col>
      <xdr:colOff>568166</xdr:colOff>
      <xdr:row>1613</xdr:row>
      <xdr:rowOff>61198</xdr:rowOff>
    </xdr:from>
    <xdr:to>
      <xdr:col>0</xdr:col>
      <xdr:colOff>2068354</xdr:colOff>
      <xdr:row>1613</xdr:row>
      <xdr:rowOff>754142</xdr:rowOff>
    </xdr:to>
    <xdr:pic>
      <xdr:nvPicPr>
        <xdr:cNvPr id="3227" name="Picture 3226" descr="Insight Picture 3226">
          <a:extLst>
            <a:ext uri="{FF2B5EF4-FFF2-40B4-BE49-F238E27FC236}">
              <a16:creationId xmlns:a16="http://schemas.microsoft.com/office/drawing/2014/main" id="{8304887E-13D8-85F9-1B38-F7FB194A7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3"/>
        <a:stretch>
          <a:fillRect/>
        </a:stretch>
      </xdr:blipFill>
      <xdr:spPr>
        <a:xfrm>
          <a:off x="568166" y="1411315678"/>
          <a:ext cx="1500188" cy="692944"/>
        </a:xfrm>
        <a:prstGeom prst="rect">
          <a:avLst/>
        </a:prstGeom>
      </xdr:spPr>
    </xdr:pic>
    <xdr:clientData/>
  </xdr:twoCellAnchor>
  <xdr:twoCellAnchor editAs="oneCell">
    <xdr:from>
      <xdr:col>0</xdr:col>
      <xdr:colOff>646747</xdr:colOff>
      <xdr:row>1614</xdr:row>
      <xdr:rowOff>61436</xdr:rowOff>
    </xdr:from>
    <xdr:to>
      <xdr:col>0</xdr:col>
      <xdr:colOff>1989772</xdr:colOff>
      <xdr:row>1614</xdr:row>
      <xdr:rowOff>761524</xdr:rowOff>
    </xdr:to>
    <xdr:pic>
      <xdr:nvPicPr>
        <xdr:cNvPr id="3229" name="Picture 3228" descr="Insight Picture 3228">
          <a:extLst>
            <a:ext uri="{FF2B5EF4-FFF2-40B4-BE49-F238E27FC236}">
              <a16:creationId xmlns:a16="http://schemas.microsoft.com/office/drawing/2014/main" id="{84E07054-D554-3F63-9D48-07D661AE5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4"/>
        <a:stretch>
          <a:fillRect/>
        </a:stretch>
      </xdr:blipFill>
      <xdr:spPr>
        <a:xfrm>
          <a:off x="646747" y="1412131256"/>
          <a:ext cx="1343025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611028</xdr:colOff>
      <xdr:row>1615</xdr:row>
      <xdr:rowOff>60206</xdr:rowOff>
    </xdr:from>
    <xdr:to>
      <xdr:col>0</xdr:col>
      <xdr:colOff>2025491</xdr:colOff>
      <xdr:row>1615</xdr:row>
      <xdr:rowOff>838875</xdr:rowOff>
    </xdr:to>
    <xdr:pic>
      <xdr:nvPicPr>
        <xdr:cNvPr id="3231" name="Picture 3230" descr="Insight Picture 3230">
          <a:extLst>
            <a:ext uri="{FF2B5EF4-FFF2-40B4-BE49-F238E27FC236}">
              <a16:creationId xmlns:a16="http://schemas.microsoft.com/office/drawing/2014/main" id="{B69DB2B1-56C9-3FC9-E7BA-3E4D9E71F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5"/>
        <a:stretch>
          <a:fillRect/>
        </a:stretch>
      </xdr:blipFill>
      <xdr:spPr>
        <a:xfrm>
          <a:off x="611028" y="1412952986"/>
          <a:ext cx="1414463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489585</xdr:colOff>
      <xdr:row>1616</xdr:row>
      <xdr:rowOff>61952</xdr:rowOff>
    </xdr:from>
    <xdr:to>
      <xdr:col>0</xdr:col>
      <xdr:colOff>2146935</xdr:colOff>
      <xdr:row>1616</xdr:row>
      <xdr:rowOff>662027</xdr:rowOff>
    </xdr:to>
    <xdr:pic>
      <xdr:nvPicPr>
        <xdr:cNvPr id="3233" name="Picture 3232" descr="Insight Picture 3232">
          <a:extLst>
            <a:ext uri="{FF2B5EF4-FFF2-40B4-BE49-F238E27FC236}">
              <a16:creationId xmlns:a16="http://schemas.microsoft.com/office/drawing/2014/main" id="{7C40C6E0-2DE6-88E2-2510-7CEB56FCC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6"/>
        <a:stretch>
          <a:fillRect/>
        </a:stretch>
      </xdr:blipFill>
      <xdr:spPr>
        <a:xfrm>
          <a:off x="489585" y="1413853892"/>
          <a:ext cx="1657350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611028</xdr:colOff>
      <xdr:row>1617</xdr:row>
      <xdr:rowOff>61456</xdr:rowOff>
    </xdr:from>
    <xdr:to>
      <xdr:col>0</xdr:col>
      <xdr:colOff>2025491</xdr:colOff>
      <xdr:row>1617</xdr:row>
      <xdr:rowOff>761544</xdr:rowOff>
    </xdr:to>
    <xdr:pic>
      <xdr:nvPicPr>
        <xdr:cNvPr id="3235" name="Picture 3234" descr="Insight Picture 3234">
          <a:extLst>
            <a:ext uri="{FF2B5EF4-FFF2-40B4-BE49-F238E27FC236}">
              <a16:creationId xmlns:a16="http://schemas.microsoft.com/office/drawing/2014/main" id="{1F3B3AD5-4172-4298-CB3A-7F57CFD44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7"/>
        <a:stretch>
          <a:fillRect/>
        </a:stretch>
      </xdr:blipFill>
      <xdr:spPr>
        <a:xfrm>
          <a:off x="611028" y="1414577296"/>
          <a:ext cx="1414463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736045</xdr:colOff>
      <xdr:row>1618</xdr:row>
      <xdr:rowOff>62607</xdr:rowOff>
    </xdr:from>
    <xdr:to>
      <xdr:col>0</xdr:col>
      <xdr:colOff>1900476</xdr:colOff>
      <xdr:row>1618</xdr:row>
      <xdr:rowOff>798413</xdr:rowOff>
    </xdr:to>
    <xdr:pic>
      <xdr:nvPicPr>
        <xdr:cNvPr id="3237" name="Picture 3236" descr="Insight Picture 3236">
          <a:extLst>
            <a:ext uri="{FF2B5EF4-FFF2-40B4-BE49-F238E27FC236}">
              <a16:creationId xmlns:a16="http://schemas.microsoft.com/office/drawing/2014/main" id="{92919014-98A8-D731-D98C-79E3EEB79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8"/>
        <a:stretch>
          <a:fillRect/>
        </a:stretch>
      </xdr:blipFill>
      <xdr:spPr>
        <a:xfrm>
          <a:off x="736045" y="1415401407"/>
          <a:ext cx="1164431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607457</xdr:colOff>
      <xdr:row>1619</xdr:row>
      <xdr:rowOff>62667</xdr:rowOff>
    </xdr:from>
    <xdr:to>
      <xdr:col>0</xdr:col>
      <xdr:colOff>2029063</xdr:colOff>
      <xdr:row>1619</xdr:row>
      <xdr:rowOff>798473</xdr:rowOff>
    </xdr:to>
    <xdr:pic>
      <xdr:nvPicPr>
        <xdr:cNvPr id="3239" name="Picture 3238" descr="Insight Picture 3238">
          <a:extLst>
            <a:ext uri="{FF2B5EF4-FFF2-40B4-BE49-F238E27FC236}">
              <a16:creationId xmlns:a16="http://schemas.microsoft.com/office/drawing/2014/main" id="{E4B3FFD5-AA69-7E20-4B40-42104C234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9"/>
        <a:stretch>
          <a:fillRect/>
        </a:stretch>
      </xdr:blipFill>
      <xdr:spPr>
        <a:xfrm>
          <a:off x="607457" y="1416262527"/>
          <a:ext cx="1421606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589597</xdr:colOff>
      <xdr:row>1620</xdr:row>
      <xdr:rowOff>61436</xdr:rowOff>
    </xdr:from>
    <xdr:to>
      <xdr:col>0</xdr:col>
      <xdr:colOff>2046922</xdr:colOff>
      <xdr:row>1620</xdr:row>
      <xdr:rowOff>761524</xdr:rowOff>
    </xdr:to>
    <xdr:pic>
      <xdr:nvPicPr>
        <xdr:cNvPr id="3241" name="Picture 3240" descr="Insight Picture 3240">
          <a:extLst>
            <a:ext uri="{FF2B5EF4-FFF2-40B4-BE49-F238E27FC236}">
              <a16:creationId xmlns:a16="http://schemas.microsoft.com/office/drawing/2014/main" id="{5655731C-36D0-B79D-1A29-E0E28EF2B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0"/>
        <a:stretch>
          <a:fillRect/>
        </a:stretch>
      </xdr:blipFill>
      <xdr:spPr>
        <a:xfrm>
          <a:off x="589597" y="1417122356"/>
          <a:ext cx="1457325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575310</xdr:colOff>
      <xdr:row>1621</xdr:row>
      <xdr:rowOff>63778</xdr:rowOff>
    </xdr:from>
    <xdr:to>
      <xdr:col>0</xdr:col>
      <xdr:colOff>2061210</xdr:colOff>
      <xdr:row>1621</xdr:row>
      <xdr:rowOff>721003</xdr:rowOff>
    </xdr:to>
    <xdr:pic>
      <xdr:nvPicPr>
        <xdr:cNvPr id="3243" name="Picture 3242" descr="Insight Picture 3242">
          <a:extLst>
            <a:ext uri="{FF2B5EF4-FFF2-40B4-BE49-F238E27FC236}">
              <a16:creationId xmlns:a16="http://schemas.microsoft.com/office/drawing/2014/main" id="{A195D384-75B0-8BC0-33B9-8CE46AA97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1"/>
        <a:stretch>
          <a:fillRect/>
        </a:stretch>
      </xdr:blipFill>
      <xdr:spPr>
        <a:xfrm>
          <a:off x="575310" y="1417947658"/>
          <a:ext cx="1485900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575310</xdr:colOff>
      <xdr:row>1622</xdr:row>
      <xdr:rowOff>63837</xdr:rowOff>
    </xdr:from>
    <xdr:to>
      <xdr:col>0</xdr:col>
      <xdr:colOff>2061210</xdr:colOff>
      <xdr:row>1622</xdr:row>
      <xdr:rowOff>721062</xdr:rowOff>
    </xdr:to>
    <xdr:pic>
      <xdr:nvPicPr>
        <xdr:cNvPr id="3245" name="Picture 3244" descr="Insight Picture 3244">
          <a:extLst>
            <a:ext uri="{FF2B5EF4-FFF2-40B4-BE49-F238E27FC236}">
              <a16:creationId xmlns:a16="http://schemas.microsoft.com/office/drawing/2014/main" id="{3FA711C2-D16F-00EF-7081-D46EE2445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2"/>
        <a:stretch>
          <a:fillRect/>
        </a:stretch>
      </xdr:blipFill>
      <xdr:spPr>
        <a:xfrm>
          <a:off x="575310" y="1418732577"/>
          <a:ext cx="1485900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475297</xdr:colOff>
      <xdr:row>1623</xdr:row>
      <xdr:rowOff>63798</xdr:rowOff>
    </xdr:from>
    <xdr:to>
      <xdr:col>0</xdr:col>
      <xdr:colOff>2161222</xdr:colOff>
      <xdr:row>1623</xdr:row>
      <xdr:rowOff>721023</xdr:rowOff>
    </xdr:to>
    <xdr:pic>
      <xdr:nvPicPr>
        <xdr:cNvPr id="3247" name="Picture 3246" descr="Insight Picture 3246">
          <a:extLst>
            <a:ext uri="{FF2B5EF4-FFF2-40B4-BE49-F238E27FC236}">
              <a16:creationId xmlns:a16="http://schemas.microsoft.com/office/drawing/2014/main" id="{F460A150-21DD-3832-6A09-A8B66AC9B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3"/>
        <a:stretch>
          <a:fillRect/>
        </a:stretch>
      </xdr:blipFill>
      <xdr:spPr>
        <a:xfrm>
          <a:off x="475297" y="1419517398"/>
          <a:ext cx="1685925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521732</xdr:colOff>
      <xdr:row>1624</xdr:row>
      <xdr:rowOff>62667</xdr:rowOff>
    </xdr:from>
    <xdr:to>
      <xdr:col>0</xdr:col>
      <xdr:colOff>2114788</xdr:colOff>
      <xdr:row>1624</xdr:row>
      <xdr:rowOff>798473</xdr:rowOff>
    </xdr:to>
    <xdr:pic>
      <xdr:nvPicPr>
        <xdr:cNvPr id="3249" name="Picture 3248" descr="Insight Picture 3248">
          <a:extLst>
            <a:ext uri="{FF2B5EF4-FFF2-40B4-BE49-F238E27FC236}">
              <a16:creationId xmlns:a16="http://schemas.microsoft.com/office/drawing/2014/main" id="{3EB0C015-B74A-BF73-E7C6-161E23141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4"/>
        <a:stretch>
          <a:fillRect/>
        </a:stretch>
      </xdr:blipFill>
      <xdr:spPr>
        <a:xfrm>
          <a:off x="521732" y="1420301127"/>
          <a:ext cx="1593056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653891</xdr:colOff>
      <xdr:row>1625</xdr:row>
      <xdr:rowOff>62627</xdr:rowOff>
    </xdr:from>
    <xdr:to>
      <xdr:col>0</xdr:col>
      <xdr:colOff>1982629</xdr:colOff>
      <xdr:row>1625</xdr:row>
      <xdr:rowOff>912733</xdr:rowOff>
    </xdr:to>
    <xdr:pic>
      <xdr:nvPicPr>
        <xdr:cNvPr id="3251" name="Picture 3250" descr="Insight Picture 3250">
          <a:extLst>
            <a:ext uri="{FF2B5EF4-FFF2-40B4-BE49-F238E27FC236}">
              <a16:creationId xmlns:a16="http://schemas.microsoft.com/office/drawing/2014/main" id="{4FE58247-4F1B-C557-6DED-E9F73F57F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5"/>
        <a:stretch>
          <a:fillRect/>
        </a:stretch>
      </xdr:blipFill>
      <xdr:spPr>
        <a:xfrm>
          <a:off x="653891" y="1421162147"/>
          <a:ext cx="1328738" cy="850106"/>
        </a:xfrm>
        <a:prstGeom prst="rect">
          <a:avLst/>
        </a:prstGeom>
      </xdr:spPr>
    </xdr:pic>
    <xdr:clientData/>
  </xdr:twoCellAnchor>
  <xdr:twoCellAnchor editAs="oneCell">
    <xdr:from>
      <xdr:col>0</xdr:col>
      <xdr:colOff>721757</xdr:colOff>
      <xdr:row>1626</xdr:row>
      <xdr:rowOff>63778</xdr:rowOff>
    </xdr:from>
    <xdr:to>
      <xdr:col>0</xdr:col>
      <xdr:colOff>1914763</xdr:colOff>
      <xdr:row>1626</xdr:row>
      <xdr:rowOff>721003</xdr:rowOff>
    </xdr:to>
    <xdr:pic>
      <xdr:nvPicPr>
        <xdr:cNvPr id="3253" name="Picture 3252" descr="Insight Picture 3252">
          <a:extLst>
            <a:ext uri="{FF2B5EF4-FFF2-40B4-BE49-F238E27FC236}">
              <a16:creationId xmlns:a16="http://schemas.microsoft.com/office/drawing/2014/main" id="{82BD6E32-A5BE-A84F-33C0-DF2C09DDC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6"/>
        <a:stretch>
          <a:fillRect/>
        </a:stretch>
      </xdr:blipFill>
      <xdr:spPr>
        <a:xfrm>
          <a:off x="721757" y="1422138658"/>
          <a:ext cx="1193006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721757</xdr:colOff>
      <xdr:row>1627</xdr:row>
      <xdr:rowOff>61456</xdr:rowOff>
    </xdr:from>
    <xdr:to>
      <xdr:col>0</xdr:col>
      <xdr:colOff>1914763</xdr:colOff>
      <xdr:row>1627</xdr:row>
      <xdr:rowOff>761544</xdr:rowOff>
    </xdr:to>
    <xdr:pic>
      <xdr:nvPicPr>
        <xdr:cNvPr id="3255" name="Picture 3254" descr="Insight Picture 3254">
          <a:extLst>
            <a:ext uri="{FF2B5EF4-FFF2-40B4-BE49-F238E27FC236}">
              <a16:creationId xmlns:a16="http://schemas.microsoft.com/office/drawing/2014/main" id="{9B0172A8-1243-17A1-9AEF-D69BD1E45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7"/>
        <a:stretch>
          <a:fillRect/>
        </a:stretch>
      </xdr:blipFill>
      <xdr:spPr>
        <a:xfrm>
          <a:off x="721757" y="1422921196"/>
          <a:ext cx="1193006" cy="700088"/>
        </a:xfrm>
        <a:prstGeom prst="rect">
          <a:avLst/>
        </a:prstGeom>
      </xdr:spPr>
    </xdr:pic>
    <xdr:clientData/>
  </xdr:twoCellAnchor>
  <xdr:twoCellAnchor editAs="oneCell">
    <xdr:from>
      <xdr:col>0</xdr:col>
      <xdr:colOff>596741</xdr:colOff>
      <xdr:row>1628</xdr:row>
      <xdr:rowOff>61714</xdr:rowOff>
    </xdr:from>
    <xdr:to>
      <xdr:col>0</xdr:col>
      <xdr:colOff>2039779</xdr:colOff>
      <xdr:row>1628</xdr:row>
      <xdr:rowOff>540345</xdr:rowOff>
    </xdr:to>
    <xdr:pic>
      <xdr:nvPicPr>
        <xdr:cNvPr id="3257" name="Picture 3256" descr="Insight Picture 3256">
          <a:extLst>
            <a:ext uri="{FF2B5EF4-FFF2-40B4-BE49-F238E27FC236}">
              <a16:creationId xmlns:a16="http://schemas.microsoft.com/office/drawing/2014/main" id="{EAE48725-B66E-466D-7085-00DD939D6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8"/>
        <a:stretch>
          <a:fillRect/>
        </a:stretch>
      </xdr:blipFill>
      <xdr:spPr>
        <a:xfrm>
          <a:off x="596741" y="1423744414"/>
          <a:ext cx="1443038" cy="478631"/>
        </a:xfrm>
        <a:prstGeom prst="rect">
          <a:avLst/>
        </a:prstGeom>
      </xdr:spPr>
    </xdr:pic>
    <xdr:clientData/>
  </xdr:twoCellAnchor>
  <xdr:twoCellAnchor editAs="oneCell">
    <xdr:from>
      <xdr:col>0</xdr:col>
      <xdr:colOff>586025</xdr:colOff>
      <xdr:row>1629</xdr:row>
      <xdr:rowOff>62190</xdr:rowOff>
    </xdr:from>
    <xdr:to>
      <xdr:col>0</xdr:col>
      <xdr:colOff>2050494</xdr:colOff>
      <xdr:row>1629</xdr:row>
      <xdr:rowOff>898009</xdr:rowOff>
    </xdr:to>
    <xdr:pic>
      <xdr:nvPicPr>
        <xdr:cNvPr id="3259" name="Picture 3258" descr="Insight Picture 3258">
          <a:extLst>
            <a:ext uri="{FF2B5EF4-FFF2-40B4-BE49-F238E27FC236}">
              <a16:creationId xmlns:a16="http://schemas.microsoft.com/office/drawing/2014/main" id="{6889766D-2977-C348-3BF2-FA155D462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9"/>
        <a:stretch>
          <a:fillRect/>
        </a:stretch>
      </xdr:blipFill>
      <xdr:spPr>
        <a:xfrm>
          <a:off x="586025" y="1424346870"/>
          <a:ext cx="1464469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564595</xdr:colOff>
      <xdr:row>1630</xdr:row>
      <xdr:rowOff>62111</xdr:rowOff>
    </xdr:from>
    <xdr:to>
      <xdr:col>0</xdr:col>
      <xdr:colOff>2071926</xdr:colOff>
      <xdr:row>1630</xdr:row>
      <xdr:rowOff>897930</xdr:rowOff>
    </xdr:to>
    <xdr:pic>
      <xdr:nvPicPr>
        <xdr:cNvPr id="3261" name="Picture 3260" descr="Insight Picture 3260">
          <a:extLst>
            <a:ext uri="{FF2B5EF4-FFF2-40B4-BE49-F238E27FC236}">
              <a16:creationId xmlns:a16="http://schemas.microsoft.com/office/drawing/2014/main" id="{2EEF71D3-EF0E-E18C-6457-0A72FACE1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0"/>
        <a:stretch>
          <a:fillRect/>
        </a:stretch>
      </xdr:blipFill>
      <xdr:spPr>
        <a:xfrm>
          <a:off x="564595" y="1425306911"/>
          <a:ext cx="1507331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486013</xdr:colOff>
      <xdr:row>1631</xdr:row>
      <xdr:rowOff>60940</xdr:rowOff>
    </xdr:from>
    <xdr:to>
      <xdr:col>0</xdr:col>
      <xdr:colOff>2150507</xdr:colOff>
      <xdr:row>1631</xdr:row>
      <xdr:rowOff>861040</xdr:rowOff>
    </xdr:to>
    <xdr:pic>
      <xdr:nvPicPr>
        <xdr:cNvPr id="3263" name="Picture 3262" descr="Insight Picture 3262">
          <a:extLst>
            <a:ext uri="{FF2B5EF4-FFF2-40B4-BE49-F238E27FC236}">
              <a16:creationId xmlns:a16="http://schemas.microsoft.com/office/drawing/2014/main" id="{78CEE48C-58B2-9D6F-B89E-AA7DB9D0C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1"/>
        <a:stretch>
          <a:fillRect/>
        </a:stretch>
      </xdr:blipFill>
      <xdr:spPr>
        <a:xfrm>
          <a:off x="486013" y="1426265860"/>
          <a:ext cx="1664494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736045</xdr:colOff>
      <xdr:row>1632</xdr:row>
      <xdr:rowOff>62647</xdr:rowOff>
    </xdr:from>
    <xdr:to>
      <xdr:col>0</xdr:col>
      <xdr:colOff>1900476</xdr:colOff>
      <xdr:row>1632</xdr:row>
      <xdr:rowOff>798453</xdr:rowOff>
    </xdr:to>
    <xdr:pic>
      <xdr:nvPicPr>
        <xdr:cNvPr id="3265" name="Picture 3264" descr="Insight Picture 3264">
          <a:extLst>
            <a:ext uri="{FF2B5EF4-FFF2-40B4-BE49-F238E27FC236}">
              <a16:creationId xmlns:a16="http://schemas.microsoft.com/office/drawing/2014/main" id="{A4CEA119-0FD5-78B2-0F5A-820F881E0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2"/>
        <a:stretch>
          <a:fillRect/>
        </a:stretch>
      </xdr:blipFill>
      <xdr:spPr>
        <a:xfrm>
          <a:off x="736045" y="1427189587"/>
          <a:ext cx="1164431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686038</xdr:colOff>
      <xdr:row>1633</xdr:row>
      <xdr:rowOff>61416</xdr:rowOff>
    </xdr:from>
    <xdr:to>
      <xdr:col>0</xdr:col>
      <xdr:colOff>1950482</xdr:colOff>
      <xdr:row>1633</xdr:row>
      <xdr:rowOff>990104</xdr:rowOff>
    </xdr:to>
    <xdr:pic>
      <xdr:nvPicPr>
        <xdr:cNvPr id="3267" name="Picture 3266" descr="Insight Picture 3266">
          <a:extLst>
            <a:ext uri="{FF2B5EF4-FFF2-40B4-BE49-F238E27FC236}">
              <a16:creationId xmlns:a16="http://schemas.microsoft.com/office/drawing/2014/main" id="{67601CC1-58C9-3F0D-321B-7CB374A8B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3"/>
        <a:stretch>
          <a:fillRect/>
        </a:stretch>
      </xdr:blipFill>
      <xdr:spPr>
        <a:xfrm>
          <a:off x="686038" y="1428049416"/>
          <a:ext cx="1264444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603885</xdr:colOff>
      <xdr:row>1634</xdr:row>
      <xdr:rowOff>61873</xdr:rowOff>
    </xdr:from>
    <xdr:to>
      <xdr:col>0</xdr:col>
      <xdr:colOff>2032635</xdr:colOff>
      <xdr:row>1634</xdr:row>
      <xdr:rowOff>890548</xdr:rowOff>
    </xdr:to>
    <xdr:pic>
      <xdr:nvPicPr>
        <xdr:cNvPr id="3269" name="Picture 3268" descr="Insight Picture 3268">
          <a:extLst>
            <a:ext uri="{FF2B5EF4-FFF2-40B4-BE49-F238E27FC236}">
              <a16:creationId xmlns:a16="http://schemas.microsoft.com/office/drawing/2014/main" id="{F816E50B-8F9D-FD8A-FC41-78903EA09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4"/>
        <a:stretch>
          <a:fillRect/>
        </a:stretch>
      </xdr:blipFill>
      <xdr:spPr>
        <a:xfrm>
          <a:off x="603885" y="1429101433"/>
          <a:ext cx="142875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511016</xdr:colOff>
      <xdr:row>1635</xdr:row>
      <xdr:rowOff>62369</xdr:rowOff>
    </xdr:from>
    <xdr:to>
      <xdr:col>0</xdr:col>
      <xdr:colOff>2125504</xdr:colOff>
      <xdr:row>1635</xdr:row>
      <xdr:rowOff>791032</xdr:rowOff>
    </xdr:to>
    <xdr:pic>
      <xdr:nvPicPr>
        <xdr:cNvPr id="3271" name="Picture 3270" descr="Insight Picture 3270">
          <a:extLst>
            <a:ext uri="{FF2B5EF4-FFF2-40B4-BE49-F238E27FC236}">
              <a16:creationId xmlns:a16="http://schemas.microsoft.com/office/drawing/2014/main" id="{2C2DE0AE-3F9A-36FF-8E92-551ADFBCD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5"/>
        <a:stretch>
          <a:fillRect/>
        </a:stretch>
      </xdr:blipFill>
      <xdr:spPr>
        <a:xfrm>
          <a:off x="511016" y="1430054429"/>
          <a:ext cx="1614488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475297</xdr:colOff>
      <xdr:row>1636</xdr:row>
      <xdr:rowOff>63302</xdr:rowOff>
    </xdr:from>
    <xdr:to>
      <xdr:col>0</xdr:col>
      <xdr:colOff>2161222</xdr:colOff>
      <xdr:row>1636</xdr:row>
      <xdr:rowOff>591940</xdr:rowOff>
    </xdr:to>
    <xdr:pic>
      <xdr:nvPicPr>
        <xdr:cNvPr id="3273" name="Picture 3272" descr="Insight Picture 3272">
          <a:extLst>
            <a:ext uri="{FF2B5EF4-FFF2-40B4-BE49-F238E27FC236}">
              <a16:creationId xmlns:a16="http://schemas.microsoft.com/office/drawing/2014/main" id="{D921A5F9-303D-2B7A-CBAA-8F8D0A07E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6"/>
        <a:stretch>
          <a:fillRect/>
        </a:stretch>
      </xdr:blipFill>
      <xdr:spPr>
        <a:xfrm>
          <a:off x="475297" y="1430908802"/>
          <a:ext cx="1685925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653891</xdr:colOff>
      <xdr:row>1637</xdr:row>
      <xdr:rowOff>62428</xdr:rowOff>
    </xdr:from>
    <xdr:to>
      <xdr:col>0</xdr:col>
      <xdr:colOff>1982629</xdr:colOff>
      <xdr:row>1637</xdr:row>
      <xdr:rowOff>791091</xdr:rowOff>
    </xdr:to>
    <xdr:pic>
      <xdr:nvPicPr>
        <xdr:cNvPr id="3275" name="Picture 3274" descr="Insight Picture 3274">
          <a:extLst>
            <a:ext uri="{FF2B5EF4-FFF2-40B4-BE49-F238E27FC236}">
              <a16:creationId xmlns:a16="http://schemas.microsoft.com/office/drawing/2014/main" id="{2EBA8F5A-0B64-3A17-C4F2-16C8F5D36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7"/>
        <a:stretch>
          <a:fillRect/>
        </a:stretch>
      </xdr:blipFill>
      <xdr:spPr>
        <a:xfrm>
          <a:off x="653891" y="1431563248"/>
          <a:ext cx="1328738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411003</xdr:colOff>
      <xdr:row>1638</xdr:row>
      <xdr:rowOff>63361</xdr:rowOff>
    </xdr:from>
    <xdr:to>
      <xdr:col>0</xdr:col>
      <xdr:colOff>2225516</xdr:colOff>
      <xdr:row>1638</xdr:row>
      <xdr:rowOff>591999</xdr:rowOff>
    </xdr:to>
    <xdr:pic>
      <xdr:nvPicPr>
        <xdr:cNvPr id="3277" name="Picture 3276" descr="Insight Picture 3276">
          <a:extLst>
            <a:ext uri="{FF2B5EF4-FFF2-40B4-BE49-F238E27FC236}">
              <a16:creationId xmlns:a16="http://schemas.microsoft.com/office/drawing/2014/main" id="{9E814BAA-01D5-4CE8-3CAB-0C1D1648C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8"/>
        <a:stretch>
          <a:fillRect/>
        </a:stretch>
      </xdr:blipFill>
      <xdr:spPr>
        <a:xfrm>
          <a:off x="411003" y="1432417621"/>
          <a:ext cx="1814513" cy="528638"/>
        </a:xfrm>
        <a:prstGeom prst="rect">
          <a:avLst/>
        </a:prstGeom>
      </xdr:spPr>
    </xdr:pic>
    <xdr:clientData/>
  </xdr:twoCellAnchor>
  <xdr:twoCellAnchor editAs="oneCell">
    <xdr:from>
      <xdr:col>0</xdr:col>
      <xdr:colOff>596741</xdr:colOff>
      <xdr:row>1639</xdr:row>
      <xdr:rowOff>62587</xdr:rowOff>
    </xdr:from>
    <xdr:to>
      <xdr:col>0</xdr:col>
      <xdr:colOff>2039779</xdr:colOff>
      <xdr:row>1639</xdr:row>
      <xdr:rowOff>798393</xdr:rowOff>
    </xdr:to>
    <xdr:pic>
      <xdr:nvPicPr>
        <xdr:cNvPr id="3279" name="Picture 3278" descr="Insight Picture 3278">
          <a:extLst>
            <a:ext uri="{FF2B5EF4-FFF2-40B4-BE49-F238E27FC236}">
              <a16:creationId xmlns:a16="http://schemas.microsoft.com/office/drawing/2014/main" id="{369FBB67-9FA0-0FFA-B05B-E86BD43EC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9"/>
        <a:stretch>
          <a:fillRect/>
        </a:stretch>
      </xdr:blipFill>
      <xdr:spPr>
        <a:xfrm>
          <a:off x="596741" y="1433072167"/>
          <a:ext cx="1443038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596741</xdr:colOff>
      <xdr:row>1640</xdr:row>
      <xdr:rowOff>62647</xdr:rowOff>
    </xdr:from>
    <xdr:to>
      <xdr:col>0</xdr:col>
      <xdr:colOff>2039779</xdr:colOff>
      <xdr:row>1640</xdr:row>
      <xdr:rowOff>798453</xdr:rowOff>
    </xdr:to>
    <xdr:pic>
      <xdr:nvPicPr>
        <xdr:cNvPr id="3281" name="Picture 3280" descr="Insight Picture 3280">
          <a:extLst>
            <a:ext uri="{FF2B5EF4-FFF2-40B4-BE49-F238E27FC236}">
              <a16:creationId xmlns:a16="http://schemas.microsoft.com/office/drawing/2014/main" id="{8DAE139F-434F-121C-AEC3-9A0D8FD1C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0"/>
        <a:stretch>
          <a:fillRect/>
        </a:stretch>
      </xdr:blipFill>
      <xdr:spPr>
        <a:xfrm>
          <a:off x="596741" y="1433933287"/>
          <a:ext cx="1443038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778907</xdr:colOff>
      <xdr:row>1641</xdr:row>
      <xdr:rowOff>62607</xdr:rowOff>
    </xdr:from>
    <xdr:to>
      <xdr:col>0</xdr:col>
      <xdr:colOff>1857613</xdr:colOff>
      <xdr:row>1641</xdr:row>
      <xdr:rowOff>798413</xdr:rowOff>
    </xdr:to>
    <xdr:pic>
      <xdr:nvPicPr>
        <xdr:cNvPr id="3283" name="Picture 3282" descr="Insight Picture 3282">
          <a:extLst>
            <a:ext uri="{FF2B5EF4-FFF2-40B4-BE49-F238E27FC236}">
              <a16:creationId xmlns:a16="http://schemas.microsoft.com/office/drawing/2014/main" id="{224DDB93-1F9A-708B-DA72-DBB3E2C6D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1"/>
        <a:stretch>
          <a:fillRect/>
        </a:stretch>
      </xdr:blipFill>
      <xdr:spPr>
        <a:xfrm>
          <a:off x="778907" y="1434794307"/>
          <a:ext cx="1078706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693182</xdr:colOff>
      <xdr:row>1642</xdr:row>
      <xdr:rowOff>63560</xdr:rowOff>
    </xdr:from>
    <xdr:to>
      <xdr:col>0</xdr:col>
      <xdr:colOff>1943338</xdr:colOff>
      <xdr:row>1642</xdr:row>
      <xdr:rowOff>599341</xdr:rowOff>
    </xdr:to>
    <xdr:pic>
      <xdr:nvPicPr>
        <xdr:cNvPr id="3285" name="Picture 3284" descr="Insight Picture 3284">
          <a:extLst>
            <a:ext uri="{FF2B5EF4-FFF2-40B4-BE49-F238E27FC236}">
              <a16:creationId xmlns:a16="http://schemas.microsoft.com/office/drawing/2014/main" id="{5B433137-213C-526B-7E38-1B7814319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2"/>
        <a:stretch>
          <a:fillRect/>
        </a:stretch>
      </xdr:blipFill>
      <xdr:spPr>
        <a:xfrm>
          <a:off x="693182" y="1435656320"/>
          <a:ext cx="1250156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693182</xdr:colOff>
      <xdr:row>1643</xdr:row>
      <xdr:rowOff>63599</xdr:rowOff>
    </xdr:from>
    <xdr:to>
      <xdr:col>0</xdr:col>
      <xdr:colOff>1943338</xdr:colOff>
      <xdr:row>1643</xdr:row>
      <xdr:rowOff>599380</xdr:rowOff>
    </xdr:to>
    <xdr:pic>
      <xdr:nvPicPr>
        <xdr:cNvPr id="3287" name="Picture 3286" descr="Insight Picture 3286">
          <a:extLst>
            <a:ext uri="{FF2B5EF4-FFF2-40B4-BE49-F238E27FC236}">
              <a16:creationId xmlns:a16="http://schemas.microsoft.com/office/drawing/2014/main" id="{CE10FC35-46D3-B4FC-7CF9-30F6C9736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3"/>
        <a:stretch>
          <a:fillRect/>
        </a:stretch>
      </xdr:blipFill>
      <xdr:spPr>
        <a:xfrm>
          <a:off x="693182" y="1436319299"/>
          <a:ext cx="1250156" cy="535781"/>
        </a:xfrm>
        <a:prstGeom prst="rect">
          <a:avLst/>
        </a:prstGeom>
      </xdr:spPr>
    </xdr:pic>
    <xdr:clientData/>
  </xdr:twoCellAnchor>
  <xdr:twoCellAnchor editAs="oneCell">
    <xdr:from>
      <xdr:col>0</xdr:col>
      <xdr:colOff>778907</xdr:colOff>
      <xdr:row>1644</xdr:row>
      <xdr:rowOff>62647</xdr:rowOff>
    </xdr:from>
    <xdr:to>
      <xdr:col>0</xdr:col>
      <xdr:colOff>1857613</xdr:colOff>
      <xdr:row>1644</xdr:row>
      <xdr:rowOff>798453</xdr:rowOff>
    </xdr:to>
    <xdr:pic>
      <xdr:nvPicPr>
        <xdr:cNvPr id="3289" name="Picture 3288" descr="Insight Picture 3288">
          <a:extLst>
            <a:ext uri="{FF2B5EF4-FFF2-40B4-BE49-F238E27FC236}">
              <a16:creationId xmlns:a16="http://schemas.microsoft.com/office/drawing/2014/main" id="{E8826BA5-6ABA-E844-541C-82525157F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4"/>
        <a:stretch>
          <a:fillRect/>
        </a:stretch>
      </xdr:blipFill>
      <xdr:spPr>
        <a:xfrm>
          <a:off x="778907" y="1436981287"/>
          <a:ext cx="1078706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653891</xdr:colOff>
      <xdr:row>1645</xdr:row>
      <xdr:rowOff>61714</xdr:rowOff>
    </xdr:from>
    <xdr:to>
      <xdr:col>0</xdr:col>
      <xdr:colOff>1982629</xdr:colOff>
      <xdr:row>1645</xdr:row>
      <xdr:rowOff>883245</xdr:rowOff>
    </xdr:to>
    <xdr:pic>
      <xdr:nvPicPr>
        <xdr:cNvPr id="3291" name="Picture 3290" descr="Insight Picture 3290">
          <a:extLst>
            <a:ext uri="{FF2B5EF4-FFF2-40B4-BE49-F238E27FC236}">
              <a16:creationId xmlns:a16="http://schemas.microsoft.com/office/drawing/2014/main" id="{C671663B-6093-35B7-9C7E-4F39C93CE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5"/>
        <a:stretch>
          <a:fillRect/>
        </a:stretch>
      </xdr:blipFill>
      <xdr:spPr>
        <a:xfrm>
          <a:off x="653891" y="1437841414"/>
          <a:ext cx="1328738" cy="821531"/>
        </a:xfrm>
        <a:prstGeom prst="rect">
          <a:avLst/>
        </a:prstGeom>
      </xdr:spPr>
    </xdr:pic>
    <xdr:clientData/>
  </xdr:twoCellAnchor>
  <xdr:twoCellAnchor editAs="oneCell">
    <xdr:from>
      <xdr:col>0</xdr:col>
      <xdr:colOff>653891</xdr:colOff>
      <xdr:row>1646</xdr:row>
      <xdr:rowOff>61694</xdr:rowOff>
    </xdr:from>
    <xdr:to>
      <xdr:col>0</xdr:col>
      <xdr:colOff>1982629</xdr:colOff>
      <xdr:row>1646</xdr:row>
      <xdr:rowOff>997525</xdr:rowOff>
    </xdr:to>
    <xdr:pic>
      <xdr:nvPicPr>
        <xdr:cNvPr id="3293" name="Picture 3292" descr="Insight Picture 3292">
          <a:extLst>
            <a:ext uri="{FF2B5EF4-FFF2-40B4-BE49-F238E27FC236}">
              <a16:creationId xmlns:a16="http://schemas.microsoft.com/office/drawing/2014/main" id="{53F1A46D-B529-0B8C-0430-77ED6ED92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6"/>
        <a:stretch>
          <a:fillRect/>
        </a:stretch>
      </xdr:blipFill>
      <xdr:spPr>
        <a:xfrm>
          <a:off x="653891" y="1438786274"/>
          <a:ext cx="1328738" cy="935831"/>
        </a:xfrm>
        <a:prstGeom prst="rect">
          <a:avLst/>
        </a:prstGeom>
      </xdr:spPr>
    </xdr:pic>
    <xdr:clientData/>
  </xdr:twoCellAnchor>
  <xdr:twoCellAnchor editAs="oneCell">
    <xdr:from>
      <xdr:col>0</xdr:col>
      <xdr:colOff>800338</xdr:colOff>
      <xdr:row>1647</xdr:row>
      <xdr:rowOff>63560</xdr:rowOff>
    </xdr:from>
    <xdr:to>
      <xdr:col>0</xdr:col>
      <xdr:colOff>1836182</xdr:colOff>
      <xdr:row>1647</xdr:row>
      <xdr:rowOff>1285141</xdr:rowOff>
    </xdr:to>
    <xdr:pic>
      <xdr:nvPicPr>
        <xdr:cNvPr id="3295" name="Picture 3294" descr="Insight Picture 3294">
          <a:extLst>
            <a:ext uri="{FF2B5EF4-FFF2-40B4-BE49-F238E27FC236}">
              <a16:creationId xmlns:a16="http://schemas.microsoft.com/office/drawing/2014/main" id="{1400D7D8-5EDB-554F-19EC-67E881969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7"/>
        <a:stretch>
          <a:fillRect/>
        </a:stretch>
      </xdr:blipFill>
      <xdr:spPr>
        <a:xfrm>
          <a:off x="800338" y="1439847320"/>
          <a:ext cx="1035844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375285</xdr:colOff>
      <xdr:row>1648</xdr:row>
      <xdr:rowOff>63798</xdr:rowOff>
    </xdr:from>
    <xdr:to>
      <xdr:col>0</xdr:col>
      <xdr:colOff>2261235</xdr:colOff>
      <xdr:row>1648</xdr:row>
      <xdr:rowOff>721023</xdr:rowOff>
    </xdr:to>
    <xdr:pic>
      <xdr:nvPicPr>
        <xdr:cNvPr id="3297" name="Picture 3296" descr="Insight Picture 3296">
          <a:extLst>
            <a:ext uri="{FF2B5EF4-FFF2-40B4-BE49-F238E27FC236}">
              <a16:creationId xmlns:a16="http://schemas.microsoft.com/office/drawing/2014/main" id="{76CB807E-6FA9-8CF0-C1B7-13BE57A9B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8"/>
        <a:stretch>
          <a:fillRect/>
        </a:stretch>
      </xdr:blipFill>
      <xdr:spPr>
        <a:xfrm>
          <a:off x="375285" y="1441196298"/>
          <a:ext cx="1885950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775335</xdr:colOff>
      <xdr:row>1649</xdr:row>
      <xdr:rowOff>62667</xdr:rowOff>
    </xdr:from>
    <xdr:to>
      <xdr:col>0</xdr:col>
      <xdr:colOff>1861185</xdr:colOff>
      <xdr:row>1649</xdr:row>
      <xdr:rowOff>1141373</xdr:rowOff>
    </xdr:to>
    <xdr:pic>
      <xdr:nvPicPr>
        <xdr:cNvPr id="3299" name="Picture 3298" descr="Insight Picture 3298">
          <a:extLst>
            <a:ext uri="{FF2B5EF4-FFF2-40B4-BE49-F238E27FC236}">
              <a16:creationId xmlns:a16="http://schemas.microsoft.com/office/drawing/2014/main" id="{7F07A6A3-9FE9-0E86-FD17-3A5F3B1EF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9"/>
        <a:stretch>
          <a:fillRect/>
        </a:stretch>
      </xdr:blipFill>
      <xdr:spPr>
        <a:xfrm>
          <a:off x="775335" y="1441980027"/>
          <a:ext cx="1085850" cy="1078706"/>
        </a:xfrm>
        <a:prstGeom prst="rect">
          <a:avLst/>
        </a:prstGeom>
      </xdr:spPr>
    </xdr:pic>
    <xdr:clientData/>
  </xdr:twoCellAnchor>
  <xdr:twoCellAnchor editAs="oneCell">
    <xdr:from>
      <xdr:col>0</xdr:col>
      <xdr:colOff>778907</xdr:colOff>
      <xdr:row>1650</xdr:row>
      <xdr:rowOff>62428</xdr:rowOff>
    </xdr:from>
    <xdr:to>
      <xdr:col>0</xdr:col>
      <xdr:colOff>1857613</xdr:colOff>
      <xdr:row>1650</xdr:row>
      <xdr:rowOff>791091</xdr:rowOff>
    </xdr:to>
    <xdr:pic>
      <xdr:nvPicPr>
        <xdr:cNvPr id="3301" name="Picture 3300" descr="Insight Picture 3300">
          <a:extLst>
            <a:ext uri="{FF2B5EF4-FFF2-40B4-BE49-F238E27FC236}">
              <a16:creationId xmlns:a16="http://schemas.microsoft.com/office/drawing/2014/main" id="{DB889125-0135-3B9E-92B8-25C62FC06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0"/>
        <a:stretch>
          <a:fillRect/>
        </a:stretch>
      </xdr:blipFill>
      <xdr:spPr>
        <a:xfrm>
          <a:off x="778907" y="1443183748"/>
          <a:ext cx="1078706" cy="728663"/>
        </a:xfrm>
        <a:prstGeom prst="rect">
          <a:avLst/>
        </a:prstGeom>
      </xdr:spPr>
    </xdr:pic>
    <xdr:clientData/>
  </xdr:twoCellAnchor>
  <xdr:twoCellAnchor editAs="oneCell">
    <xdr:from>
      <xdr:col>0</xdr:col>
      <xdr:colOff>703897</xdr:colOff>
      <xdr:row>1651</xdr:row>
      <xdr:rowOff>62170</xdr:rowOff>
    </xdr:from>
    <xdr:to>
      <xdr:col>0</xdr:col>
      <xdr:colOff>1932622</xdr:colOff>
      <xdr:row>1651</xdr:row>
      <xdr:rowOff>783689</xdr:rowOff>
    </xdr:to>
    <xdr:pic>
      <xdr:nvPicPr>
        <xdr:cNvPr id="3303" name="Picture 3302" descr="Insight Picture 3302">
          <a:extLst>
            <a:ext uri="{FF2B5EF4-FFF2-40B4-BE49-F238E27FC236}">
              <a16:creationId xmlns:a16="http://schemas.microsoft.com/office/drawing/2014/main" id="{13CA9016-35DE-1746-793C-7CAB04DB3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1"/>
        <a:stretch>
          <a:fillRect/>
        </a:stretch>
      </xdr:blipFill>
      <xdr:spPr>
        <a:xfrm>
          <a:off x="703897" y="1444036930"/>
          <a:ext cx="1228725" cy="721519"/>
        </a:xfrm>
        <a:prstGeom prst="rect">
          <a:avLst/>
        </a:prstGeom>
      </xdr:spPr>
    </xdr:pic>
    <xdr:clientData/>
  </xdr:twoCellAnchor>
  <xdr:twoCellAnchor editAs="oneCell">
    <xdr:from>
      <xdr:col>0</xdr:col>
      <xdr:colOff>678895</xdr:colOff>
      <xdr:row>1652</xdr:row>
      <xdr:rowOff>62587</xdr:rowOff>
    </xdr:from>
    <xdr:to>
      <xdr:col>0</xdr:col>
      <xdr:colOff>1957626</xdr:colOff>
      <xdr:row>1652</xdr:row>
      <xdr:rowOff>798393</xdr:rowOff>
    </xdr:to>
    <xdr:pic>
      <xdr:nvPicPr>
        <xdr:cNvPr id="3305" name="Picture 3304" descr="Insight Picture 3304">
          <a:extLst>
            <a:ext uri="{FF2B5EF4-FFF2-40B4-BE49-F238E27FC236}">
              <a16:creationId xmlns:a16="http://schemas.microsoft.com/office/drawing/2014/main" id="{AC1D078B-9434-F12C-E013-0221DA58F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2"/>
        <a:stretch>
          <a:fillRect/>
        </a:stretch>
      </xdr:blipFill>
      <xdr:spPr>
        <a:xfrm>
          <a:off x="678895" y="1444883167"/>
          <a:ext cx="1278731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664607</xdr:colOff>
      <xdr:row>1653</xdr:row>
      <xdr:rowOff>60762</xdr:rowOff>
    </xdr:from>
    <xdr:to>
      <xdr:col>0</xdr:col>
      <xdr:colOff>1971913</xdr:colOff>
      <xdr:row>1653</xdr:row>
      <xdr:rowOff>853718</xdr:rowOff>
    </xdr:to>
    <xdr:pic>
      <xdr:nvPicPr>
        <xdr:cNvPr id="3307" name="Picture 3306" descr="Insight Picture 3306">
          <a:extLst>
            <a:ext uri="{FF2B5EF4-FFF2-40B4-BE49-F238E27FC236}">
              <a16:creationId xmlns:a16="http://schemas.microsoft.com/office/drawing/2014/main" id="{EF920A2C-A9D4-CBB3-82B9-EF7A47349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3"/>
        <a:stretch>
          <a:fillRect/>
        </a:stretch>
      </xdr:blipFill>
      <xdr:spPr>
        <a:xfrm>
          <a:off x="664607" y="1445742402"/>
          <a:ext cx="1307306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546735</xdr:colOff>
      <xdr:row>1654</xdr:row>
      <xdr:rowOff>61456</xdr:rowOff>
    </xdr:from>
    <xdr:to>
      <xdr:col>0</xdr:col>
      <xdr:colOff>2089785</xdr:colOff>
      <xdr:row>1654</xdr:row>
      <xdr:rowOff>990144</xdr:rowOff>
    </xdr:to>
    <xdr:pic>
      <xdr:nvPicPr>
        <xdr:cNvPr id="3309" name="Picture 3308" descr="Insight Picture 3308">
          <a:extLst>
            <a:ext uri="{FF2B5EF4-FFF2-40B4-BE49-F238E27FC236}">
              <a16:creationId xmlns:a16="http://schemas.microsoft.com/office/drawing/2014/main" id="{0F81DB49-9F98-9114-C79B-4BDFDB050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4"/>
        <a:stretch>
          <a:fillRect/>
        </a:stretch>
      </xdr:blipFill>
      <xdr:spPr>
        <a:xfrm>
          <a:off x="546735" y="1446657496"/>
          <a:ext cx="1543050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746760</xdr:colOff>
      <xdr:row>1655</xdr:row>
      <xdr:rowOff>63599</xdr:rowOff>
    </xdr:from>
    <xdr:to>
      <xdr:col>0</xdr:col>
      <xdr:colOff>1889760</xdr:colOff>
      <xdr:row>1655</xdr:row>
      <xdr:rowOff>1285180</xdr:rowOff>
    </xdr:to>
    <xdr:pic>
      <xdr:nvPicPr>
        <xdr:cNvPr id="3311" name="Picture 3310" descr="Insight Picture 3310">
          <a:extLst>
            <a:ext uri="{FF2B5EF4-FFF2-40B4-BE49-F238E27FC236}">
              <a16:creationId xmlns:a16="http://schemas.microsoft.com/office/drawing/2014/main" id="{DD7140D7-B092-76A3-896C-54F94BF3A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5"/>
        <a:stretch>
          <a:fillRect/>
        </a:stretch>
      </xdr:blipFill>
      <xdr:spPr>
        <a:xfrm>
          <a:off x="746760" y="1447711199"/>
          <a:ext cx="1143000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739616</xdr:colOff>
      <xdr:row>1656</xdr:row>
      <xdr:rowOff>62845</xdr:rowOff>
    </xdr:from>
    <xdr:to>
      <xdr:col>0</xdr:col>
      <xdr:colOff>1896904</xdr:colOff>
      <xdr:row>1656</xdr:row>
      <xdr:rowOff>805795</xdr:rowOff>
    </xdr:to>
    <xdr:pic>
      <xdr:nvPicPr>
        <xdr:cNvPr id="3313" name="Picture 3312" descr="Insight Picture 3312">
          <a:extLst>
            <a:ext uri="{FF2B5EF4-FFF2-40B4-BE49-F238E27FC236}">
              <a16:creationId xmlns:a16="http://schemas.microsoft.com/office/drawing/2014/main" id="{CDE455B3-0CA9-6A3C-93B9-BA5598BEB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6"/>
        <a:stretch>
          <a:fillRect/>
        </a:stretch>
      </xdr:blipFill>
      <xdr:spPr>
        <a:xfrm>
          <a:off x="739616" y="1449059185"/>
          <a:ext cx="1157288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828913</xdr:colOff>
      <xdr:row>1657</xdr:row>
      <xdr:rowOff>61932</xdr:rowOff>
    </xdr:from>
    <xdr:to>
      <xdr:col>0</xdr:col>
      <xdr:colOff>1807607</xdr:colOff>
      <xdr:row>1657</xdr:row>
      <xdr:rowOff>1004907</xdr:rowOff>
    </xdr:to>
    <xdr:pic>
      <xdr:nvPicPr>
        <xdr:cNvPr id="3315" name="Picture 3314" descr="Insight Picture 3314">
          <a:extLst>
            <a:ext uri="{FF2B5EF4-FFF2-40B4-BE49-F238E27FC236}">
              <a16:creationId xmlns:a16="http://schemas.microsoft.com/office/drawing/2014/main" id="{6A470945-BEA4-F66F-B54C-6527B111E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7"/>
        <a:stretch>
          <a:fillRect/>
        </a:stretch>
      </xdr:blipFill>
      <xdr:spPr>
        <a:xfrm>
          <a:off x="828913" y="1449926952"/>
          <a:ext cx="978694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736045</xdr:colOff>
      <xdr:row>1658</xdr:row>
      <xdr:rowOff>62627</xdr:rowOff>
    </xdr:from>
    <xdr:to>
      <xdr:col>0</xdr:col>
      <xdr:colOff>1900476</xdr:colOff>
      <xdr:row>1658</xdr:row>
      <xdr:rowOff>1141333</xdr:rowOff>
    </xdr:to>
    <xdr:pic>
      <xdr:nvPicPr>
        <xdr:cNvPr id="3317" name="Picture 3316" descr="Insight Picture 3316">
          <a:extLst>
            <a:ext uri="{FF2B5EF4-FFF2-40B4-BE49-F238E27FC236}">
              <a16:creationId xmlns:a16="http://schemas.microsoft.com/office/drawing/2014/main" id="{E9AFCB17-19DC-4A47-A318-47B1917B5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8"/>
        <a:stretch>
          <a:fillRect/>
        </a:stretch>
      </xdr:blipFill>
      <xdr:spPr>
        <a:xfrm>
          <a:off x="736045" y="1450994447"/>
          <a:ext cx="1164431" cy="1078706"/>
        </a:xfrm>
        <a:prstGeom prst="rect">
          <a:avLst/>
        </a:prstGeom>
      </xdr:spPr>
    </xdr:pic>
    <xdr:clientData/>
  </xdr:twoCellAnchor>
  <xdr:twoCellAnchor editAs="oneCell">
    <xdr:from>
      <xdr:col>0</xdr:col>
      <xdr:colOff>811053</xdr:colOff>
      <xdr:row>1659</xdr:row>
      <xdr:rowOff>63579</xdr:rowOff>
    </xdr:from>
    <xdr:to>
      <xdr:col>0</xdr:col>
      <xdr:colOff>1825466</xdr:colOff>
      <xdr:row>1659</xdr:row>
      <xdr:rowOff>1056560</xdr:rowOff>
    </xdr:to>
    <xdr:pic>
      <xdr:nvPicPr>
        <xdr:cNvPr id="3319" name="Picture 3318" descr="Insight Picture 3318">
          <a:extLst>
            <a:ext uri="{FF2B5EF4-FFF2-40B4-BE49-F238E27FC236}">
              <a16:creationId xmlns:a16="http://schemas.microsoft.com/office/drawing/2014/main" id="{57D40586-C5F6-6D62-2F17-574B2E961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9"/>
        <a:stretch>
          <a:fillRect/>
        </a:stretch>
      </xdr:blipFill>
      <xdr:spPr>
        <a:xfrm>
          <a:off x="811053" y="1452199359"/>
          <a:ext cx="1014413" cy="992981"/>
        </a:xfrm>
        <a:prstGeom prst="rect">
          <a:avLst/>
        </a:prstGeom>
      </xdr:spPr>
    </xdr:pic>
    <xdr:clientData/>
  </xdr:twoCellAnchor>
  <xdr:twoCellAnchor editAs="oneCell">
    <xdr:from>
      <xdr:col>0</xdr:col>
      <xdr:colOff>693182</xdr:colOff>
      <xdr:row>1660</xdr:row>
      <xdr:rowOff>62627</xdr:rowOff>
    </xdr:from>
    <xdr:to>
      <xdr:col>0</xdr:col>
      <xdr:colOff>1943338</xdr:colOff>
      <xdr:row>1660</xdr:row>
      <xdr:rowOff>1027033</xdr:rowOff>
    </xdr:to>
    <xdr:pic>
      <xdr:nvPicPr>
        <xdr:cNvPr id="3321" name="Picture 3320" descr="Insight Picture 3320">
          <a:extLst>
            <a:ext uri="{FF2B5EF4-FFF2-40B4-BE49-F238E27FC236}">
              <a16:creationId xmlns:a16="http://schemas.microsoft.com/office/drawing/2014/main" id="{8B5E14B5-4ADE-63A3-D1BE-FFF554866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0"/>
        <a:stretch>
          <a:fillRect/>
        </a:stretch>
      </xdr:blipFill>
      <xdr:spPr>
        <a:xfrm>
          <a:off x="693182" y="1453318547"/>
          <a:ext cx="1250156" cy="964406"/>
        </a:xfrm>
        <a:prstGeom prst="rect">
          <a:avLst/>
        </a:prstGeom>
      </xdr:spPr>
    </xdr:pic>
    <xdr:clientData/>
  </xdr:twoCellAnchor>
  <xdr:twoCellAnchor editAs="oneCell">
    <xdr:from>
      <xdr:col>0</xdr:col>
      <xdr:colOff>893207</xdr:colOff>
      <xdr:row>1661</xdr:row>
      <xdr:rowOff>61694</xdr:rowOff>
    </xdr:from>
    <xdr:to>
      <xdr:col>0</xdr:col>
      <xdr:colOff>1743313</xdr:colOff>
      <xdr:row>1661</xdr:row>
      <xdr:rowOff>883225</xdr:rowOff>
    </xdr:to>
    <xdr:pic>
      <xdr:nvPicPr>
        <xdr:cNvPr id="3323" name="Picture 3322" descr="Insight Picture 3322">
          <a:extLst>
            <a:ext uri="{FF2B5EF4-FFF2-40B4-BE49-F238E27FC236}">
              <a16:creationId xmlns:a16="http://schemas.microsoft.com/office/drawing/2014/main" id="{3E780D84-79CF-8B3D-E1E7-8D03371CF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1"/>
        <a:stretch>
          <a:fillRect/>
        </a:stretch>
      </xdr:blipFill>
      <xdr:spPr>
        <a:xfrm>
          <a:off x="893207" y="1454407274"/>
          <a:ext cx="850106" cy="821531"/>
        </a:xfrm>
        <a:prstGeom prst="rect">
          <a:avLst/>
        </a:prstGeom>
      </xdr:spPr>
    </xdr:pic>
    <xdr:clientData/>
  </xdr:twoCellAnchor>
  <xdr:twoCellAnchor editAs="oneCell">
    <xdr:from>
      <xdr:col>0</xdr:col>
      <xdr:colOff>625316</xdr:colOff>
      <xdr:row>1662</xdr:row>
      <xdr:rowOff>61873</xdr:rowOff>
    </xdr:from>
    <xdr:to>
      <xdr:col>0</xdr:col>
      <xdr:colOff>2011204</xdr:colOff>
      <xdr:row>1662</xdr:row>
      <xdr:rowOff>1119148</xdr:rowOff>
    </xdr:to>
    <xdr:pic>
      <xdr:nvPicPr>
        <xdr:cNvPr id="3325" name="Picture 3324" descr="Insight Picture 3324">
          <a:extLst>
            <a:ext uri="{FF2B5EF4-FFF2-40B4-BE49-F238E27FC236}">
              <a16:creationId xmlns:a16="http://schemas.microsoft.com/office/drawing/2014/main" id="{A7698B20-C643-7C28-04E3-9EDA5CA5F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2"/>
        <a:stretch>
          <a:fillRect/>
        </a:stretch>
      </xdr:blipFill>
      <xdr:spPr>
        <a:xfrm>
          <a:off x="625316" y="1455352333"/>
          <a:ext cx="1385888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746760</xdr:colOff>
      <xdr:row>1663</xdr:row>
      <xdr:rowOff>63560</xdr:rowOff>
    </xdr:from>
    <xdr:to>
      <xdr:col>0</xdr:col>
      <xdr:colOff>1889760</xdr:colOff>
      <xdr:row>1663</xdr:row>
      <xdr:rowOff>1285141</xdr:rowOff>
    </xdr:to>
    <xdr:pic>
      <xdr:nvPicPr>
        <xdr:cNvPr id="3327" name="Picture 3326" descr="Insight Picture 3326">
          <a:extLst>
            <a:ext uri="{FF2B5EF4-FFF2-40B4-BE49-F238E27FC236}">
              <a16:creationId xmlns:a16="http://schemas.microsoft.com/office/drawing/2014/main" id="{E843441D-0478-9716-D1DF-5D37C660F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3"/>
        <a:stretch>
          <a:fillRect/>
        </a:stretch>
      </xdr:blipFill>
      <xdr:spPr>
        <a:xfrm>
          <a:off x="746760" y="1456535120"/>
          <a:ext cx="1143000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836057</xdr:colOff>
      <xdr:row>1664</xdr:row>
      <xdr:rowOff>63599</xdr:rowOff>
    </xdr:from>
    <xdr:to>
      <xdr:col>0</xdr:col>
      <xdr:colOff>1800463</xdr:colOff>
      <xdr:row>1664</xdr:row>
      <xdr:rowOff>1285180</xdr:rowOff>
    </xdr:to>
    <xdr:pic>
      <xdr:nvPicPr>
        <xdr:cNvPr id="3329" name="Picture 3328" descr="Insight Picture 3328">
          <a:extLst>
            <a:ext uri="{FF2B5EF4-FFF2-40B4-BE49-F238E27FC236}">
              <a16:creationId xmlns:a16="http://schemas.microsoft.com/office/drawing/2014/main" id="{BDBE2DB7-7704-B524-945C-7600531E5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4"/>
        <a:stretch>
          <a:fillRect/>
        </a:stretch>
      </xdr:blipFill>
      <xdr:spPr>
        <a:xfrm>
          <a:off x="836057" y="1457883899"/>
          <a:ext cx="964406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739616</xdr:colOff>
      <xdr:row>1665</xdr:row>
      <xdr:rowOff>60960</xdr:rowOff>
    </xdr:from>
    <xdr:to>
      <xdr:col>0</xdr:col>
      <xdr:colOff>1896904</xdr:colOff>
      <xdr:row>1665</xdr:row>
      <xdr:rowOff>1203960</xdr:rowOff>
    </xdr:to>
    <xdr:pic>
      <xdr:nvPicPr>
        <xdr:cNvPr id="3331" name="Picture 3330" descr="Insight Picture 3330">
          <a:extLst>
            <a:ext uri="{FF2B5EF4-FFF2-40B4-BE49-F238E27FC236}">
              <a16:creationId xmlns:a16="http://schemas.microsoft.com/office/drawing/2014/main" id="{341D7916-1716-DBB6-0A94-35E021D3C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5"/>
        <a:stretch>
          <a:fillRect/>
        </a:stretch>
      </xdr:blipFill>
      <xdr:spPr>
        <a:xfrm>
          <a:off x="739616" y="1459230000"/>
          <a:ext cx="1157288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586025</xdr:colOff>
      <xdr:row>1666</xdr:row>
      <xdr:rowOff>60484</xdr:rowOff>
    </xdr:from>
    <xdr:to>
      <xdr:col>0</xdr:col>
      <xdr:colOff>2050494</xdr:colOff>
      <xdr:row>1666</xdr:row>
      <xdr:rowOff>1074897</xdr:rowOff>
    </xdr:to>
    <xdr:pic>
      <xdr:nvPicPr>
        <xdr:cNvPr id="3333" name="Picture 3332" descr="Insight Picture 3332">
          <a:extLst>
            <a:ext uri="{FF2B5EF4-FFF2-40B4-BE49-F238E27FC236}">
              <a16:creationId xmlns:a16="http://schemas.microsoft.com/office/drawing/2014/main" id="{534C6039-92B3-8AAF-B114-C90961A1F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6"/>
        <a:stretch>
          <a:fillRect/>
        </a:stretch>
      </xdr:blipFill>
      <xdr:spPr>
        <a:xfrm>
          <a:off x="586025" y="1460494444"/>
          <a:ext cx="1464469" cy="1014413"/>
        </a:xfrm>
        <a:prstGeom prst="rect">
          <a:avLst/>
        </a:prstGeom>
      </xdr:spPr>
    </xdr:pic>
    <xdr:clientData/>
  </xdr:twoCellAnchor>
  <xdr:twoCellAnchor editAs="oneCell">
    <xdr:from>
      <xdr:col>0</xdr:col>
      <xdr:colOff>839628</xdr:colOff>
      <xdr:row>1667</xdr:row>
      <xdr:rowOff>62647</xdr:rowOff>
    </xdr:from>
    <xdr:to>
      <xdr:col>0</xdr:col>
      <xdr:colOff>1796891</xdr:colOff>
      <xdr:row>1667</xdr:row>
      <xdr:rowOff>1141353</xdr:rowOff>
    </xdr:to>
    <xdr:pic>
      <xdr:nvPicPr>
        <xdr:cNvPr id="3335" name="Picture 3334" descr="Insight Picture 3334">
          <a:extLst>
            <a:ext uri="{FF2B5EF4-FFF2-40B4-BE49-F238E27FC236}">
              <a16:creationId xmlns:a16="http://schemas.microsoft.com/office/drawing/2014/main" id="{07BFAE20-38D4-47C7-4EFE-3BACAEC25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7"/>
        <a:stretch>
          <a:fillRect/>
        </a:stretch>
      </xdr:blipFill>
      <xdr:spPr>
        <a:xfrm>
          <a:off x="839628" y="1461631987"/>
          <a:ext cx="957263" cy="1078706"/>
        </a:xfrm>
        <a:prstGeom prst="rect">
          <a:avLst/>
        </a:prstGeom>
      </xdr:spPr>
    </xdr:pic>
    <xdr:clientData/>
  </xdr:twoCellAnchor>
  <xdr:twoCellAnchor editAs="oneCell">
    <xdr:from>
      <xdr:col>0</xdr:col>
      <xdr:colOff>732472</xdr:colOff>
      <xdr:row>1668</xdr:row>
      <xdr:rowOff>62607</xdr:rowOff>
    </xdr:from>
    <xdr:to>
      <xdr:col>0</xdr:col>
      <xdr:colOff>1904047</xdr:colOff>
      <xdr:row>1668</xdr:row>
      <xdr:rowOff>1141313</xdr:rowOff>
    </xdr:to>
    <xdr:pic>
      <xdr:nvPicPr>
        <xdr:cNvPr id="3337" name="Picture 3336" descr="Insight Picture 3336">
          <a:extLst>
            <a:ext uri="{FF2B5EF4-FFF2-40B4-BE49-F238E27FC236}">
              <a16:creationId xmlns:a16="http://schemas.microsoft.com/office/drawing/2014/main" id="{D42D5404-02EF-4FBC-7198-04CA65155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8"/>
        <a:stretch>
          <a:fillRect/>
        </a:stretch>
      </xdr:blipFill>
      <xdr:spPr>
        <a:xfrm>
          <a:off x="732472" y="1462835907"/>
          <a:ext cx="1171575" cy="1078706"/>
        </a:xfrm>
        <a:prstGeom prst="rect">
          <a:avLst/>
        </a:prstGeom>
      </xdr:spPr>
    </xdr:pic>
    <xdr:clientData/>
  </xdr:twoCellAnchor>
  <xdr:twoCellAnchor editAs="oneCell">
    <xdr:from>
      <xdr:col>0</xdr:col>
      <xdr:colOff>664607</xdr:colOff>
      <xdr:row>1669</xdr:row>
      <xdr:rowOff>60484</xdr:rowOff>
    </xdr:from>
    <xdr:to>
      <xdr:col>0</xdr:col>
      <xdr:colOff>1971913</xdr:colOff>
      <xdr:row>1669</xdr:row>
      <xdr:rowOff>960597</xdr:rowOff>
    </xdr:to>
    <xdr:pic>
      <xdr:nvPicPr>
        <xdr:cNvPr id="3339" name="Picture 3338" descr="Insight Picture 3338">
          <a:extLst>
            <a:ext uri="{FF2B5EF4-FFF2-40B4-BE49-F238E27FC236}">
              <a16:creationId xmlns:a16="http://schemas.microsoft.com/office/drawing/2014/main" id="{F74F9ADE-F497-F57E-F0E1-7A0754DD6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9"/>
        <a:stretch>
          <a:fillRect/>
        </a:stretch>
      </xdr:blipFill>
      <xdr:spPr>
        <a:xfrm>
          <a:off x="664607" y="1464037744"/>
          <a:ext cx="1307306" cy="900113"/>
        </a:xfrm>
        <a:prstGeom prst="rect">
          <a:avLst/>
        </a:prstGeom>
      </xdr:spPr>
    </xdr:pic>
    <xdr:clientData/>
  </xdr:twoCellAnchor>
  <xdr:twoCellAnchor editAs="oneCell">
    <xdr:from>
      <xdr:col>0</xdr:col>
      <xdr:colOff>764620</xdr:colOff>
      <xdr:row>1670</xdr:row>
      <xdr:rowOff>63540</xdr:rowOff>
    </xdr:from>
    <xdr:to>
      <xdr:col>0</xdr:col>
      <xdr:colOff>1871901</xdr:colOff>
      <xdr:row>1670</xdr:row>
      <xdr:rowOff>1170821</xdr:rowOff>
    </xdr:to>
    <xdr:pic>
      <xdr:nvPicPr>
        <xdr:cNvPr id="3341" name="Picture 3340" descr="Insight Picture 3340">
          <a:extLst>
            <a:ext uri="{FF2B5EF4-FFF2-40B4-BE49-F238E27FC236}">
              <a16:creationId xmlns:a16="http://schemas.microsoft.com/office/drawing/2014/main" id="{16BFD0DE-A30A-3C46-C869-C2D3029B7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0"/>
        <a:stretch>
          <a:fillRect/>
        </a:stretch>
      </xdr:blipFill>
      <xdr:spPr>
        <a:xfrm>
          <a:off x="764620" y="1465061880"/>
          <a:ext cx="1107281" cy="1107281"/>
        </a:xfrm>
        <a:prstGeom prst="rect">
          <a:avLst/>
        </a:prstGeom>
      </xdr:spPr>
    </xdr:pic>
    <xdr:clientData/>
  </xdr:twoCellAnchor>
  <xdr:twoCellAnchor editAs="oneCell">
    <xdr:from>
      <xdr:col>0</xdr:col>
      <xdr:colOff>814625</xdr:colOff>
      <xdr:row>1671</xdr:row>
      <xdr:rowOff>61000</xdr:rowOff>
    </xdr:from>
    <xdr:to>
      <xdr:col>0</xdr:col>
      <xdr:colOff>1821894</xdr:colOff>
      <xdr:row>1671</xdr:row>
      <xdr:rowOff>975400</xdr:rowOff>
    </xdr:to>
    <xdr:pic>
      <xdr:nvPicPr>
        <xdr:cNvPr id="3343" name="Picture 3342" descr="Insight Picture 3342">
          <a:extLst>
            <a:ext uri="{FF2B5EF4-FFF2-40B4-BE49-F238E27FC236}">
              <a16:creationId xmlns:a16="http://schemas.microsoft.com/office/drawing/2014/main" id="{90AC7CEF-67E4-79D7-6927-242760A61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1"/>
        <a:stretch>
          <a:fillRect/>
        </a:stretch>
      </xdr:blipFill>
      <xdr:spPr>
        <a:xfrm>
          <a:off x="814625" y="1466293780"/>
          <a:ext cx="1007269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793195</xdr:colOff>
      <xdr:row>1672</xdr:row>
      <xdr:rowOff>61714</xdr:rowOff>
    </xdr:from>
    <xdr:to>
      <xdr:col>0</xdr:col>
      <xdr:colOff>1843326</xdr:colOff>
      <xdr:row>1672</xdr:row>
      <xdr:rowOff>997545</xdr:rowOff>
    </xdr:to>
    <xdr:pic>
      <xdr:nvPicPr>
        <xdr:cNvPr id="3345" name="Picture 3344" descr="Insight Picture 3344">
          <a:extLst>
            <a:ext uri="{FF2B5EF4-FFF2-40B4-BE49-F238E27FC236}">
              <a16:creationId xmlns:a16="http://schemas.microsoft.com/office/drawing/2014/main" id="{C3C13FDF-6F62-C2BF-9D4F-300289E18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2"/>
        <a:stretch>
          <a:fillRect/>
        </a:stretch>
      </xdr:blipFill>
      <xdr:spPr>
        <a:xfrm>
          <a:off x="793195" y="1467330814"/>
          <a:ext cx="1050131" cy="935831"/>
        </a:xfrm>
        <a:prstGeom prst="rect">
          <a:avLst/>
        </a:prstGeom>
      </xdr:spPr>
    </xdr:pic>
    <xdr:clientData/>
  </xdr:twoCellAnchor>
  <xdr:twoCellAnchor editAs="oneCell">
    <xdr:from>
      <xdr:col>0</xdr:col>
      <xdr:colOff>914638</xdr:colOff>
      <xdr:row>1673</xdr:row>
      <xdr:rowOff>62885</xdr:rowOff>
    </xdr:from>
    <xdr:to>
      <xdr:col>0</xdr:col>
      <xdr:colOff>1721882</xdr:colOff>
      <xdr:row>1673</xdr:row>
      <xdr:rowOff>805835</xdr:rowOff>
    </xdr:to>
    <xdr:pic>
      <xdr:nvPicPr>
        <xdr:cNvPr id="3347" name="Picture 3346" descr="Insight Picture 3346">
          <a:extLst>
            <a:ext uri="{FF2B5EF4-FFF2-40B4-BE49-F238E27FC236}">
              <a16:creationId xmlns:a16="http://schemas.microsoft.com/office/drawing/2014/main" id="{E2A3DFF5-F6E9-0E89-CFFA-382C9FA8E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3"/>
        <a:stretch>
          <a:fillRect/>
        </a:stretch>
      </xdr:blipFill>
      <xdr:spPr>
        <a:xfrm>
          <a:off x="914638" y="1468391165"/>
          <a:ext cx="807244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596741</xdr:colOff>
      <xdr:row>1674</xdr:row>
      <xdr:rowOff>60285</xdr:rowOff>
    </xdr:from>
    <xdr:to>
      <xdr:col>0</xdr:col>
      <xdr:colOff>2039779</xdr:colOff>
      <xdr:row>1674</xdr:row>
      <xdr:rowOff>1067554</xdr:rowOff>
    </xdr:to>
    <xdr:pic>
      <xdr:nvPicPr>
        <xdr:cNvPr id="3349" name="Picture 3348" descr="Insight Picture 3348">
          <a:extLst>
            <a:ext uri="{FF2B5EF4-FFF2-40B4-BE49-F238E27FC236}">
              <a16:creationId xmlns:a16="http://schemas.microsoft.com/office/drawing/2014/main" id="{C396CE63-ED5F-DA69-226B-B64F8D1F2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4"/>
        <a:stretch>
          <a:fillRect/>
        </a:stretch>
      </xdr:blipFill>
      <xdr:spPr>
        <a:xfrm>
          <a:off x="596741" y="1469257245"/>
          <a:ext cx="1443038" cy="1007269"/>
        </a:xfrm>
        <a:prstGeom prst="rect">
          <a:avLst/>
        </a:prstGeom>
      </xdr:spPr>
    </xdr:pic>
    <xdr:clientData/>
  </xdr:twoCellAnchor>
  <xdr:twoCellAnchor editAs="oneCell">
    <xdr:from>
      <xdr:col>0</xdr:col>
      <xdr:colOff>678895</xdr:colOff>
      <xdr:row>1675</xdr:row>
      <xdr:rowOff>62627</xdr:rowOff>
    </xdr:from>
    <xdr:to>
      <xdr:col>0</xdr:col>
      <xdr:colOff>1957626</xdr:colOff>
      <xdr:row>1675</xdr:row>
      <xdr:rowOff>798433</xdr:rowOff>
    </xdr:to>
    <xdr:pic>
      <xdr:nvPicPr>
        <xdr:cNvPr id="3351" name="Picture 3350" descr="Insight Picture 3350">
          <a:extLst>
            <a:ext uri="{FF2B5EF4-FFF2-40B4-BE49-F238E27FC236}">
              <a16:creationId xmlns:a16="http://schemas.microsoft.com/office/drawing/2014/main" id="{21439AA4-4E28-6BD7-3E6E-7AE374555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5"/>
        <a:stretch>
          <a:fillRect/>
        </a:stretch>
      </xdr:blipFill>
      <xdr:spPr>
        <a:xfrm>
          <a:off x="678895" y="1470387347"/>
          <a:ext cx="1278731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625316</xdr:colOff>
      <xdr:row>1676</xdr:row>
      <xdr:rowOff>61893</xdr:rowOff>
    </xdr:from>
    <xdr:to>
      <xdr:col>0</xdr:col>
      <xdr:colOff>2011204</xdr:colOff>
      <xdr:row>1676</xdr:row>
      <xdr:rowOff>890568</xdr:rowOff>
    </xdr:to>
    <xdr:pic>
      <xdr:nvPicPr>
        <xdr:cNvPr id="3353" name="Picture 3352" descr="Insight Picture 3352">
          <a:extLst>
            <a:ext uri="{FF2B5EF4-FFF2-40B4-BE49-F238E27FC236}">
              <a16:creationId xmlns:a16="http://schemas.microsoft.com/office/drawing/2014/main" id="{1C288268-14A0-6476-E785-E2EDF3BF0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6"/>
        <a:stretch>
          <a:fillRect/>
        </a:stretch>
      </xdr:blipFill>
      <xdr:spPr>
        <a:xfrm>
          <a:off x="625316" y="1471247673"/>
          <a:ext cx="1385888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625316</xdr:colOff>
      <xdr:row>1677</xdr:row>
      <xdr:rowOff>61893</xdr:rowOff>
    </xdr:from>
    <xdr:to>
      <xdr:col>0</xdr:col>
      <xdr:colOff>2011204</xdr:colOff>
      <xdr:row>1677</xdr:row>
      <xdr:rowOff>890568</xdr:rowOff>
    </xdr:to>
    <xdr:pic>
      <xdr:nvPicPr>
        <xdr:cNvPr id="3355" name="Picture 3354" descr="Insight Picture 3354">
          <a:extLst>
            <a:ext uri="{FF2B5EF4-FFF2-40B4-BE49-F238E27FC236}">
              <a16:creationId xmlns:a16="http://schemas.microsoft.com/office/drawing/2014/main" id="{C18C6938-840E-738F-0863-2DA60AE3A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7"/>
        <a:stretch>
          <a:fillRect/>
        </a:stretch>
      </xdr:blipFill>
      <xdr:spPr>
        <a:xfrm>
          <a:off x="625316" y="1472200173"/>
          <a:ext cx="1385888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918210</xdr:colOff>
      <xdr:row>1678</xdr:row>
      <xdr:rowOff>61397</xdr:rowOff>
    </xdr:from>
    <xdr:to>
      <xdr:col>0</xdr:col>
      <xdr:colOff>1718310</xdr:colOff>
      <xdr:row>1678</xdr:row>
      <xdr:rowOff>990085</xdr:rowOff>
    </xdr:to>
    <xdr:pic>
      <xdr:nvPicPr>
        <xdr:cNvPr id="3357" name="Picture 3356" descr="Insight Picture 3356">
          <a:extLst>
            <a:ext uri="{FF2B5EF4-FFF2-40B4-BE49-F238E27FC236}">
              <a16:creationId xmlns:a16="http://schemas.microsoft.com/office/drawing/2014/main" id="{F9DCBB2A-0BF7-956E-0D4C-88B70FC98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8"/>
        <a:stretch>
          <a:fillRect/>
        </a:stretch>
      </xdr:blipFill>
      <xdr:spPr>
        <a:xfrm>
          <a:off x="918210" y="1473152177"/>
          <a:ext cx="800100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632460</xdr:colOff>
      <xdr:row>1679</xdr:row>
      <xdr:rowOff>61456</xdr:rowOff>
    </xdr:from>
    <xdr:to>
      <xdr:col>0</xdr:col>
      <xdr:colOff>2004060</xdr:colOff>
      <xdr:row>1679</xdr:row>
      <xdr:rowOff>1104444</xdr:rowOff>
    </xdr:to>
    <xdr:pic>
      <xdr:nvPicPr>
        <xdr:cNvPr id="3359" name="Picture 3358" descr="Insight Picture 3358">
          <a:extLst>
            <a:ext uri="{FF2B5EF4-FFF2-40B4-BE49-F238E27FC236}">
              <a16:creationId xmlns:a16="http://schemas.microsoft.com/office/drawing/2014/main" id="{C5401301-0C4B-3626-F2DF-564F063AA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9"/>
        <a:stretch>
          <a:fillRect/>
        </a:stretch>
      </xdr:blipFill>
      <xdr:spPr>
        <a:xfrm>
          <a:off x="632460" y="1474203796"/>
          <a:ext cx="1371600" cy="1042988"/>
        </a:xfrm>
        <a:prstGeom prst="rect">
          <a:avLst/>
        </a:prstGeom>
      </xdr:spPr>
    </xdr:pic>
    <xdr:clientData/>
  </xdr:twoCellAnchor>
  <xdr:twoCellAnchor editAs="oneCell">
    <xdr:from>
      <xdr:col>0</xdr:col>
      <xdr:colOff>811053</xdr:colOff>
      <xdr:row>1680</xdr:row>
      <xdr:rowOff>63599</xdr:rowOff>
    </xdr:from>
    <xdr:to>
      <xdr:col>0</xdr:col>
      <xdr:colOff>1825466</xdr:colOff>
      <xdr:row>1680</xdr:row>
      <xdr:rowOff>1285180</xdr:rowOff>
    </xdr:to>
    <xdr:pic>
      <xdr:nvPicPr>
        <xdr:cNvPr id="3361" name="Picture 3360" descr="Insight Picture 3360">
          <a:extLst>
            <a:ext uri="{FF2B5EF4-FFF2-40B4-BE49-F238E27FC236}">
              <a16:creationId xmlns:a16="http://schemas.microsoft.com/office/drawing/2014/main" id="{3AFE47A9-377F-8BCB-A51C-777F419EF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0"/>
        <a:stretch>
          <a:fillRect/>
        </a:stretch>
      </xdr:blipFill>
      <xdr:spPr>
        <a:xfrm>
          <a:off x="811053" y="1475371799"/>
          <a:ext cx="1014413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814625</xdr:colOff>
      <xdr:row>1681</xdr:row>
      <xdr:rowOff>63540</xdr:rowOff>
    </xdr:from>
    <xdr:to>
      <xdr:col>0</xdr:col>
      <xdr:colOff>1821894</xdr:colOff>
      <xdr:row>1681</xdr:row>
      <xdr:rowOff>1285121</xdr:rowOff>
    </xdr:to>
    <xdr:pic>
      <xdr:nvPicPr>
        <xdr:cNvPr id="3363" name="Picture 3362" descr="Insight Picture 3362">
          <a:extLst>
            <a:ext uri="{FF2B5EF4-FFF2-40B4-BE49-F238E27FC236}">
              <a16:creationId xmlns:a16="http://schemas.microsoft.com/office/drawing/2014/main" id="{022F8F14-3BBE-7990-95CB-CFC399729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1"/>
        <a:stretch>
          <a:fillRect/>
        </a:stretch>
      </xdr:blipFill>
      <xdr:spPr>
        <a:xfrm>
          <a:off x="814625" y="1476720480"/>
          <a:ext cx="1007269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711041</xdr:colOff>
      <xdr:row>1682</xdr:row>
      <xdr:rowOff>63579</xdr:rowOff>
    </xdr:from>
    <xdr:to>
      <xdr:col>0</xdr:col>
      <xdr:colOff>1925479</xdr:colOff>
      <xdr:row>1682</xdr:row>
      <xdr:rowOff>1285160</xdr:rowOff>
    </xdr:to>
    <xdr:pic>
      <xdr:nvPicPr>
        <xdr:cNvPr id="3365" name="Picture 3364" descr="Insight Picture 3364">
          <a:extLst>
            <a:ext uri="{FF2B5EF4-FFF2-40B4-BE49-F238E27FC236}">
              <a16:creationId xmlns:a16="http://schemas.microsoft.com/office/drawing/2014/main" id="{1B107004-440B-3555-6F36-BF77D0AFB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2"/>
        <a:stretch>
          <a:fillRect/>
        </a:stretch>
      </xdr:blipFill>
      <xdr:spPr>
        <a:xfrm>
          <a:off x="711041" y="1478069259"/>
          <a:ext cx="1214438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771763</xdr:colOff>
      <xdr:row>1683</xdr:row>
      <xdr:rowOff>63619</xdr:rowOff>
    </xdr:from>
    <xdr:to>
      <xdr:col>0</xdr:col>
      <xdr:colOff>1864757</xdr:colOff>
      <xdr:row>1683</xdr:row>
      <xdr:rowOff>1285200</xdr:rowOff>
    </xdr:to>
    <xdr:pic>
      <xdr:nvPicPr>
        <xdr:cNvPr id="3367" name="Picture 3366" descr="Insight Picture 3366">
          <a:extLst>
            <a:ext uri="{FF2B5EF4-FFF2-40B4-BE49-F238E27FC236}">
              <a16:creationId xmlns:a16="http://schemas.microsoft.com/office/drawing/2014/main" id="{58DBFCDE-4283-F0EF-2955-54BE0DCC5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3"/>
        <a:stretch>
          <a:fillRect/>
        </a:stretch>
      </xdr:blipFill>
      <xdr:spPr>
        <a:xfrm>
          <a:off x="771763" y="1479418039"/>
          <a:ext cx="1092994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664607</xdr:colOff>
      <xdr:row>1684</xdr:row>
      <xdr:rowOff>60682</xdr:rowOff>
    </xdr:from>
    <xdr:to>
      <xdr:col>0</xdr:col>
      <xdr:colOff>1971913</xdr:colOff>
      <xdr:row>1684</xdr:row>
      <xdr:rowOff>853638</xdr:rowOff>
    </xdr:to>
    <xdr:pic>
      <xdr:nvPicPr>
        <xdr:cNvPr id="3369" name="Picture 3368" descr="Insight Picture 3368">
          <a:extLst>
            <a:ext uri="{FF2B5EF4-FFF2-40B4-BE49-F238E27FC236}">
              <a16:creationId xmlns:a16="http://schemas.microsoft.com/office/drawing/2014/main" id="{211D0021-36DE-B256-4834-8DCD0B776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4"/>
        <a:stretch>
          <a:fillRect/>
        </a:stretch>
      </xdr:blipFill>
      <xdr:spPr>
        <a:xfrm>
          <a:off x="664607" y="1480763842"/>
          <a:ext cx="1307306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678895</xdr:colOff>
      <xdr:row>1685</xdr:row>
      <xdr:rowOff>62667</xdr:rowOff>
    </xdr:from>
    <xdr:to>
      <xdr:col>0</xdr:col>
      <xdr:colOff>1957626</xdr:colOff>
      <xdr:row>1685</xdr:row>
      <xdr:rowOff>798473</xdr:rowOff>
    </xdr:to>
    <xdr:pic>
      <xdr:nvPicPr>
        <xdr:cNvPr id="3371" name="Picture 3370" descr="Insight Picture 3370">
          <a:extLst>
            <a:ext uri="{FF2B5EF4-FFF2-40B4-BE49-F238E27FC236}">
              <a16:creationId xmlns:a16="http://schemas.microsoft.com/office/drawing/2014/main" id="{840B9891-B31F-1609-1D19-195D90CE4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5"/>
        <a:stretch>
          <a:fillRect/>
        </a:stretch>
      </xdr:blipFill>
      <xdr:spPr>
        <a:xfrm>
          <a:off x="678895" y="1481680227"/>
          <a:ext cx="1278731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625316</xdr:colOff>
      <xdr:row>1686</xdr:row>
      <xdr:rowOff>61932</xdr:rowOff>
    </xdr:from>
    <xdr:to>
      <xdr:col>0</xdr:col>
      <xdr:colOff>2011204</xdr:colOff>
      <xdr:row>1686</xdr:row>
      <xdr:rowOff>890607</xdr:rowOff>
    </xdr:to>
    <xdr:pic>
      <xdr:nvPicPr>
        <xdr:cNvPr id="3373" name="Picture 3372" descr="Insight Picture 3372">
          <a:extLst>
            <a:ext uri="{FF2B5EF4-FFF2-40B4-BE49-F238E27FC236}">
              <a16:creationId xmlns:a16="http://schemas.microsoft.com/office/drawing/2014/main" id="{5EAEDCED-EE24-7C1E-D3A4-D6A8E5F02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6"/>
        <a:stretch>
          <a:fillRect/>
        </a:stretch>
      </xdr:blipFill>
      <xdr:spPr>
        <a:xfrm>
          <a:off x="625316" y="1482540552"/>
          <a:ext cx="1385888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546735</xdr:colOff>
      <xdr:row>1687</xdr:row>
      <xdr:rowOff>61436</xdr:rowOff>
    </xdr:from>
    <xdr:to>
      <xdr:col>0</xdr:col>
      <xdr:colOff>2089785</xdr:colOff>
      <xdr:row>1687</xdr:row>
      <xdr:rowOff>990124</xdr:rowOff>
    </xdr:to>
    <xdr:pic>
      <xdr:nvPicPr>
        <xdr:cNvPr id="3375" name="Picture 3374" descr="Insight Picture 3374">
          <a:extLst>
            <a:ext uri="{FF2B5EF4-FFF2-40B4-BE49-F238E27FC236}">
              <a16:creationId xmlns:a16="http://schemas.microsoft.com/office/drawing/2014/main" id="{D6667DD9-9435-6E94-0497-FC42DE9A8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7"/>
        <a:stretch>
          <a:fillRect/>
        </a:stretch>
      </xdr:blipFill>
      <xdr:spPr>
        <a:xfrm>
          <a:off x="546735" y="1483492556"/>
          <a:ext cx="1543050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664607</xdr:colOff>
      <xdr:row>1688</xdr:row>
      <xdr:rowOff>61397</xdr:rowOff>
    </xdr:from>
    <xdr:to>
      <xdr:col>0</xdr:col>
      <xdr:colOff>1971913</xdr:colOff>
      <xdr:row>1688</xdr:row>
      <xdr:rowOff>990085</xdr:rowOff>
    </xdr:to>
    <xdr:pic>
      <xdr:nvPicPr>
        <xdr:cNvPr id="3377" name="Picture 3376" descr="Insight Picture 3376">
          <a:extLst>
            <a:ext uri="{FF2B5EF4-FFF2-40B4-BE49-F238E27FC236}">
              <a16:creationId xmlns:a16="http://schemas.microsoft.com/office/drawing/2014/main" id="{378A789D-02DD-086F-4215-44924961A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xfrm>
          <a:off x="664607" y="1484544077"/>
          <a:ext cx="1307306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664607</xdr:colOff>
      <xdr:row>1689</xdr:row>
      <xdr:rowOff>60762</xdr:rowOff>
    </xdr:from>
    <xdr:to>
      <xdr:col>0</xdr:col>
      <xdr:colOff>1971913</xdr:colOff>
      <xdr:row>1689</xdr:row>
      <xdr:rowOff>853718</xdr:rowOff>
    </xdr:to>
    <xdr:pic>
      <xdr:nvPicPr>
        <xdr:cNvPr id="3379" name="Picture 3378" descr="Insight Picture 3378">
          <a:extLst>
            <a:ext uri="{FF2B5EF4-FFF2-40B4-BE49-F238E27FC236}">
              <a16:creationId xmlns:a16="http://schemas.microsoft.com/office/drawing/2014/main" id="{6F4AEB5C-F0BF-B4C1-BC2B-1C2CE12D6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xfrm>
          <a:off x="664607" y="1485595002"/>
          <a:ext cx="1307306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875348</xdr:colOff>
      <xdr:row>1690</xdr:row>
      <xdr:rowOff>63341</xdr:rowOff>
    </xdr:from>
    <xdr:to>
      <xdr:col>0</xdr:col>
      <xdr:colOff>1761173</xdr:colOff>
      <xdr:row>1690</xdr:row>
      <xdr:rowOff>1049179</xdr:rowOff>
    </xdr:to>
    <xdr:pic>
      <xdr:nvPicPr>
        <xdr:cNvPr id="3381" name="Picture 3380" descr="Insight Picture 3380">
          <a:extLst>
            <a:ext uri="{FF2B5EF4-FFF2-40B4-BE49-F238E27FC236}">
              <a16:creationId xmlns:a16="http://schemas.microsoft.com/office/drawing/2014/main" id="{D1E00912-5BFE-3526-A757-F2A8297DE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xfrm>
          <a:off x="875348" y="1486511981"/>
          <a:ext cx="885825" cy="985838"/>
        </a:xfrm>
        <a:prstGeom prst="rect">
          <a:avLst/>
        </a:prstGeom>
      </xdr:spPr>
    </xdr:pic>
    <xdr:clientData/>
  </xdr:twoCellAnchor>
  <xdr:twoCellAnchor editAs="oneCell">
    <xdr:from>
      <xdr:col>0</xdr:col>
      <xdr:colOff>875348</xdr:colOff>
      <xdr:row>1691</xdr:row>
      <xdr:rowOff>60682</xdr:rowOff>
    </xdr:from>
    <xdr:to>
      <xdr:col>0</xdr:col>
      <xdr:colOff>1761173</xdr:colOff>
      <xdr:row>1691</xdr:row>
      <xdr:rowOff>1196538</xdr:rowOff>
    </xdr:to>
    <xdr:pic>
      <xdr:nvPicPr>
        <xdr:cNvPr id="3383" name="Picture 3382" descr="Insight Picture 3382">
          <a:extLst>
            <a:ext uri="{FF2B5EF4-FFF2-40B4-BE49-F238E27FC236}">
              <a16:creationId xmlns:a16="http://schemas.microsoft.com/office/drawing/2014/main" id="{65783929-8BF2-8F27-E10C-F2F0A15C8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1"/>
        <a:stretch>
          <a:fillRect/>
        </a:stretch>
      </xdr:blipFill>
      <xdr:spPr>
        <a:xfrm>
          <a:off x="875348" y="1487621842"/>
          <a:ext cx="885825" cy="1135856"/>
        </a:xfrm>
        <a:prstGeom prst="rect">
          <a:avLst/>
        </a:prstGeom>
      </xdr:spPr>
    </xdr:pic>
    <xdr:clientData/>
  </xdr:twoCellAnchor>
  <xdr:twoCellAnchor editAs="oneCell">
    <xdr:from>
      <xdr:col>0</xdr:col>
      <xdr:colOff>875348</xdr:colOff>
      <xdr:row>1692</xdr:row>
      <xdr:rowOff>60682</xdr:rowOff>
    </xdr:from>
    <xdr:to>
      <xdr:col>0</xdr:col>
      <xdr:colOff>1761173</xdr:colOff>
      <xdr:row>1692</xdr:row>
      <xdr:rowOff>1196538</xdr:rowOff>
    </xdr:to>
    <xdr:pic>
      <xdr:nvPicPr>
        <xdr:cNvPr id="3385" name="Picture 3384" descr="Insight Picture 3384">
          <a:extLst>
            <a:ext uri="{FF2B5EF4-FFF2-40B4-BE49-F238E27FC236}">
              <a16:creationId xmlns:a16="http://schemas.microsoft.com/office/drawing/2014/main" id="{3681F60D-D392-0F74-EB1F-21AF977D8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2"/>
        <a:stretch>
          <a:fillRect/>
        </a:stretch>
      </xdr:blipFill>
      <xdr:spPr>
        <a:xfrm>
          <a:off x="875348" y="1488879142"/>
          <a:ext cx="885825" cy="1135856"/>
        </a:xfrm>
        <a:prstGeom prst="rect">
          <a:avLst/>
        </a:prstGeom>
      </xdr:spPr>
    </xdr:pic>
    <xdr:clientData/>
  </xdr:twoCellAnchor>
  <xdr:twoCellAnchor editAs="oneCell">
    <xdr:from>
      <xdr:col>0</xdr:col>
      <xdr:colOff>875348</xdr:colOff>
      <xdr:row>1693</xdr:row>
      <xdr:rowOff>62369</xdr:rowOff>
    </xdr:from>
    <xdr:to>
      <xdr:col>0</xdr:col>
      <xdr:colOff>1761173</xdr:colOff>
      <xdr:row>1693</xdr:row>
      <xdr:rowOff>1248232</xdr:rowOff>
    </xdr:to>
    <xdr:pic>
      <xdr:nvPicPr>
        <xdr:cNvPr id="3387" name="Picture 3386" descr="Insight Picture 3386">
          <a:extLst>
            <a:ext uri="{FF2B5EF4-FFF2-40B4-BE49-F238E27FC236}">
              <a16:creationId xmlns:a16="http://schemas.microsoft.com/office/drawing/2014/main" id="{AA190CA8-ADA1-9534-B828-46D3F94A9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3"/>
        <a:stretch>
          <a:fillRect/>
        </a:stretch>
      </xdr:blipFill>
      <xdr:spPr>
        <a:xfrm>
          <a:off x="875348" y="1490138129"/>
          <a:ext cx="885825" cy="1185863"/>
        </a:xfrm>
        <a:prstGeom prst="rect">
          <a:avLst/>
        </a:prstGeom>
      </xdr:spPr>
    </xdr:pic>
    <xdr:clientData/>
  </xdr:twoCellAnchor>
  <xdr:twoCellAnchor editAs="oneCell">
    <xdr:from>
      <xdr:col>0</xdr:col>
      <xdr:colOff>793195</xdr:colOff>
      <xdr:row>1694</xdr:row>
      <xdr:rowOff>61714</xdr:rowOff>
    </xdr:from>
    <xdr:to>
      <xdr:col>0</xdr:col>
      <xdr:colOff>1843326</xdr:colOff>
      <xdr:row>1694</xdr:row>
      <xdr:rowOff>1111845</xdr:rowOff>
    </xdr:to>
    <xdr:pic>
      <xdr:nvPicPr>
        <xdr:cNvPr id="3389" name="Picture 3388" descr="Insight Picture 3388">
          <a:extLst>
            <a:ext uri="{FF2B5EF4-FFF2-40B4-BE49-F238E27FC236}">
              <a16:creationId xmlns:a16="http://schemas.microsoft.com/office/drawing/2014/main" id="{B8FCAE3D-0717-ABE8-D2D8-8865BBBF1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4"/>
        <a:stretch>
          <a:fillRect/>
        </a:stretch>
      </xdr:blipFill>
      <xdr:spPr>
        <a:xfrm>
          <a:off x="793195" y="1491448114"/>
          <a:ext cx="1050131" cy="1050131"/>
        </a:xfrm>
        <a:prstGeom prst="rect">
          <a:avLst/>
        </a:prstGeom>
      </xdr:spPr>
    </xdr:pic>
    <xdr:clientData/>
  </xdr:twoCellAnchor>
  <xdr:twoCellAnchor editAs="oneCell">
    <xdr:from>
      <xdr:col>0</xdr:col>
      <xdr:colOff>793195</xdr:colOff>
      <xdr:row>1695</xdr:row>
      <xdr:rowOff>60702</xdr:rowOff>
    </xdr:from>
    <xdr:to>
      <xdr:col>0</xdr:col>
      <xdr:colOff>1843326</xdr:colOff>
      <xdr:row>1695</xdr:row>
      <xdr:rowOff>1082258</xdr:rowOff>
    </xdr:to>
    <xdr:pic>
      <xdr:nvPicPr>
        <xdr:cNvPr id="3391" name="Picture 3390" descr="Insight Picture 3390">
          <a:extLst>
            <a:ext uri="{FF2B5EF4-FFF2-40B4-BE49-F238E27FC236}">
              <a16:creationId xmlns:a16="http://schemas.microsoft.com/office/drawing/2014/main" id="{23AB9345-E33F-D8B7-F191-E0F0ADC57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5"/>
        <a:stretch>
          <a:fillRect/>
        </a:stretch>
      </xdr:blipFill>
      <xdr:spPr>
        <a:xfrm>
          <a:off x="793195" y="1492620582"/>
          <a:ext cx="1050131" cy="1021556"/>
        </a:xfrm>
        <a:prstGeom prst="rect">
          <a:avLst/>
        </a:prstGeom>
      </xdr:spPr>
    </xdr:pic>
    <xdr:clientData/>
  </xdr:twoCellAnchor>
  <xdr:twoCellAnchor editAs="oneCell">
    <xdr:from>
      <xdr:col>0</xdr:col>
      <xdr:colOff>796766</xdr:colOff>
      <xdr:row>1696</xdr:row>
      <xdr:rowOff>63778</xdr:rowOff>
    </xdr:from>
    <xdr:to>
      <xdr:col>0</xdr:col>
      <xdr:colOff>1839754</xdr:colOff>
      <xdr:row>1696</xdr:row>
      <xdr:rowOff>835303</xdr:rowOff>
    </xdr:to>
    <xdr:pic>
      <xdr:nvPicPr>
        <xdr:cNvPr id="3393" name="Picture 3392" descr="Insight Picture 3392">
          <a:extLst>
            <a:ext uri="{FF2B5EF4-FFF2-40B4-BE49-F238E27FC236}">
              <a16:creationId xmlns:a16="http://schemas.microsoft.com/office/drawing/2014/main" id="{49AD3112-9B85-9450-E145-13D9C6066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6"/>
        <a:stretch>
          <a:fillRect/>
        </a:stretch>
      </xdr:blipFill>
      <xdr:spPr>
        <a:xfrm>
          <a:off x="796766" y="1493766658"/>
          <a:ext cx="1042988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739616</xdr:colOff>
      <xdr:row>1697</xdr:row>
      <xdr:rowOff>61456</xdr:rowOff>
    </xdr:from>
    <xdr:to>
      <xdr:col>0</xdr:col>
      <xdr:colOff>1896904</xdr:colOff>
      <xdr:row>1697</xdr:row>
      <xdr:rowOff>1104444</xdr:rowOff>
    </xdr:to>
    <xdr:pic>
      <xdr:nvPicPr>
        <xdr:cNvPr id="3395" name="Picture 3394" descr="Insight Picture 3394">
          <a:extLst>
            <a:ext uri="{FF2B5EF4-FFF2-40B4-BE49-F238E27FC236}">
              <a16:creationId xmlns:a16="http://schemas.microsoft.com/office/drawing/2014/main" id="{15541B12-93FF-E146-B9AB-4FA43E2F4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7"/>
        <a:stretch>
          <a:fillRect/>
        </a:stretch>
      </xdr:blipFill>
      <xdr:spPr>
        <a:xfrm>
          <a:off x="739616" y="1494663496"/>
          <a:ext cx="1157288" cy="1042988"/>
        </a:xfrm>
        <a:prstGeom prst="rect">
          <a:avLst/>
        </a:prstGeom>
      </xdr:spPr>
    </xdr:pic>
    <xdr:clientData/>
  </xdr:twoCellAnchor>
  <xdr:twoCellAnchor editAs="oneCell">
    <xdr:from>
      <xdr:col>0</xdr:col>
      <xdr:colOff>661035</xdr:colOff>
      <xdr:row>1698</xdr:row>
      <xdr:rowOff>61416</xdr:rowOff>
    </xdr:from>
    <xdr:to>
      <xdr:col>0</xdr:col>
      <xdr:colOff>1975485</xdr:colOff>
      <xdr:row>1698</xdr:row>
      <xdr:rowOff>647204</xdr:rowOff>
    </xdr:to>
    <xdr:pic>
      <xdr:nvPicPr>
        <xdr:cNvPr id="3397" name="Picture 3396" descr="Insight Picture 3396">
          <a:extLst>
            <a:ext uri="{FF2B5EF4-FFF2-40B4-BE49-F238E27FC236}">
              <a16:creationId xmlns:a16="http://schemas.microsoft.com/office/drawing/2014/main" id="{F4437A9C-3E1A-FD58-2229-F75ACBD63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8"/>
        <a:stretch>
          <a:fillRect/>
        </a:stretch>
      </xdr:blipFill>
      <xdr:spPr>
        <a:xfrm>
          <a:off x="661035" y="1495829316"/>
          <a:ext cx="1314450" cy="585788"/>
        </a:xfrm>
        <a:prstGeom prst="rect">
          <a:avLst/>
        </a:prstGeom>
      </xdr:spPr>
    </xdr:pic>
    <xdr:clientData/>
  </xdr:twoCellAnchor>
  <xdr:twoCellAnchor editAs="oneCell">
    <xdr:from>
      <xdr:col>0</xdr:col>
      <xdr:colOff>678895</xdr:colOff>
      <xdr:row>1699</xdr:row>
      <xdr:rowOff>63560</xdr:rowOff>
    </xdr:from>
    <xdr:to>
      <xdr:col>0</xdr:col>
      <xdr:colOff>1957626</xdr:colOff>
      <xdr:row>1699</xdr:row>
      <xdr:rowOff>713641</xdr:rowOff>
    </xdr:to>
    <xdr:pic>
      <xdr:nvPicPr>
        <xdr:cNvPr id="3399" name="Picture 3398" descr="Insight Picture 3398">
          <a:extLst>
            <a:ext uri="{FF2B5EF4-FFF2-40B4-BE49-F238E27FC236}">
              <a16:creationId xmlns:a16="http://schemas.microsoft.com/office/drawing/2014/main" id="{56BCFCA5-723C-B4B0-1F9D-CF268DC1D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9"/>
        <a:stretch>
          <a:fillRect/>
        </a:stretch>
      </xdr:blipFill>
      <xdr:spPr>
        <a:xfrm>
          <a:off x="678895" y="1496540120"/>
          <a:ext cx="1278731" cy="650081"/>
        </a:xfrm>
        <a:prstGeom prst="rect">
          <a:avLst/>
        </a:prstGeom>
      </xdr:spPr>
    </xdr:pic>
    <xdr:clientData/>
  </xdr:twoCellAnchor>
  <xdr:twoCellAnchor editAs="oneCell">
    <xdr:from>
      <xdr:col>0</xdr:col>
      <xdr:colOff>689610</xdr:colOff>
      <xdr:row>1700</xdr:row>
      <xdr:rowOff>63302</xdr:rowOff>
    </xdr:from>
    <xdr:to>
      <xdr:col>0</xdr:col>
      <xdr:colOff>1946910</xdr:colOff>
      <xdr:row>1700</xdr:row>
      <xdr:rowOff>706240</xdr:rowOff>
    </xdr:to>
    <xdr:pic>
      <xdr:nvPicPr>
        <xdr:cNvPr id="3401" name="Picture 3400" descr="Insight Picture 3400">
          <a:extLst>
            <a:ext uri="{FF2B5EF4-FFF2-40B4-BE49-F238E27FC236}">
              <a16:creationId xmlns:a16="http://schemas.microsoft.com/office/drawing/2014/main" id="{641D43DE-D14C-3566-CEB2-A2867F5D3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0"/>
        <a:stretch>
          <a:fillRect/>
        </a:stretch>
      </xdr:blipFill>
      <xdr:spPr>
        <a:xfrm>
          <a:off x="689610" y="1497317102"/>
          <a:ext cx="1257300" cy="642938"/>
        </a:xfrm>
        <a:prstGeom prst="rect">
          <a:avLst/>
        </a:prstGeom>
      </xdr:spPr>
    </xdr:pic>
    <xdr:clientData/>
  </xdr:twoCellAnchor>
  <xdr:twoCellAnchor editAs="oneCell">
    <xdr:from>
      <xdr:col>0</xdr:col>
      <xdr:colOff>711041</xdr:colOff>
      <xdr:row>1701</xdr:row>
      <xdr:rowOff>60940</xdr:rowOff>
    </xdr:from>
    <xdr:to>
      <xdr:col>0</xdr:col>
      <xdr:colOff>1925479</xdr:colOff>
      <xdr:row>1701</xdr:row>
      <xdr:rowOff>861040</xdr:rowOff>
    </xdr:to>
    <xdr:pic>
      <xdr:nvPicPr>
        <xdr:cNvPr id="3403" name="Picture 3402" descr="Insight Picture 3402">
          <a:extLst>
            <a:ext uri="{FF2B5EF4-FFF2-40B4-BE49-F238E27FC236}">
              <a16:creationId xmlns:a16="http://schemas.microsoft.com/office/drawing/2014/main" id="{D41C1544-62C5-FD33-6DC7-30EBCD39A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1"/>
        <a:stretch>
          <a:fillRect/>
        </a:stretch>
      </xdr:blipFill>
      <xdr:spPr>
        <a:xfrm>
          <a:off x="711041" y="1498084360"/>
          <a:ext cx="1214438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603885</xdr:colOff>
      <xdr:row>1702</xdr:row>
      <xdr:rowOff>63143</xdr:rowOff>
    </xdr:from>
    <xdr:to>
      <xdr:col>0</xdr:col>
      <xdr:colOff>2032635</xdr:colOff>
      <xdr:row>1702</xdr:row>
      <xdr:rowOff>1041837</xdr:rowOff>
    </xdr:to>
    <xdr:pic>
      <xdr:nvPicPr>
        <xdr:cNvPr id="3405" name="Picture 3404" descr="Insight Picture 3404">
          <a:extLst>
            <a:ext uri="{FF2B5EF4-FFF2-40B4-BE49-F238E27FC236}">
              <a16:creationId xmlns:a16="http://schemas.microsoft.com/office/drawing/2014/main" id="{08A211D7-D03E-1551-9D0F-E5FB5C75B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2"/>
        <a:stretch>
          <a:fillRect/>
        </a:stretch>
      </xdr:blipFill>
      <xdr:spPr>
        <a:xfrm>
          <a:off x="603885" y="1499008583"/>
          <a:ext cx="1428750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582453</xdr:colOff>
      <xdr:row>1703</xdr:row>
      <xdr:rowOff>62647</xdr:rowOff>
    </xdr:from>
    <xdr:to>
      <xdr:col>0</xdr:col>
      <xdr:colOff>2054066</xdr:colOff>
      <xdr:row>1703</xdr:row>
      <xdr:rowOff>798453</xdr:rowOff>
    </xdr:to>
    <xdr:pic>
      <xdr:nvPicPr>
        <xdr:cNvPr id="3407" name="Picture 3406" descr="Insight Picture 3406">
          <a:extLst>
            <a:ext uri="{FF2B5EF4-FFF2-40B4-BE49-F238E27FC236}">
              <a16:creationId xmlns:a16="http://schemas.microsoft.com/office/drawing/2014/main" id="{68FD599C-C454-93EF-0EA3-E238979F0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3"/>
        <a:stretch>
          <a:fillRect/>
        </a:stretch>
      </xdr:blipFill>
      <xdr:spPr>
        <a:xfrm>
          <a:off x="582453" y="1500112987"/>
          <a:ext cx="1471613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753903</xdr:colOff>
      <xdr:row>1704</xdr:row>
      <xdr:rowOff>62111</xdr:rowOff>
    </xdr:from>
    <xdr:to>
      <xdr:col>0</xdr:col>
      <xdr:colOff>1882616</xdr:colOff>
      <xdr:row>1704</xdr:row>
      <xdr:rowOff>897930</xdr:rowOff>
    </xdr:to>
    <xdr:pic>
      <xdr:nvPicPr>
        <xdr:cNvPr id="3409" name="Picture 3408" descr="Insight Picture 3408">
          <a:extLst>
            <a:ext uri="{FF2B5EF4-FFF2-40B4-BE49-F238E27FC236}">
              <a16:creationId xmlns:a16="http://schemas.microsoft.com/office/drawing/2014/main" id="{9000C3C5-6884-53AF-FC5A-51B221EBE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4"/>
        <a:stretch>
          <a:fillRect/>
        </a:stretch>
      </xdr:blipFill>
      <xdr:spPr>
        <a:xfrm>
          <a:off x="753903" y="1500973511"/>
          <a:ext cx="1128713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889635</xdr:colOff>
      <xdr:row>1705</xdr:row>
      <xdr:rowOff>63619</xdr:rowOff>
    </xdr:from>
    <xdr:to>
      <xdr:col>0</xdr:col>
      <xdr:colOff>1746885</xdr:colOff>
      <xdr:row>1705</xdr:row>
      <xdr:rowOff>1285200</xdr:rowOff>
    </xdr:to>
    <xdr:pic>
      <xdr:nvPicPr>
        <xdr:cNvPr id="3411" name="Picture 3410" descr="Insight Picture 3410">
          <a:extLst>
            <a:ext uri="{FF2B5EF4-FFF2-40B4-BE49-F238E27FC236}">
              <a16:creationId xmlns:a16="http://schemas.microsoft.com/office/drawing/2014/main" id="{6B30FD8D-C346-1F67-FA97-380F2D566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5"/>
        <a:stretch>
          <a:fillRect/>
        </a:stretch>
      </xdr:blipFill>
      <xdr:spPr>
        <a:xfrm>
          <a:off x="889635" y="1501935139"/>
          <a:ext cx="857250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936070</xdr:colOff>
      <xdr:row>1706</xdr:row>
      <xdr:rowOff>63560</xdr:rowOff>
    </xdr:from>
    <xdr:to>
      <xdr:col>0</xdr:col>
      <xdr:colOff>1700451</xdr:colOff>
      <xdr:row>1706</xdr:row>
      <xdr:rowOff>1285141</xdr:rowOff>
    </xdr:to>
    <xdr:pic>
      <xdr:nvPicPr>
        <xdr:cNvPr id="3413" name="Picture 3412" descr="Insight Picture 3412">
          <a:extLst>
            <a:ext uri="{FF2B5EF4-FFF2-40B4-BE49-F238E27FC236}">
              <a16:creationId xmlns:a16="http://schemas.microsoft.com/office/drawing/2014/main" id="{0B535524-DDF5-E4FA-5A02-55432FC14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6"/>
        <a:stretch>
          <a:fillRect/>
        </a:stretch>
      </xdr:blipFill>
      <xdr:spPr>
        <a:xfrm>
          <a:off x="936070" y="1503283820"/>
          <a:ext cx="764381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793195</xdr:colOff>
      <xdr:row>1707</xdr:row>
      <xdr:rowOff>62905</xdr:rowOff>
    </xdr:from>
    <xdr:to>
      <xdr:col>0</xdr:col>
      <xdr:colOff>1843326</xdr:colOff>
      <xdr:row>1707</xdr:row>
      <xdr:rowOff>1148755</xdr:rowOff>
    </xdr:to>
    <xdr:pic>
      <xdr:nvPicPr>
        <xdr:cNvPr id="3415" name="Picture 3414" descr="Insight Picture 3414">
          <a:extLst>
            <a:ext uri="{FF2B5EF4-FFF2-40B4-BE49-F238E27FC236}">
              <a16:creationId xmlns:a16="http://schemas.microsoft.com/office/drawing/2014/main" id="{79215E19-45D1-BFAD-BE2E-54852DFD4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7"/>
        <a:stretch>
          <a:fillRect/>
        </a:stretch>
      </xdr:blipFill>
      <xdr:spPr>
        <a:xfrm>
          <a:off x="793195" y="1504631905"/>
          <a:ext cx="1050131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928925</xdr:colOff>
      <xdr:row>1708</xdr:row>
      <xdr:rowOff>63579</xdr:rowOff>
    </xdr:from>
    <xdr:to>
      <xdr:col>0</xdr:col>
      <xdr:colOff>1707594</xdr:colOff>
      <xdr:row>1708</xdr:row>
      <xdr:rowOff>1285160</xdr:rowOff>
    </xdr:to>
    <xdr:pic>
      <xdr:nvPicPr>
        <xdr:cNvPr id="3417" name="Picture 3416" descr="Insight Picture 3416">
          <a:extLst>
            <a:ext uri="{FF2B5EF4-FFF2-40B4-BE49-F238E27FC236}">
              <a16:creationId xmlns:a16="http://schemas.microsoft.com/office/drawing/2014/main" id="{0D0FE3F3-E2F7-D75E-6AC7-0989ADF76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8"/>
        <a:stretch>
          <a:fillRect/>
        </a:stretch>
      </xdr:blipFill>
      <xdr:spPr>
        <a:xfrm>
          <a:off x="928925" y="1505844159"/>
          <a:ext cx="778669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868203</xdr:colOff>
      <xdr:row>1709</xdr:row>
      <xdr:rowOff>60742</xdr:rowOff>
    </xdr:from>
    <xdr:to>
      <xdr:col>0</xdr:col>
      <xdr:colOff>1768316</xdr:colOff>
      <xdr:row>1709</xdr:row>
      <xdr:rowOff>1196598</xdr:rowOff>
    </xdr:to>
    <xdr:pic>
      <xdr:nvPicPr>
        <xdr:cNvPr id="3419" name="Picture 3418" descr="Insight Picture 3418">
          <a:extLst>
            <a:ext uri="{FF2B5EF4-FFF2-40B4-BE49-F238E27FC236}">
              <a16:creationId xmlns:a16="http://schemas.microsoft.com/office/drawing/2014/main" id="{940C839A-5B41-9C14-B2AD-7814EC9CE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xfrm>
          <a:off x="868203" y="1507190062"/>
          <a:ext cx="900113" cy="1135856"/>
        </a:xfrm>
        <a:prstGeom prst="rect">
          <a:avLst/>
        </a:prstGeom>
      </xdr:spPr>
    </xdr:pic>
    <xdr:clientData/>
  </xdr:twoCellAnchor>
  <xdr:twoCellAnchor editAs="oneCell">
    <xdr:from>
      <xdr:col>0</xdr:col>
      <xdr:colOff>550307</xdr:colOff>
      <xdr:row>1710</xdr:row>
      <xdr:rowOff>61238</xdr:rowOff>
    </xdr:from>
    <xdr:to>
      <xdr:col>0</xdr:col>
      <xdr:colOff>2086213</xdr:colOff>
      <xdr:row>1710</xdr:row>
      <xdr:rowOff>639882</xdr:rowOff>
    </xdr:to>
    <xdr:pic>
      <xdr:nvPicPr>
        <xdr:cNvPr id="3421" name="Picture 3420" descr="Insight Picture 3420">
          <a:extLst>
            <a:ext uri="{FF2B5EF4-FFF2-40B4-BE49-F238E27FC236}">
              <a16:creationId xmlns:a16="http://schemas.microsoft.com/office/drawing/2014/main" id="{1796C5A4-5811-5DAF-24B1-1603BD416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0"/>
        <a:stretch>
          <a:fillRect/>
        </a:stretch>
      </xdr:blipFill>
      <xdr:spPr>
        <a:xfrm>
          <a:off x="550307" y="1508447858"/>
          <a:ext cx="1535906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686038</xdr:colOff>
      <xdr:row>1711</xdr:row>
      <xdr:rowOff>61178</xdr:rowOff>
    </xdr:from>
    <xdr:to>
      <xdr:col>0</xdr:col>
      <xdr:colOff>1950482</xdr:colOff>
      <xdr:row>1711</xdr:row>
      <xdr:rowOff>639822</xdr:rowOff>
    </xdr:to>
    <xdr:pic>
      <xdr:nvPicPr>
        <xdr:cNvPr id="3423" name="Picture 3422" descr="Insight Picture 3422">
          <a:extLst>
            <a:ext uri="{FF2B5EF4-FFF2-40B4-BE49-F238E27FC236}">
              <a16:creationId xmlns:a16="http://schemas.microsoft.com/office/drawing/2014/main" id="{364BD81F-44E7-3366-B046-9A5C7378D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1"/>
        <a:stretch>
          <a:fillRect/>
        </a:stretch>
      </xdr:blipFill>
      <xdr:spPr>
        <a:xfrm>
          <a:off x="686038" y="1509148838"/>
          <a:ext cx="1264444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682466</xdr:colOff>
      <xdr:row>1712</xdr:row>
      <xdr:rowOff>61218</xdr:rowOff>
    </xdr:from>
    <xdr:to>
      <xdr:col>0</xdr:col>
      <xdr:colOff>1954054</xdr:colOff>
      <xdr:row>1712</xdr:row>
      <xdr:rowOff>1097062</xdr:rowOff>
    </xdr:to>
    <xdr:pic>
      <xdr:nvPicPr>
        <xdr:cNvPr id="3425" name="Picture 3424" descr="Insight Picture 3424">
          <a:extLst>
            <a:ext uri="{FF2B5EF4-FFF2-40B4-BE49-F238E27FC236}">
              <a16:creationId xmlns:a16="http://schemas.microsoft.com/office/drawing/2014/main" id="{DB893DE4-CD3E-C951-A63C-B520F5E7E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2"/>
        <a:stretch>
          <a:fillRect/>
        </a:stretch>
      </xdr:blipFill>
      <xdr:spPr>
        <a:xfrm>
          <a:off x="682466" y="1509849918"/>
          <a:ext cx="1271588" cy="1035844"/>
        </a:xfrm>
        <a:prstGeom prst="rect">
          <a:avLst/>
        </a:prstGeom>
      </xdr:spPr>
    </xdr:pic>
    <xdr:clientData/>
  </xdr:twoCellAnchor>
  <xdr:twoCellAnchor editAs="oneCell">
    <xdr:from>
      <xdr:col>0</xdr:col>
      <xdr:colOff>703897</xdr:colOff>
      <xdr:row>1713</xdr:row>
      <xdr:rowOff>60762</xdr:rowOff>
    </xdr:from>
    <xdr:to>
      <xdr:col>0</xdr:col>
      <xdr:colOff>1932622</xdr:colOff>
      <xdr:row>1713</xdr:row>
      <xdr:rowOff>1082318</xdr:rowOff>
    </xdr:to>
    <xdr:pic>
      <xdr:nvPicPr>
        <xdr:cNvPr id="3427" name="Picture 3426" descr="Insight Picture 3426">
          <a:extLst>
            <a:ext uri="{FF2B5EF4-FFF2-40B4-BE49-F238E27FC236}">
              <a16:creationId xmlns:a16="http://schemas.microsoft.com/office/drawing/2014/main" id="{557A47F8-CC43-6048-123E-2D47B675B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3"/>
        <a:stretch>
          <a:fillRect/>
        </a:stretch>
      </xdr:blipFill>
      <xdr:spPr>
        <a:xfrm>
          <a:off x="703897" y="1511007702"/>
          <a:ext cx="1228725" cy="1021556"/>
        </a:xfrm>
        <a:prstGeom prst="rect">
          <a:avLst/>
        </a:prstGeom>
      </xdr:spPr>
    </xdr:pic>
    <xdr:clientData/>
  </xdr:twoCellAnchor>
  <xdr:twoCellAnchor editAs="oneCell">
    <xdr:from>
      <xdr:col>0</xdr:col>
      <xdr:colOff>786050</xdr:colOff>
      <xdr:row>1714</xdr:row>
      <xdr:rowOff>61456</xdr:rowOff>
    </xdr:from>
    <xdr:to>
      <xdr:col>0</xdr:col>
      <xdr:colOff>1850469</xdr:colOff>
      <xdr:row>1714</xdr:row>
      <xdr:rowOff>1104444</xdr:rowOff>
    </xdr:to>
    <xdr:pic>
      <xdr:nvPicPr>
        <xdr:cNvPr id="3429" name="Picture 3428" descr="Insight Picture 3428">
          <a:extLst>
            <a:ext uri="{FF2B5EF4-FFF2-40B4-BE49-F238E27FC236}">
              <a16:creationId xmlns:a16="http://schemas.microsoft.com/office/drawing/2014/main" id="{10D11FED-FED2-29CE-12E6-DD41A6ACC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4"/>
        <a:stretch>
          <a:fillRect/>
        </a:stretch>
      </xdr:blipFill>
      <xdr:spPr>
        <a:xfrm>
          <a:off x="786050" y="1512151396"/>
          <a:ext cx="1064419" cy="1042988"/>
        </a:xfrm>
        <a:prstGeom prst="rect">
          <a:avLst/>
        </a:prstGeom>
      </xdr:spPr>
    </xdr:pic>
    <xdr:clientData/>
  </xdr:twoCellAnchor>
  <xdr:twoCellAnchor editAs="oneCell">
    <xdr:from>
      <xdr:col>0</xdr:col>
      <xdr:colOff>761047</xdr:colOff>
      <xdr:row>1715</xdr:row>
      <xdr:rowOff>61416</xdr:rowOff>
    </xdr:from>
    <xdr:to>
      <xdr:col>0</xdr:col>
      <xdr:colOff>1875472</xdr:colOff>
      <xdr:row>1715</xdr:row>
      <xdr:rowOff>1104404</xdr:rowOff>
    </xdr:to>
    <xdr:pic>
      <xdr:nvPicPr>
        <xdr:cNvPr id="3431" name="Picture 3430" descr="Insight Picture 3430">
          <a:extLst>
            <a:ext uri="{FF2B5EF4-FFF2-40B4-BE49-F238E27FC236}">
              <a16:creationId xmlns:a16="http://schemas.microsoft.com/office/drawing/2014/main" id="{29660187-BECA-B0C0-3BFA-A7D7B2570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5"/>
        <a:stretch>
          <a:fillRect/>
        </a:stretch>
      </xdr:blipFill>
      <xdr:spPr>
        <a:xfrm>
          <a:off x="761047" y="1513317216"/>
          <a:ext cx="1114425" cy="1042988"/>
        </a:xfrm>
        <a:prstGeom prst="rect">
          <a:avLst/>
        </a:prstGeom>
      </xdr:spPr>
    </xdr:pic>
    <xdr:clientData/>
  </xdr:twoCellAnchor>
  <xdr:twoCellAnchor editAs="oneCell">
    <xdr:from>
      <xdr:col>0</xdr:col>
      <xdr:colOff>896778</xdr:colOff>
      <xdr:row>1716</xdr:row>
      <xdr:rowOff>60682</xdr:rowOff>
    </xdr:from>
    <xdr:to>
      <xdr:col>0</xdr:col>
      <xdr:colOff>1739741</xdr:colOff>
      <xdr:row>1716</xdr:row>
      <xdr:rowOff>1196538</xdr:rowOff>
    </xdr:to>
    <xdr:pic>
      <xdr:nvPicPr>
        <xdr:cNvPr id="3433" name="Picture 3432" descr="Insight Picture 3432">
          <a:extLst>
            <a:ext uri="{FF2B5EF4-FFF2-40B4-BE49-F238E27FC236}">
              <a16:creationId xmlns:a16="http://schemas.microsoft.com/office/drawing/2014/main" id="{B4129AB0-7CD4-F202-E1DA-CEBE9C9FB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6"/>
        <a:stretch>
          <a:fillRect/>
        </a:stretch>
      </xdr:blipFill>
      <xdr:spPr>
        <a:xfrm>
          <a:off x="896778" y="1514482342"/>
          <a:ext cx="842963" cy="1135856"/>
        </a:xfrm>
        <a:prstGeom prst="rect">
          <a:avLst/>
        </a:prstGeom>
      </xdr:spPr>
    </xdr:pic>
    <xdr:clientData/>
  </xdr:twoCellAnchor>
  <xdr:twoCellAnchor editAs="oneCell">
    <xdr:from>
      <xdr:col>0</xdr:col>
      <xdr:colOff>1007507</xdr:colOff>
      <xdr:row>1717</xdr:row>
      <xdr:rowOff>63560</xdr:rowOff>
    </xdr:from>
    <xdr:to>
      <xdr:col>0</xdr:col>
      <xdr:colOff>1629013</xdr:colOff>
      <xdr:row>1717</xdr:row>
      <xdr:rowOff>1285141</xdr:rowOff>
    </xdr:to>
    <xdr:pic>
      <xdr:nvPicPr>
        <xdr:cNvPr id="3435" name="Picture 3434" descr="Insight Picture 3434">
          <a:extLst>
            <a:ext uri="{FF2B5EF4-FFF2-40B4-BE49-F238E27FC236}">
              <a16:creationId xmlns:a16="http://schemas.microsoft.com/office/drawing/2014/main" id="{6E17A90C-8759-916E-F0BD-AED968303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7"/>
        <a:stretch>
          <a:fillRect/>
        </a:stretch>
      </xdr:blipFill>
      <xdr:spPr>
        <a:xfrm>
          <a:off x="1007507" y="1515742520"/>
          <a:ext cx="621506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1000363</xdr:colOff>
      <xdr:row>1718</xdr:row>
      <xdr:rowOff>63599</xdr:rowOff>
    </xdr:from>
    <xdr:to>
      <xdr:col>0</xdr:col>
      <xdr:colOff>1636157</xdr:colOff>
      <xdr:row>1718</xdr:row>
      <xdr:rowOff>1285180</xdr:rowOff>
    </xdr:to>
    <xdr:pic>
      <xdr:nvPicPr>
        <xdr:cNvPr id="3437" name="Picture 3436" descr="Insight Picture 3436">
          <a:extLst>
            <a:ext uri="{FF2B5EF4-FFF2-40B4-BE49-F238E27FC236}">
              <a16:creationId xmlns:a16="http://schemas.microsoft.com/office/drawing/2014/main" id="{20215B4A-9EA1-279A-E285-DBB7C11B4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8"/>
        <a:stretch>
          <a:fillRect/>
        </a:stretch>
      </xdr:blipFill>
      <xdr:spPr>
        <a:xfrm>
          <a:off x="1000363" y="1517091299"/>
          <a:ext cx="635794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868203</xdr:colOff>
      <xdr:row>1719</xdr:row>
      <xdr:rowOff>63341</xdr:rowOff>
    </xdr:from>
    <xdr:to>
      <xdr:col>0</xdr:col>
      <xdr:colOff>1768316</xdr:colOff>
      <xdr:row>1719</xdr:row>
      <xdr:rowOff>1049179</xdr:rowOff>
    </xdr:to>
    <xdr:pic>
      <xdr:nvPicPr>
        <xdr:cNvPr id="3439" name="Picture 3438" descr="Insight Picture 3438">
          <a:extLst>
            <a:ext uri="{FF2B5EF4-FFF2-40B4-BE49-F238E27FC236}">
              <a16:creationId xmlns:a16="http://schemas.microsoft.com/office/drawing/2014/main" id="{7CA3B356-A301-5B60-2B6B-9795DC566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9"/>
        <a:stretch>
          <a:fillRect/>
        </a:stretch>
      </xdr:blipFill>
      <xdr:spPr>
        <a:xfrm>
          <a:off x="868203" y="1518439781"/>
          <a:ext cx="900113" cy="985838"/>
        </a:xfrm>
        <a:prstGeom prst="rect">
          <a:avLst/>
        </a:prstGeom>
      </xdr:spPr>
    </xdr:pic>
    <xdr:clientData/>
  </xdr:twoCellAnchor>
  <xdr:twoCellAnchor editAs="oneCell">
    <xdr:from>
      <xdr:col>0</xdr:col>
      <xdr:colOff>868203</xdr:colOff>
      <xdr:row>1720</xdr:row>
      <xdr:rowOff>60682</xdr:rowOff>
    </xdr:from>
    <xdr:to>
      <xdr:col>0</xdr:col>
      <xdr:colOff>1768316</xdr:colOff>
      <xdr:row>1720</xdr:row>
      <xdr:rowOff>1196538</xdr:rowOff>
    </xdr:to>
    <xdr:pic>
      <xdr:nvPicPr>
        <xdr:cNvPr id="3441" name="Picture 3440" descr="Insight Picture 3440">
          <a:extLst>
            <a:ext uri="{FF2B5EF4-FFF2-40B4-BE49-F238E27FC236}">
              <a16:creationId xmlns:a16="http://schemas.microsoft.com/office/drawing/2014/main" id="{6C5C7359-9B2A-5A72-017C-F7F23D0F4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0"/>
        <a:stretch>
          <a:fillRect/>
        </a:stretch>
      </xdr:blipFill>
      <xdr:spPr>
        <a:xfrm>
          <a:off x="868203" y="1519549642"/>
          <a:ext cx="900113" cy="1135856"/>
        </a:xfrm>
        <a:prstGeom prst="rect">
          <a:avLst/>
        </a:prstGeom>
      </xdr:spPr>
    </xdr:pic>
    <xdr:clientData/>
  </xdr:twoCellAnchor>
  <xdr:twoCellAnchor editAs="oneCell">
    <xdr:from>
      <xdr:col>0</xdr:col>
      <xdr:colOff>911066</xdr:colOff>
      <xdr:row>1721</xdr:row>
      <xdr:rowOff>63560</xdr:rowOff>
    </xdr:from>
    <xdr:to>
      <xdr:col>0</xdr:col>
      <xdr:colOff>1725454</xdr:colOff>
      <xdr:row>1721</xdr:row>
      <xdr:rowOff>1285141</xdr:rowOff>
    </xdr:to>
    <xdr:pic>
      <xdr:nvPicPr>
        <xdr:cNvPr id="3443" name="Picture 3442" descr="Insight Picture 3442">
          <a:extLst>
            <a:ext uri="{FF2B5EF4-FFF2-40B4-BE49-F238E27FC236}">
              <a16:creationId xmlns:a16="http://schemas.microsoft.com/office/drawing/2014/main" id="{BC98D4C1-9CC8-AF75-9026-48AD7F6EB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1"/>
        <a:stretch>
          <a:fillRect/>
        </a:stretch>
      </xdr:blipFill>
      <xdr:spPr>
        <a:xfrm>
          <a:off x="911066" y="1520809820"/>
          <a:ext cx="814388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589597</xdr:colOff>
      <xdr:row>1722</xdr:row>
      <xdr:rowOff>62607</xdr:rowOff>
    </xdr:from>
    <xdr:to>
      <xdr:col>0</xdr:col>
      <xdr:colOff>2046922</xdr:colOff>
      <xdr:row>1722</xdr:row>
      <xdr:rowOff>798413</xdr:rowOff>
    </xdr:to>
    <xdr:pic>
      <xdr:nvPicPr>
        <xdr:cNvPr id="3445" name="Picture 3444" descr="Insight Picture 3444">
          <a:extLst>
            <a:ext uri="{FF2B5EF4-FFF2-40B4-BE49-F238E27FC236}">
              <a16:creationId xmlns:a16="http://schemas.microsoft.com/office/drawing/2014/main" id="{718ABD66-3E65-5BD0-8A6B-E3E100938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2"/>
        <a:stretch>
          <a:fillRect/>
        </a:stretch>
      </xdr:blipFill>
      <xdr:spPr>
        <a:xfrm>
          <a:off x="589597" y="1522157607"/>
          <a:ext cx="1457325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636032</xdr:colOff>
      <xdr:row>1723</xdr:row>
      <xdr:rowOff>62369</xdr:rowOff>
    </xdr:from>
    <xdr:to>
      <xdr:col>0</xdr:col>
      <xdr:colOff>2000488</xdr:colOff>
      <xdr:row>1723</xdr:row>
      <xdr:rowOff>1019632</xdr:rowOff>
    </xdr:to>
    <xdr:pic>
      <xdr:nvPicPr>
        <xdr:cNvPr id="3447" name="Picture 3446" descr="Insight Picture 3446">
          <a:extLst>
            <a:ext uri="{FF2B5EF4-FFF2-40B4-BE49-F238E27FC236}">
              <a16:creationId xmlns:a16="http://schemas.microsoft.com/office/drawing/2014/main" id="{2014C677-C7FD-1027-4988-C16DEE44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3"/>
        <a:stretch>
          <a:fillRect/>
        </a:stretch>
      </xdr:blipFill>
      <xdr:spPr>
        <a:xfrm>
          <a:off x="636032" y="1523018429"/>
          <a:ext cx="1364456" cy="957263"/>
        </a:xfrm>
        <a:prstGeom prst="rect">
          <a:avLst/>
        </a:prstGeom>
      </xdr:spPr>
    </xdr:pic>
    <xdr:clientData/>
  </xdr:twoCellAnchor>
  <xdr:twoCellAnchor editAs="oneCell">
    <xdr:from>
      <xdr:col>0</xdr:col>
      <xdr:colOff>657463</xdr:colOff>
      <xdr:row>1724</xdr:row>
      <xdr:rowOff>63302</xdr:rowOff>
    </xdr:from>
    <xdr:to>
      <xdr:col>0</xdr:col>
      <xdr:colOff>1979057</xdr:colOff>
      <xdr:row>1724</xdr:row>
      <xdr:rowOff>934840</xdr:rowOff>
    </xdr:to>
    <xdr:pic>
      <xdr:nvPicPr>
        <xdr:cNvPr id="3449" name="Picture 3448" descr="Insight Picture 3448">
          <a:extLst>
            <a:ext uri="{FF2B5EF4-FFF2-40B4-BE49-F238E27FC236}">
              <a16:creationId xmlns:a16="http://schemas.microsoft.com/office/drawing/2014/main" id="{7313EA2A-0CC5-F0AC-C4F6-8FFE0C353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4"/>
        <a:stretch>
          <a:fillRect/>
        </a:stretch>
      </xdr:blipFill>
      <xdr:spPr>
        <a:xfrm>
          <a:off x="657463" y="1524101402"/>
          <a:ext cx="1321594" cy="871538"/>
        </a:xfrm>
        <a:prstGeom prst="rect">
          <a:avLst/>
        </a:prstGeom>
      </xdr:spPr>
    </xdr:pic>
    <xdr:clientData/>
  </xdr:twoCellAnchor>
  <xdr:twoCellAnchor editAs="oneCell">
    <xdr:from>
      <xdr:col>0</xdr:col>
      <xdr:colOff>868203</xdr:colOff>
      <xdr:row>1725</xdr:row>
      <xdr:rowOff>60444</xdr:rowOff>
    </xdr:from>
    <xdr:to>
      <xdr:col>0</xdr:col>
      <xdr:colOff>1768316</xdr:colOff>
      <xdr:row>1725</xdr:row>
      <xdr:rowOff>731957</xdr:rowOff>
    </xdr:to>
    <xdr:pic>
      <xdr:nvPicPr>
        <xdr:cNvPr id="3451" name="Picture 3450" descr="Insight Picture 3450">
          <a:extLst>
            <a:ext uri="{FF2B5EF4-FFF2-40B4-BE49-F238E27FC236}">
              <a16:creationId xmlns:a16="http://schemas.microsoft.com/office/drawing/2014/main" id="{C2083965-A9E5-80BA-49C6-5400DD70C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5"/>
        <a:stretch>
          <a:fillRect/>
        </a:stretch>
      </xdr:blipFill>
      <xdr:spPr>
        <a:xfrm>
          <a:off x="868203" y="1525096764"/>
          <a:ext cx="900113" cy="671513"/>
        </a:xfrm>
        <a:prstGeom prst="rect">
          <a:avLst/>
        </a:prstGeom>
      </xdr:spPr>
    </xdr:pic>
    <xdr:clientData/>
  </xdr:twoCellAnchor>
  <xdr:twoCellAnchor editAs="oneCell">
    <xdr:from>
      <xdr:col>0</xdr:col>
      <xdr:colOff>461010</xdr:colOff>
      <xdr:row>1726</xdr:row>
      <xdr:rowOff>62111</xdr:rowOff>
    </xdr:from>
    <xdr:to>
      <xdr:col>0</xdr:col>
      <xdr:colOff>2175510</xdr:colOff>
      <xdr:row>1726</xdr:row>
      <xdr:rowOff>1126530</xdr:rowOff>
    </xdr:to>
    <xdr:pic>
      <xdr:nvPicPr>
        <xdr:cNvPr id="3453" name="Picture 3452" descr="Insight Picture 3452">
          <a:extLst>
            <a:ext uri="{FF2B5EF4-FFF2-40B4-BE49-F238E27FC236}">
              <a16:creationId xmlns:a16="http://schemas.microsoft.com/office/drawing/2014/main" id="{C68C358B-0BA3-8FD7-9DE2-580894B3C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6"/>
        <a:stretch>
          <a:fillRect/>
        </a:stretch>
      </xdr:blipFill>
      <xdr:spPr>
        <a:xfrm>
          <a:off x="461010" y="1525890911"/>
          <a:ext cx="1714500" cy="1064419"/>
        </a:xfrm>
        <a:prstGeom prst="rect">
          <a:avLst/>
        </a:prstGeom>
      </xdr:spPr>
    </xdr:pic>
    <xdr:clientData/>
  </xdr:twoCellAnchor>
  <xdr:twoCellAnchor editAs="oneCell">
    <xdr:from>
      <xdr:col>0</xdr:col>
      <xdr:colOff>561022</xdr:colOff>
      <xdr:row>1727</xdr:row>
      <xdr:rowOff>62131</xdr:rowOff>
    </xdr:from>
    <xdr:to>
      <xdr:col>0</xdr:col>
      <xdr:colOff>2075497</xdr:colOff>
      <xdr:row>1727</xdr:row>
      <xdr:rowOff>1126550</xdr:rowOff>
    </xdr:to>
    <xdr:pic>
      <xdr:nvPicPr>
        <xdr:cNvPr id="3455" name="Picture 3454" descr="Insight Picture 3454">
          <a:extLst>
            <a:ext uri="{FF2B5EF4-FFF2-40B4-BE49-F238E27FC236}">
              <a16:creationId xmlns:a16="http://schemas.microsoft.com/office/drawing/2014/main" id="{9D729A3A-3ADC-2F5F-D2A5-A47757302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7"/>
        <a:stretch>
          <a:fillRect/>
        </a:stretch>
      </xdr:blipFill>
      <xdr:spPr>
        <a:xfrm>
          <a:off x="561022" y="1527079651"/>
          <a:ext cx="1514475" cy="1064419"/>
        </a:xfrm>
        <a:prstGeom prst="rect">
          <a:avLst/>
        </a:prstGeom>
      </xdr:spPr>
    </xdr:pic>
    <xdr:clientData/>
  </xdr:twoCellAnchor>
  <xdr:twoCellAnchor editAs="oneCell">
    <xdr:from>
      <xdr:col>0</xdr:col>
      <xdr:colOff>461010</xdr:colOff>
      <xdr:row>1728</xdr:row>
      <xdr:rowOff>63341</xdr:rowOff>
    </xdr:from>
    <xdr:to>
      <xdr:col>0</xdr:col>
      <xdr:colOff>2175510</xdr:colOff>
      <xdr:row>1728</xdr:row>
      <xdr:rowOff>1049179</xdr:rowOff>
    </xdr:to>
    <xdr:pic>
      <xdr:nvPicPr>
        <xdr:cNvPr id="3457" name="Picture 3456" descr="Insight Picture 3456">
          <a:extLst>
            <a:ext uri="{FF2B5EF4-FFF2-40B4-BE49-F238E27FC236}">
              <a16:creationId xmlns:a16="http://schemas.microsoft.com/office/drawing/2014/main" id="{FCB28F88-03DF-2622-AA93-6EF5FABA7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8"/>
        <a:stretch>
          <a:fillRect/>
        </a:stretch>
      </xdr:blipFill>
      <xdr:spPr>
        <a:xfrm>
          <a:off x="461010" y="1528269581"/>
          <a:ext cx="1714500" cy="985838"/>
        </a:xfrm>
        <a:prstGeom prst="rect">
          <a:avLst/>
        </a:prstGeom>
      </xdr:spPr>
    </xdr:pic>
    <xdr:clientData/>
  </xdr:twoCellAnchor>
  <xdr:twoCellAnchor editAs="oneCell">
    <xdr:from>
      <xdr:col>0</xdr:col>
      <xdr:colOff>539591</xdr:colOff>
      <xdr:row>1729</xdr:row>
      <xdr:rowOff>60484</xdr:rowOff>
    </xdr:from>
    <xdr:to>
      <xdr:col>0</xdr:col>
      <xdr:colOff>2096929</xdr:colOff>
      <xdr:row>1729</xdr:row>
      <xdr:rowOff>846297</xdr:rowOff>
    </xdr:to>
    <xdr:pic>
      <xdr:nvPicPr>
        <xdr:cNvPr id="3459" name="Picture 3458" descr="Insight Picture 3458">
          <a:extLst>
            <a:ext uri="{FF2B5EF4-FFF2-40B4-BE49-F238E27FC236}">
              <a16:creationId xmlns:a16="http://schemas.microsoft.com/office/drawing/2014/main" id="{8D8928F7-2B86-7834-61EF-24F40763E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9"/>
        <a:stretch>
          <a:fillRect/>
        </a:stretch>
      </xdr:blipFill>
      <xdr:spPr>
        <a:xfrm>
          <a:off x="539591" y="1529379244"/>
          <a:ext cx="1557338" cy="785813"/>
        </a:xfrm>
        <a:prstGeom prst="rect">
          <a:avLst/>
        </a:prstGeom>
      </xdr:spPr>
    </xdr:pic>
    <xdr:clientData/>
  </xdr:twoCellAnchor>
  <xdr:twoCellAnchor editAs="oneCell">
    <xdr:from>
      <xdr:col>0</xdr:col>
      <xdr:colOff>486013</xdr:colOff>
      <xdr:row>1730</xdr:row>
      <xdr:rowOff>63837</xdr:rowOff>
    </xdr:from>
    <xdr:to>
      <xdr:col>0</xdr:col>
      <xdr:colOff>2150507</xdr:colOff>
      <xdr:row>1730</xdr:row>
      <xdr:rowOff>1292562</xdr:rowOff>
    </xdr:to>
    <xdr:pic>
      <xdr:nvPicPr>
        <xdr:cNvPr id="3461" name="Picture 3460" descr="Insight Picture 3460">
          <a:extLst>
            <a:ext uri="{FF2B5EF4-FFF2-40B4-BE49-F238E27FC236}">
              <a16:creationId xmlns:a16="http://schemas.microsoft.com/office/drawing/2014/main" id="{5F7FE5F6-BE01-E6C9-6A2A-7F02507A8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0"/>
        <a:stretch>
          <a:fillRect/>
        </a:stretch>
      </xdr:blipFill>
      <xdr:spPr>
        <a:xfrm>
          <a:off x="486013" y="1530289377"/>
          <a:ext cx="1664494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521732</xdr:colOff>
      <xdr:row>1731</xdr:row>
      <xdr:rowOff>63599</xdr:rowOff>
    </xdr:from>
    <xdr:to>
      <xdr:col>0</xdr:col>
      <xdr:colOff>2114788</xdr:colOff>
      <xdr:row>1731</xdr:row>
      <xdr:rowOff>1285180</xdr:rowOff>
    </xdr:to>
    <xdr:pic>
      <xdr:nvPicPr>
        <xdr:cNvPr id="3463" name="Picture 3462" descr="Insight Picture 3462">
          <a:extLst>
            <a:ext uri="{FF2B5EF4-FFF2-40B4-BE49-F238E27FC236}">
              <a16:creationId xmlns:a16="http://schemas.microsoft.com/office/drawing/2014/main" id="{A36902F1-9ED4-A688-A841-DED8C0DCA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1"/>
        <a:stretch>
          <a:fillRect/>
        </a:stretch>
      </xdr:blipFill>
      <xdr:spPr>
        <a:xfrm>
          <a:off x="521732" y="1531645499"/>
          <a:ext cx="1593056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407432</xdr:colOff>
      <xdr:row>1732</xdr:row>
      <xdr:rowOff>60762</xdr:rowOff>
    </xdr:from>
    <xdr:to>
      <xdr:col>0</xdr:col>
      <xdr:colOff>2229088</xdr:colOff>
      <xdr:row>1732</xdr:row>
      <xdr:rowOff>1082318</xdr:rowOff>
    </xdr:to>
    <xdr:pic>
      <xdr:nvPicPr>
        <xdr:cNvPr id="3465" name="Picture 3464" descr="Insight Picture 3464">
          <a:extLst>
            <a:ext uri="{FF2B5EF4-FFF2-40B4-BE49-F238E27FC236}">
              <a16:creationId xmlns:a16="http://schemas.microsoft.com/office/drawing/2014/main" id="{AD2C8F9B-59B6-5E27-38E3-58D7823D3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2"/>
        <a:stretch>
          <a:fillRect/>
        </a:stretch>
      </xdr:blipFill>
      <xdr:spPr>
        <a:xfrm>
          <a:off x="407432" y="1532991402"/>
          <a:ext cx="1821656" cy="1021556"/>
        </a:xfrm>
        <a:prstGeom prst="rect">
          <a:avLst/>
        </a:prstGeom>
      </xdr:spPr>
    </xdr:pic>
    <xdr:clientData/>
  </xdr:twoCellAnchor>
  <xdr:twoCellAnchor editAs="oneCell">
    <xdr:from>
      <xdr:col>0</xdr:col>
      <xdr:colOff>403860</xdr:colOff>
      <xdr:row>1733</xdr:row>
      <xdr:rowOff>63143</xdr:rowOff>
    </xdr:from>
    <xdr:to>
      <xdr:col>0</xdr:col>
      <xdr:colOff>2232660</xdr:colOff>
      <xdr:row>1733</xdr:row>
      <xdr:rowOff>927537</xdr:rowOff>
    </xdr:to>
    <xdr:pic>
      <xdr:nvPicPr>
        <xdr:cNvPr id="3467" name="Picture 3466" descr="Insight Picture 3466">
          <a:extLst>
            <a:ext uri="{FF2B5EF4-FFF2-40B4-BE49-F238E27FC236}">
              <a16:creationId xmlns:a16="http://schemas.microsoft.com/office/drawing/2014/main" id="{39FAF2EE-2D60-5130-825B-F14EECA7E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3"/>
        <a:stretch>
          <a:fillRect/>
        </a:stretch>
      </xdr:blipFill>
      <xdr:spPr>
        <a:xfrm>
          <a:off x="403860" y="1534136783"/>
          <a:ext cx="1828800" cy="864394"/>
        </a:xfrm>
        <a:prstGeom prst="rect">
          <a:avLst/>
        </a:prstGeom>
      </xdr:spPr>
    </xdr:pic>
    <xdr:clientData/>
  </xdr:twoCellAnchor>
  <xdr:twoCellAnchor editAs="oneCell">
    <xdr:from>
      <xdr:col>0</xdr:col>
      <xdr:colOff>414576</xdr:colOff>
      <xdr:row>1734</xdr:row>
      <xdr:rowOff>60762</xdr:rowOff>
    </xdr:from>
    <xdr:to>
      <xdr:col>0</xdr:col>
      <xdr:colOff>2221945</xdr:colOff>
      <xdr:row>1734</xdr:row>
      <xdr:rowOff>968018</xdr:rowOff>
    </xdr:to>
    <xdr:pic>
      <xdr:nvPicPr>
        <xdr:cNvPr id="3469" name="Picture 3468" descr="Insight Picture 3468">
          <a:extLst>
            <a:ext uri="{FF2B5EF4-FFF2-40B4-BE49-F238E27FC236}">
              <a16:creationId xmlns:a16="http://schemas.microsoft.com/office/drawing/2014/main" id="{F8453D12-84CC-A1E9-7502-0C4BEB84F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4"/>
        <a:stretch>
          <a:fillRect/>
        </a:stretch>
      </xdr:blipFill>
      <xdr:spPr>
        <a:xfrm>
          <a:off x="414576" y="1535125002"/>
          <a:ext cx="1807369" cy="907256"/>
        </a:xfrm>
        <a:prstGeom prst="rect">
          <a:avLst/>
        </a:prstGeom>
      </xdr:spPr>
    </xdr:pic>
    <xdr:clientData/>
  </xdr:twoCellAnchor>
  <xdr:twoCellAnchor editAs="oneCell">
    <xdr:from>
      <xdr:col>0</xdr:col>
      <xdr:colOff>500301</xdr:colOff>
      <xdr:row>1735</xdr:row>
      <xdr:rowOff>60464</xdr:rowOff>
    </xdr:from>
    <xdr:to>
      <xdr:col>0</xdr:col>
      <xdr:colOff>2136220</xdr:colOff>
      <xdr:row>1735</xdr:row>
      <xdr:rowOff>1074877</xdr:rowOff>
    </xdr:to>
    <xdr:pic>
      <xdr:nvPicPr>
        <xdr:cNvPr id="3471" name="Picture 3470" descr="Insight Picture 3470">
          <a:extLst>
            <a:ext uri="{FF2B5EF4-FFF2-40B4-BE49-F238E27FC236}">
              <a16:creationId xmlns:a16="http://schemas.microsoft.com/office/drawing/2014/main" id="{13EC489B-95A4-F113-E5A5-24121CB4E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5"/>
        <a:stretch>
          <a:fillRect/>
        </a:stretch>
      </xdr:blipFill>
      <xdr:spPr>
        <a:xfrm>
          <a:off x="500301" y="1536153404"/>
          <a:ext cx="1635919" cy="1014413"/>
        </a:xfrm>
        <a:prstGeom prst="rect">
          <a:avLst/>
        </a:prstGeom>
      </xdr:spPr>
    </xdr:pic>
    <xdr:clientData/>
  </xdr:twoCellAnchor>
  <xdr:twoCellAnchor editAs="oneCell">
    <xdr:from>
      <xdr:col>0</xdr:col>
      <xdr:colOff>350282</xdr:colOff>
      <xdr:row>1736</xdr:row>
      <xdr:rowOff>62131</xdr:rowOff>
    </xdr:from>
    <xdr:to>
      <xdr:col>0</xdr:col>
      <xdr:colOff>2286238</xdr:colOff>
      <xdr:row>1736</xdr:row>
      <xdr:rowOff>897950</xdr:rowOff>
    </xdr:to>
    <xdr:pic>
      <xdr:nvPicPr>
        <xdr:cNvPr id="3473" name="Picture 3472" descr="Insight Picture 3472">
          <a:extLst>
            <a:ext uri="{FF2B5EF4-FFF2-40B4-BE49-F238E27FC236}">
              <a16:creationId xmlns:a16="http://schemas.microsoft.com/office/drawing/2014/main" id="{20F87A2C-15CE-B915-8432-30C438398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6"/>
        <a:stretch>
          <a:fillRect/>
        </a:stretch>
      </xdr:blipFill>
      <xdr:spPr>
        <a:xfrm>
          <a:off x="350282" y="1537290451"/>
          <a:ext cx="1935956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421719</xdr:colOff>
      <xdr:row>1737</xdr:row>
      <xdr:rowOff>62647</xdr:rowOff>
    </xdr:from>
    <xdr:to>
      <xdr:col>0</xdr:col>
      <xdr:colOff>2214800</xdr:colOff>
      <xdr:row>1737</xdr:row>
      <xdr:rowOff>1141353</xdr:rowOff>
    </xdr:to>
    <xdr:pic>
      <xdr:nvPicPr>
        <xdr:cNvPr id="3475" name="Picture 3474" descr="Insight Picture 3474">
          <a:extLst>
            <a:ext uri="{FF2B5EF4-FFF2-40B4-BE49-F238E27FC236}">
              <a16:creationId xmlns:a16="http://schemas.microsoft.com/office/drawing/2014/main" id="{78EDF9D6-56F4-98FF-9A46-9AD91096B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7"/>
        <a:stretch>
          <a:fillRect/>
        </a:stretch>
      </xdr:blipFill>
      <xdr:spPr>
        <a:xfrm>
          <a:off x="421719" y="1538251087"/>
          <a:ext cx="1793081" cy="1078706"/>
        </a:xfrm>
        <a:prstGeom prst="rect">
          <a:avLst/>
        </a:prstGeom>
      </xdr:spPr>
    </xdr:pic>
    <xdr:clientData/>
  </xdr:twoCellAnchor>
  <xdr:twoCellAnchor editAs="oneCell">
    <xdr:from>
      <xdr:col>0</xdr:col>
      <xdr:colOff>514588</xdr:colOff>
      <xdr:row>1738</xdr:row>
      <xdr:rowOff>62607</xdr:rowOff>
    </xdr:from>
    <xdr:to>
      <xdr:col>0</xdr:col>
      <xdr:colOff>2121932</xdr:colOff>
      <xdr:row>1738</xdr:row>
      <xdr:rowOff>1141313</xdr:rowOff>
    </xdr:to>
    <xdr:pic>
      <xdr:nvPicPr>
        <xdr:cNvPr id="3477" name="Picture 3476" descr="Insight Picture 3476">
          <a:extLst>
            <a:ext uri="{FF2B5EF4-FFF2-40B4-BE49-F238E27FC236}">
              <a16:creationId xmlns:a16="http://schemas.microsoft.com/office/drawing/2014/main" id="{397260EC-5298-FBA3-AB1C-303450D2F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8"/>
        <a:stretch>
          <a:fillRect/>
        </a:stretch>
      </xdr:blipFill>
      <xdr:spPr>
        <a:xfrm>
          <a:off x="514588" y="1539455007"/>
          <a:ext cx="1607344" cy="1078706"/>
        </a:xfrm>
        <a:prstGeom prst="rect">
          <a:avLst/>
        </a:prstGeom>
      </xdr:spPr>
    </xdr:pic>
    <xdr:clientData/>
  </xdr:twoCellAnchor>
  <xdr:twoCellAnchor editAs="oneCell">
    <xdr:from>
      <xdr:col>0</xdr:col>
      <xdr:colOff>403860</xdr:colOff>
      <xdr:row>1739</xdr:row>
      <xdr:rowOff>62865</xdr:rowOff>
    </xdr:from>
    <xdr:to>
      <xdr:col>0</xdr:col>
      <xdr:colOff>2232660</xdr:colOff>
      <xdr:row>1739</xdr:row>
      <xdr:rowOff>920115</xdr:rowOff>
    </xdr:to>
    <xdr:pic>
      <xdr:nvPicPr>
        <xdr:cNvPr id="3479" name="Picture 3478" descr="Insight Picture 3478">
          <a:extLst>
            <a:ext uri="{FF2B5EF4-FFF2-40B4-BE49-F238E27FC236}">
              <a16:creationId xmlns:a16="http://schemas.microsoft.com/office/drawing/2014/main" id="{84DC9D75-3860-053C-A9C6-95E8B712E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9"/>
        <a:stretch>
          <a:fillRect/>
        </a:stretch>
      </xdr:blipFill>
      <xdr:spPr>
        <a:xfrm>
          <a:off x="403860" y="1540659225"/>
          <a:ext cx="182880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339566</xdr:colOff>
      <xdr:row>1740</xdr:row>
      <xdr:rowOff>61952</xdr:rowOff>
    </xdr:from>
    <xdr:to>
      <xdr:col>0</xdr:col>
      <xdr:colOff>2296954</xdr:colOff>
      <xdr:row>1740</xdr:row>
      <xdr:rowOff>890627</xdr:rowOff>
    </xdr:to>
    <xdr:pic>
      <xdr:nvPicPr>
        <xdr:cNvPr id="3481" name="Picture 3480" descr="Insight Picture 3480">
          <a:extLst>
            <a:ext uri="{FF2B5EF4-FFF2-40B4-BE49-F238E27FC236}">
              <a16:creationId xmlns:a16="http://schemas.microsoft.com/office/drawing/2014/main" id="{A1842374-878C-E52E-E9C0-B399773BC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0"/>
        <a:stretch>
          <a:fillRect/>
        </a:stretch>
      </xdr:blipFill>
      <xdr:spPr>
        <a:xfrm>
          <a:off x="339566" y="1541641292"/>
          <a:ext cx="1957388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553878</xdr:colOff>
      <xdr:row>1741</xdr:row>
      <xdr:rowOff>63143</xdr:rowOff>
    </xdr:from>
    <xdr:to>
      <xdr:col>0</xdr:col>
      <xdr:colOff>2082641</xdr:colOff>
      <xdr:row>1741</xdr:row>
      <xdr:rowOff>1156137</xdr:rowOff>
    </xdr:to>
    <xdr:pic>
      <xdr:nvPicPr>
        <xdr:cNvPr id="3483" name="Picture 3482" descr="Insight Picture 3482">
          <a:extLst>
            <a:ext uri="{FF2B5EF4-FFF2-40B4-BE49-F238E27FC236}">
              <a16:creationId xmlns:a16="http://schemas.microsoft.com/office/drawing/2014/main" id="{212C3D7A-BE46-D267-687E-E2577045B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1"/>
        <a:stretch>
          <a:fillRect/>
        </a:stretch>
      </xdr:blipFill>
      <xdr:spPr>
        <a:xfrm>
          <a:off x="553878" y="1542594983"/>
          <a:ext cx="1528763" cy="1092994"/>
        </a:xfrm>
        <a:prstGeom prst="rect">
          <a:avLst/>
        </a:prstGeom>
      </xdr:spPr>
    </xdr:pic>
    <xdr:clientData/>
  </xdr:twoCellAnchor>
  <xdr:twoCellAnchor editAs="oneCell">
    <xdr:from>
      <xdr:col>0</xdr:col>
      <xdr:colOff>539591</xdr:colOff>
      <xdr:row>1742</xdr:row>
      <xdr:rowOff>63341</xdr:rowOff>
    </xdr:from>
    <xdr:to>
      <xdr:col>0</xdr:col>
      <xdr:colOff>2096929</xdr:colOff>
      <xdr:row>1742</xdr:row>
      <xdr:rowOff>1277779</xdr:rowOff>
    </xdr:to>
    <xdr:pic>
      <xdr:nvPicPr>
        <xdr:cNvPr id="3485" name="Picture 3484" descr="Insight Picture 3484">
          <a:extLst>
            <a:ext uri="{FF2B5EF4-FFF2-40B4-BE49-F238E27FC236}">
              <a16:creationId xmlns:a16="http://schemas.microsoft.com/office/drawing/2014/main" id="{2272DE5F-5597-32E6-3575-14BB98EFB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2"/>
        <a:stretch>
          <a:fillRect/>
        </a:stretch>
      </xdr:blipFill>
      <xdr:spPr>
        <a:xfrm>
          <a:off x="539591" y="1543814381"/>
          <a:ext cx="1557338" cy="1214438"/>
        </a:xfrm>
        <a:prstGeom prst="rect">
          <a:avLst/>
        </a:prstGeom>
      </xdr:spPr>
    </xdr:pic>
    <xdr:clientData/>
  </xdr:twoCellAnchor>
  <xdr:twoCellAnchor editAs="oneCell">
    <xdr:from>
      <xdr:col>0</xdr:col>
      <xdr:colOff>368141</xdr:colOff>
      <xdr:row>1743</xdr:row>
      <xdr:rowOff>62667</xdr:rowOff>
    </xdr:from>
    <xdr:to>
      <xdr:col>0</xdr:col>
      <xdr:colOff>2268379</xdr:colOff>
      <xdr:row>1743</xdr:row>
      <xdr:rowOff>1141373</xdr:rowOff>
    </xdr:to>
    <xdr:pic>
      <xdr:nvPicPr>
        <xdr:cNvPr id="3487" name="Picture 3486" descr="Insight Picture 3486">
          <a:extLst>
            <a:ext uri="{FF2B5EF4-FFF2-40B4-BE49-F238E27FC236}">
              <a16:creationId xmlns:a16="http://schemas.microsoft.com/office/drawing/2014/main" id="{9B717AFA-0281-408B-43EB-C3D5FDCE3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3"/>
        <a:stretch>
          <a:fillRect/>
        </a:stretch>
      </xdr:blipFill>
      <xdr:spPr>
        <a:xfrm>
          <a:off x="368141" y="1545154827"/>
          <a:ext cx="1900238" cy="1078706"/>
        </a:xfrm>
        <a:prstGeom prst="rect">
          <a:avLst/>
        </a:prstGeom>
      </xdr:spPr>
    </xdr:pic>
    <xdr:clientData/>
  </xdr:twoCellAnchor>
  <xdr:twoCellAnchor editAs="oneCell">
    <xdr:from>
      <xdr:col>0</xdr:col>
      <xdr:colOff>310991</xdr:colOff>
      <xdr:row>1744</xdr:row>
      <xdr:rowOff>61932</xdr:rowOff>
    </xdr:from>
    <xdr:to>
      <xdr:col>0</xdr:col>
      <xdr:colOff>2325529</xdr:colOff>
      <xdr:row>1744</xdr:row>
      <xdr:rowOff>890607</xdr:rowOff>
    </xdr:to>
    <xdr:pic>
      <xdr:nvPicPr>
        <xdr:cNvPr id="3489" name="Picture 3488" descr="Insight Picture 3488">
          <a:extLst>
            <a:ext uri="{FF2B5EF4-FFF2-40B4-BE49-F238E27FC236}">
              <a16:creationId xmlns:a16="http://schemas.microsoft.com/office/drawing/2014/main" id="{CE8824B4-2930-0826-1AE2-DC376431D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4"/>
        <a:stretch>
          <a:fillRect/>
        </a:stretch>
      </xdr:blipFill>
      <xdr:spPr>
        <a:xfrm>
          <a:off x="310991" y="1546358052"/>
          <a:ext cx="2014538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500301</xdr:colOff>
      <xdr:row>1745</xdr:row>
      <xdr:rowOff>61436</xdr:rowOff>
    </xdr:from>
    <xdr:to>
      <xdr:col>0</xdr:col>
      <xdr:colOff>2136220</xdr:colOff>
      <xdr:row>1745</xdr:row>
      <xdr:rowOff>1104424</xdr:rowOff>
    </xdr:to>
    <xdr:pic>
      <xdr:nvPicPr>
        <xdr:cNvPr id="3491" name="Picture 3490" descr="Insight Picture 3490">
          <a:extLst>
            <a:ext uri="{FF2B5EF4-FFF2-40B4-BE49-F238E27FC236}">
              <a16:creationId xmlns:a16="http://schemas.microsoft.com/office/drawing/2014/main" id="{337C7ADD-929D-00A1-956E-B2310999E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5"/>
        <a:stretch>
          <a:fillRect/>
        </a:stretch>
      </xdr:blipFill>
      <xdr:spPr>
        <a:xfrm>
          <a:off x="500301" y="1547310056"/>
          <a:ext cx="1635919" cy="1042988"/>
        </a:xfrm>
        <a:prstGeom prst="rect">
          <a:avLst/>
        </a:prstGeom>
      </xdr:spPr>
    </xdr:pic>
    <xdr:clientData/>
  </xdr:twoCellAnchor>
  <xdr:twoCellAnchor editAs="oneCell">
    <xdr:from>
      <xdr:col>0</xdr:col>
      <xdr:colOff>486013</xdr:colOff>
      <xdr:row>1746</xdr:row>
      <xdr:rowOff>60702</xdr:rowOff>
    </xdr:from>
    <xdr:to>
      <xdr:col>0</xdr:col>
      <xdr:colOff>2150507</xdr:colOff>
      <xdr:row>1746</xdr:row>
      <xdr:rowOff>1082258</xdr:rowOff>
    </xdr:to>
    <xdr:pic>
      <xdr:nvPicPr>
        <xdr:cNvPr id="3493" name="Picture 3492" descr="Insight Picture 3492">
          <a:extLst>
            <a:ext uri="{FF2B5EF4-FFF2-40B4-BE49-F238E27FC236}">
              <a16:creationId xmlns:a16="http://schemas.microsoft.com/office/drawing/2014/main" id="{7727988D-C564-FA60-E36B-6CAEEA329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6"/>
        <a:stretch>
          <a:fillRect/>
        </a:stretch>
      </xdr:blipFill>
      <xdr:spPr>
        <a:xfrm>
          <a:off x="486013" y="1548475182"/>
          <a:ext cx="1664494" cy="1021556"/>
        </a:xfrm>
        <a:prstGeom prst="rect">
          <a:avLst/>
        </a:prstGeom>
      </xdr:spPr>
    </xdr:pic>
    <xdr:clientData/>
  </xdr:twoCellAnchor>
  <xdr:twoCellAnchor editAs="oneCell">
    <xdr:from>
      <xdr:col>0</xdr:col>
      <xdr:colOff>400288</xdr:colOff>
      <xdr:row>1747</xdr:row>
      <xdr:rowOff>60504</xdr:rowOff>
    </xdr:from>
    <xdr:to>
      <xdr:col>0</xdr:col>
      <xdr:colOff>2236232</xdr:colOff>
      <xdr:row>1747</xdr:row>
      <xdr:rowOff>1189217</xdr:rowOff>
    </xdr:to>
    <xdr:pic>
      <xdr:nvPicPr>
        <xdr:cNvPr id="3495" name="Picture 3494" descr="Insight Picture 3494">
          <a:extLst>
            <a:ext uri="{FF2B5EF4-FFF2-40B4-BE49-F238E27FC236}">
              <a16:creationId xmlns:a16="http://schemas.microsoft.com/office/drawing/2014/main" id="{B24F9686-F34E-9EFF-96AA-A18C99A46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7"/>
        <a:stretch>
          <a:fillRect/>
        </a:stretch>
      </xdr:blipFill>
      <xdr:spPr>
        <a:xfrm>
          <a:off x="400288" y="1549617984"/>
          <a:ext cx="1835944" cy="1128713"/>
        </a:xfrm>
        <a:prstGeom prst="rect">
          <a:avLst/>
        </a:prstGeom>
      </xdr:spPr>
    </xdr:pic>
    <xdr:clientData/>
  </xdr:twoCellAnchor>
  <xdr:twoCellAnchor editAs="oneCell">
    <xdr:from>
      <xdr:col>0</xdr:col>
      <xdr:colOff>611028</xdr:colOff>
      <xdr:row>1748</xdr:row>
      <xdr:rowOff>63857</xdr:rowOff>
    </xdr:from>
    <xdr:to>
      <xdr:col>0</xdr:col>
      <xdr:colOff>2025491</xdr:colOff>
      <xdr:row>1748</xdr:row>
      <xdr:rowOff>949682</xdr:rowOff>
    </xdr:to>
    <xdr:pic>
      <xdr:nvPicPr>
        <xdr:cNvPr id="3497" name="Picture 3496" descr="Insight Picture 3496">
          <a:extLst>
            <a:ext uri="{FF2B5EF4-FFF2-40B4-BE49-F238E27FC236}">
              <a16:creationId xmlns:a16="http://schemas.microsoft.com/office/drawing/2014/main" id="{D7887BC4-7DA2-19D5-3F26-52DB9C86A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8"/>
        <a:stretch>
          <a:fillRect/>
        </a:stretch>
      </xdr:blipFill>
      <xdr:spPr>
        <a:xfrm>
          <a:off x="611028" y="1550871017"/>
          <a:ext cx="1414463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493157</xdr:colOff>
      <xdr:row>1749</xdr:row>
      <xdr:rowOff>63818</xdr:rowOff>
    </xdr:from>
    <xdr:to>
      <xdr:col>0</xdr:col>
      <xdr:colOff>2143363</xdr:colOff>
      <xdr:row>1749</xdr:row>
      <xdr:rowOff>949643</xdr:rowOff>
    </xdr:to>
    <xdr:pic>
      <xdr:nvPicPr>
        <xdr:cNvPr id="3499" name="Picture 3498" descr="Insight Picture 3498">
          <a:extLst>
            <a:ext uri="{FF2B5EF4-FFF2-40B4-BE49-F238E27FC236}">
              <a16:creationId xmlns:a16="http://schemas.microsoft.com/office/drawing/2014/main" id="{4692C933-93BD-EE7B-6FDA-7FD858E84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9"/>
        <a:stretch>
          <a:fillRect/>
        </a:stretch>
      </xdr:blipFill>
      <xdr:spPr>
        <a:xfrm>
          <a:off x="493157" y="1551884438"/>
          <a:ext cx="1650206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946785</xdr:colOff>
      <xdr:row>1750</xdr:row>
      <xdr:rowOff>60504</xdr:rowOff>
    </xdr:from>
    <xdr:to>
      <xdr:col>0</xdr:col>
      <xdr:colOff>1689735</xdr:colOff>
      <xdr:row>1750</xdr:row>
      <xdr:rowOff>1189217</xdr:rowOff>
    </xdr:to>
    <xdr:pic>
      <xdr:nvPicPr>
        <xdr:cNvPr id="3501" name="Picture 3500" descr="Insight Picture 3500">
          <a:extLst>
            <a:ext uri="{FF2B5EF4-FFF2-40B4-BE49-F238E27FC236}">
              <a16:creationId xmlns:a16="http://schemas.microsoft.com/office/drawing/2014/main" id="{5E62F6CB-0C6A-8BBD-E949-7EC5FC933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0"/>
        <a:stretch>
          <a:fillRect/>
        </a:stretch>
      </xdr:blipFill>
      <xdr:spPr>
        <a:xfrm>
          <a:off x="946785" y="1552894584"/>
          <a:ext cx="742950" cy="1128713"/>
        </a:xfrm>
        <a:prstGeom prst="rect">
          <a:avLst/>
        </a:prstGeom>
      </xdr:spPr>
    </xdr:pic>
    <xdr:clientData/>
  </xdr:twoCellAnchor>
  <xdr:twoCellAnchor editAs="oneCell">
    <xdr:from>
      <xdr:col>0</xdr:col>
      <xdr:colOff>664607</xdr:colOff>
      <xdr:row>1751</xdr:row>
      <xdr:rowOff>62667</xdr:rowOff>
    </xdr:from>
    <xdr:to>
      <xdr:col>0</xdr:col>
      <xdr:colOff>1971913</xdr:colOff>
      <xdr:row>1751</xdr:row>
      <xdr:rowOff>798473</xdr:rowOff>
    </xdr:to>
    <xdr:pic>
      <xdr:nvPicPr>
        <xdr:cNvPr id="3503" name="Picture 3502" descr="Insight Picture 3502">
          <a:extLst>
            <a:ext uri="{FF2B5EF4-FFF2-40B4-BE49-F238E27FC236}">
              <a16:creationId xmlns:a16="http://schemas.microsoft.com/office/drawing/2014/main" id="{665944FE-3245-D02E-4E7C-8DDFC1062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1"/>
        <a:stretch>
          <a:fillRect/>
        </a:stretch>
      </xdr:blipFill>
      <xdr:spPr>
        <a:xfrm>
          <a:off x="664607" y="1554146427"/>
          <a:ext cx="1307306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643175</xdr:colOff>
      <xdr:row>1752</xdr:row>
      <xdr:rowOff>61238</xdr:rowOff>
    </xdr:from>
    <xdr:to>
      <xdr:col>0</xdr:col>
      <xdr:colOff>1993344</xdr:colOff>
      <xdr:row>1752</xdr:row>
      <xdr:rowOff>639882</xdr:rowOff>
    </xdr:to>
    <xdr:pic>
      <xdr:nvPicPr>
        <xdr:cNvPr id="3505" name="Picture 3504" descr="Insight Picture 3504">
          <a:extLst>
            <a:ext uri="{FF2B5EF4-FFF2-40B4-BE49-F238E27FC236}">
              <a16:creationId xmlns:a16="http://schemas.microsoft.com/office/drawing/2014/main" id="{9DC14834-9F1F-8BCF-6987-EFC343799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2"/>
        <a:stretch>
          <a:fillRect/>
        </a:stretch>
      </xdr:blipFill>
      <xdr:spPr>
        <a:xfrm>
          <a:off x="643175" y="1555006058"/>
          <a:ext cx="1350169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818198</xdr:colOff>
      <xdr:row>1753</xdr:row>
      <xdr:rowOff>63063</xdr:rowOff>
    </xdr:from>
    <xdr:to>
      <xdr:col>0</xdr:col>
      <xdr:colOff>1818323</xdr:colOff>
      <xdr:row>1753</xdr:row>
      <xdr:rowOff>1041757</xdr:rowOff>
    </xdr:to>
    <xdr:pic>
      <xdr:nvPicPr>
        <xdr:cNvPr id="3507" name="Picture 3506" descr="Insight Picture 3506">
          <a:extLst>
            <a:ext uri="{FF2B5EF4-FFF2-40B4-BE49-F238E27FC236}">
              <a16:creationId xmlns:a16="http://schemas.microsoft.com/office/drawing/2014/main" id="{344F4717-E3DA-4C7D-077A-6EA52918F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3"/>
        <a:stretch>
          <a:fillRect/>
        </a:stretch>
      </xdr:blipFill>
      <xdr:spPr>
        <a:xfrm>
          <a:off x="818198" y="1555708923"/>
          <a:ext cx="1000125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818198</xdr:colOff>
      <xdr:row>1754</xdr:row>
      <xdr:rowOff>61178</xdr:rowOff>
    </xdr:from>
    <xdr:to>
      <xdr:col>0</xdr:col>
      <xdr:colOff>1818323</xdr:colOff>
      <xdr:row>1754</xdr:row>
      <xdr:rowOff>1097022</xdr:rowOff>
    </xdr:to>
    <xdr:pic>
      <xdr:nvPicPr>
        <xdr:cNvPr id="3509" name="Picture 3508" descr="Insight Picture 3508">
          <a:extLst>
            <a:ext uri="{FF2B5EF4-FFF2-40B4-BE49-F238E27FC236}">
              <a16:creationId xmlns:a16="http://schemas.microsoft.com/office/drawing/2014/main" id="{5E5D73CE-1BA3-CC47-01FC-AE40F21BD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4"/>
        <a:stretch>
          <a:fillRect/>
        </a:stretch>
      </xdr:blipFill>
      <xdr:spPr>
        <a:xfrm>
          <a:off x="818198" y="1556811938"/>
          <a:ext cx="1000125" cy="1035844"/>
        </a:xfrm>
        <a:prstGeom prst="rect">
          <a:avLst/>
        </a:prstGeom>
      </xdr:spPr>
    </xdr:pic>
    <xdr:clientData/>
  </xdr:twoCellAnchor>
  <xdr:twoCellAnchor editAs="oneCell">
    <xdr:from>
      <xdr:col>0</xdr:col>
      <xdr:colOff>557450</xdr:colOff>
      <xdr:row>1755</xdr:row>
      <xdr:rowOff>61218</xdr:rowOff>
    </xdr:from>
    <xdr:to>
      <xdr:col>0</xdr:col>
      <xdr:colOff>2079069</xdr:colOff>
      <xdr:row>1755</xdr:row>
      <xdr:rowOff>639862</xdr:rowOff>
    </xdr:to>
    <xdr:pic>
      <xdr:nvPicPr>
        <xdr:cNvPr id="3511" name="Picture 3510" descr="Insight Picture 3510">
          <a:extLst>
            <a:ext uri="{FF2B5EF4-FFF2-40B4-BE49-F238E27FC236}">
              <a16:creationId xmlns:a16="http://schemas.microsoft.com/office/drawing/2014/main" id="{8BF8A947-0EFD-5107-8458-843E1BDF0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5"/>
        <a:stretch>
          <a:fillRect/>
        </a:stretch>
      </xdr:blipFill>
      <xdr:spPr>
        <a:xfrm>
          <a:off x="557450" y="1557970218"/>
          <a:ext cx="1521619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707470</xdr:colOff>
      <xdr:row>1756</xdr:row>
      <xdr:rowOff>62647</xdr:rowOff>
    </xdr:from>
    <xdr:to>
      <xdr:col>0</xdr:col>
      <xdr:colOff>1929051</xdr:colOff>
      <xdr:row>1756</xdr:row>
      <xdr:rowOff>798453</xdr:rowOff>
    </xdr:to>
    <xdr:pic>
      <xdr:nvPicPr>
        <xdr:cNvPr id="3513" name="Picture 3512" descr="Insight Picture 3512">
          <a:extLst>
            <a:ext uri="{FF2B5EF4-FFF2-40B4-BE49-F238E27FC236}">
              <a16:creationId xmlns:a16="http://schemas.microsoft.com/office/drawing/2014/main" id="{B12710C3-6D68-3C8D-2F18-85D7F765B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6"/>
        <a:stretch>
          <a:fillRect/>
        </a:stretch>
      </xdr:blipFill>
      <xdr:spPr>
        <a:xfrm>
          <a:off x="707470" y="1558672687"/>
          <a:ext cx="1221581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711041</xdr:colOff>
      <xdr:row>1757</xdr:row>
      <xdr:rowOff>61218</xdr:rowOff>
    </xdr:from>
    <xdr:to>
      <xdr:col>0</xdr:col>
      <xdr:colOff>1925479</xdr:colOff>
      <xdr:row>1757</xdr:row>
      <xdr:rowOff>754162</xdr:rowOff>
    </xdr:to>
    <xdr:pic>
      <xdr:nvPicPr>
        <xdr:cNvPr id="3515" name="Picture 3514" descr="Insight Picture 3514">
          <a:extLst>
            <a:ext uri="{FF2B5EF4-FFF2-40B4-BE49-F238E27FC236}">
              <a16:creationId xmlns:a16="http://schemas.microsoft.com/office/drawing/2014/main" id="{AA40A9BB-2615-8563-48B8-9862ECCF0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7"/>
        <a:stretch>
          <a:fillRect/>
        </a:stretch>
      </xdr:blipFill>
      <xdr:spPr>
        <a:xfrm>
          <a:off x="711041" y="1559532318"/>
          <a:ext cx="1214438" cy="692944"/>
        </a:xfrm>
        <a:prstGeom prst="rect">
          <a:avLst/>
        </a:prstGeom>
      </xdr:spPr>
    </xdr:pic>
    <xdr:clientData/>
  </xdr:twoCellAnchor>
  <xdr:twoCellAnchor editAs="oneCell">
    <xdr:from>
      <xdr:col>0</xdr:col>
      <xdr:colOff>775335</xdr:colOff>
      <xdr:row>1758</xdr:row>
      <xdr:rowOff>63143</xdr:rowOff>
    </xdr:from>
    <xdr:to>
      <xdr:col>0</xdr:col>
      <xdr:colOff>1861185</xdr:colOff>
      <xdr:row>1758</xdr:row>
      <xdr:rowOff>1041837</xdr:rowOff>
    </xdr:to>
    <xdr:pic>
      <xdr:nvPicPr>
        <xdr:cNvPr id="3517" name="Picture 3516" descr="Insight Picture 3516">
          <a:extLst>
            <a:ext uri="{FF2B5EF4-FFF2-40B4-BE49-F238E27FC236}">
              <a16:creationId xmlns:a16="http://schemas.microsoft.com/office/drawing/2014/main" id="{5D92EC64-0842-9845-7393-7331D0323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8"/>
        <a:stretch>
          <a:fillRect/>
        </a:stretch>
      </xdr:blipFill>
      <xdr:spPr>
        <a:xfrm>
          <a:off x="775335" y="1560349583"/>
          <a:ext cx="1085850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814625</xdr:colOff>
      <xdr:row>1759</xdr:row>
      <xdr:rowOff>61655</xdr:rowOff>
    </xdr:from>
    <xdr:to>
      <xdr:col>0</xdr:col>
      <xdr:colOff>1821894</xdr:colOff>
      <xdr:row>1759</xdr:row>
      <xdr:rowOff>997486</xdr:rowOff>
    </xdr:to>
    <xdr:pic>
      <xdr:nvPicPr>
        <xdr:cNvPr id="3519" name="Picture 3518" descr="Insight Picture 3518">
          <a:extLst>
            <a:ext uri="{FF2B5EF4-FFF2-40B4-BE49-F238E27FC236}">
              <a16:creationId xmlns:a16="http://schemas.microsoft.com/office/drawing/2014/main" id="{9A81E0A9-0A7D-6C1C-9E2B-2068AFF74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9"/>
        <a:stretch>
          <a:fillRect/>
        </a:stretch>
      </xdr:blipFill>
      <xdr:spPr>
        <a:xfrm>
          <a:off x="814625" y="1561452995"/>
          <a:ext cx="1007269" cy="935831"/>
        </a:xfrm>
        <a:prstGeom prst="rect">
          <a:avLst/>
        </a:prstGeom>
      </xdr:spPr>
    </xdr:pic>
    <xdr:clientData/>
  </xdr:twoCellAnchor>
  <xdr:twoCellAnchor editAs="oneCell">
    <xdr:from>
      <xdr:col>0</xdr:col>
      <xdr:colOff>818198</xdr:colOff>
      <xdr:row>1760</xdr:row>
      <xdr:rowOff>61238</xdr:rowOff>
    </xdr:from>
    <xdr:to>
      <xdr:col>0</xdr:col>
      <xdr:colOff>1818323</xdr:colOff>
      <xdr:row>1760</xdr:row>
      <xdr:rowOff>1097082</xdr:rowOff>
    </xdr:to>
    <xdr:pic>
      <xdr:nvPicPr>
        <xdr:cNvPr id="3521" name="Picture 3520" descr="Insight Picture 3520">
          <a:extLst>
            <a:ext uri="{FF2B5EF4-FFF2-40B4-BE49-F238E27FC236}">
              <a16:creationId xmlns:a16="http://schemas.microsoft.com/office/drawing/2014/main" id="{86B0CDE1-7E7D-31CD-E840-05BB74B62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0"/>
        <a:stretch>
          <a:fillRect/>
        </a:stretch>
      </xdr:blipFill>
      <xdr:spPr>
        <a:xfrm>
          <a:off x="818198" y="1562511758"/>
          <a:ext cx="1000125" cy="1035844"/>
        </a:xfrm>
        <a:prstGeom prst="rect">
          <a:avLst/>
        </a:prstGeom>
      </xdr:spPr>
    </xdr:pic>
    <xdr:clientData/>
  </xdr:twoCellAnchor>
  <xdr:twoCellAnchor editAs="oneCell">
    <xdr:from>
      <xdr:col>0</xdr:col>
      <xdr:colOff>882491</xdr:colOff>
      <xdr:row>1761</xdr:row>
      <xdr:rowOff>60682</xdr:rowOff>
    </xdr:from>
    <xdr:to>
      <xdr:col>0</xdr:col>
      <xdr:colOff>1754029</xdr:colOff>
      <xdr:row>1761</xdr:row>
      <xdr:rowOff>1082238</xdr:rowOff>
    </xdr:to>
    <xdr:pic>
      <xdr:nvPicPr>
        <xdr:cNvPr id="3523" name="Picture 3522" descr="Insight Picture 3522">
          <a:extLst>
            <a:ext uri="{FF2B5EF4-FFF2-40B4-BE49-F238E27FC236}">
              <a16:creationId xmlns:a16="http://schemas.microsoft.com/office/drawing/2014/main" id="{B8AE3A6B-1273-D2DD-4D93-B84362B0B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1"/>
        <a:stretch>
          <a:fillRect/>
        </a:stretch>
      </xdr:blipFill>
      <xdr:spPr>
        <a:xfrm>
          <a:off x="882491" y="1563669442"/>
          <a:ext cx="871538" cy="1021556"/>
        </a:xfrm>
        <a:prstGeom prst="rect">
          <a:avLst/>
        </a:prstGeom>
      </xdr:spPr>
    </xdr:pic>
    <xdr:clientData/>
  </xdr:twoCellAnchor>
  <xdr:twoCellAnchor editAs="oneCell">
    <xdr:from>
      <xdr:col>0</xdr:col>
      <xdr:colOff>843200</xdr:colOff>
      <xdr:row>1762</xdr:row>
      <xdr:rowOff>63857</xdr:rowOff>
    </xdr:from>
    <xdr:to>
      <xdr:col>0</xdr:col>
      <xdr:colOff>1793319</xdr:colOff>
      <xdr:row>1762</xdr:row>
      <xdr:rowOff>949682</xdr:rowOff>
    </xdr:to>
    <xdr:pic>
      <xdr:nvPicPr>
        <xdr:cNvPr id="3525" name="Picture 3524" descr="Insight Picture 3524">
          <a:extLst>
            <a:ext uri="{FF2B5EF4-FFF2-40B4-BE49-F238E27FC236}">
              <a16:creationId xmlns:a16="http://schemas.microsoft.com/office/drawing/2014/main" id="{EA4B9AFA-BC7C-D8E4-5872-FCE17F104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2"/>
        <a:stretch>
          <a:fillRect/>
        </a:stretch>
      </xdr:blipFill>
      <xdr:spPr>
        <a:xfrm>
          <a:off x="843200" y="1564815617"/>
          <a:ext cx="950119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853916</xdr:colOff>
      <xdr:row>1763</xdr:row>
      <xdr:rowOff>63818</xdr:rowOff>
    </xdr:from>
    <xdr:to>
      <xdr:col>0</xdr:col>
      <xdr:colOff>1782604</xdr:colOff>
      <xdr:row>1763</xdr:row>
      <xdr:rowOff>835343</xdr:rowOff>
    </xdr:to>
    <xdr:pic>
      <xdr:nvPicPr>
        <xdr:cNvPr id="3527" name="Picture 3526" descr="Insight Picture 3526">
          <a:extLst>
            <a:ext uri="{FF2B5EF4-FFF2-40B4-BE49-F238E27FC236}">
              <a16:creationId xmlns:a16="http://schemas.microsoft.com/office/drawing/2014/main" id="{6AF55621-B100-D2E1-243C-DC2B80EFC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3"/>
        <a:stretch>
          <a:fillRect/>
        </a:stretch>
      </xdr:blipFill>
      <xdr:spPr>
        <a:xfrm>
          <a:off x="853916" y="1565829038"/>
          <a:ext cx="928688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864632</xdr:colOff>
      <xdr:row>1764</xdr:row>
      <xdr:rowOff>62885</xdr:rowOff>
    </xdr:from>
    <xdr:to>
      <xdr:col>0</xdr:col>
      <xdr:colOff>1771888</xdr:colOff>
      <xdr:row>1764</xdr:row>
      <xdr:rowOff>1263035</xdr:rowOff>
    </xdr:to>
    <xdr:pic>
      <xdr:nvPicPr>
        <xdr:cNvPr id="3529" name="Picture 3528" descr="Insight Picture 3528">
          <a:extLst>
            <a:ext uri="{FF2B5EF4-FFF2-40B4-BE49-F238E27FC236}">
              <a16:creationId xmlns:a16="http://schemas.microsoft.com/office/drawing/2014/main" id="{B2B9E0F9-3B76-A9CC-07F3-8B2EF32EF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4"/>
        <a:stretch>
          <a:fillRect/>
        </a:stretch>
      </xdr:blipFill>
      <xdr:spPr>
        <a:xfrm>
          <a:off x="864632" y="1566727265"/>
          <a:ext cx="907256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925353</xdr:colOff>
      <xdr:row>1765</xdr:row>
      <xdr:rowOff>63560</xdr:rowOff>
    </xdr:from>
    <xdr:to>
      <xdr:col>0</xdr:col>
      <xdr:colOff>1711166</xdr:colOff>
      <xdr:row>1765</xdr:row>
      <xdr:rowOff>1285141</xdr:rowOff>
    </xdr:to>
    <xdr:pic>
      <xdr:nvPicPr>
        <xdr:cNvPr id="3531" name="Picture 3530" descr="Insight Picture 3530">
          <a:extLst>
            <a:ext uri="{FF2B5EF4-FFF2-40B4-BE49-F238E27FC236}">
              <a16:creationId xmlns:a16="http://schemas.microsoft.com/office/drawing/2014/main" id="{4CCCF407-2BCD-7945-8A8F-38525FC11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5"/>
        <a:stretch>
          <a:fillRect/>
        </a:stretch>
      </xdr:blipFill>
      <xdr:spPr>
        <a:xfrm>
          <a:off x="925353" y="1568053820"/>
          <a:ext cx="785813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643175</xdr:colOff>
      <xdr:row>1766</xdr:row>
      <xdr:rowOff>61218</xdr:rowOff>
    </xdr:from>
    <xdr:to>
      <xdr:col>0</xdr:col>
      <xdr:colOff>1993344</xdr:colOff>
      <xdr:row>1766</xdr:row>
      <xdr:rowOff>754162</xdr:rowOff>
    </xdr:to>
    <xdr:pic>
      <xdr:nvPicPr>
        <xdr:cNvPr id="3533" name="Picture 3532" descr="Insight Picture 3532">
          <a:extLst>
            <a:ext uri="{FF2B5EF4-FFF2-40B4-BE49-F238E27FC236}">
              <a16:creationId xmlns:a16="http://schemas.microsoft.com/office/drawing/2014/main" id="{68D89FAA-D354-CB20-3D67-01C0B5A42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6"/>
        <a:stretch>
          <a:fillRect/>
        </a:stretch>
      </xdr:blipFill>
      <xdr:spPr>
        <a:xfrm>
          <a:off x="643175" y="1569400218"/>
          <a:ext cx="1350169" cy="692944"/>
        </a:xfrm>
        <a:prstGeom prst="rect">
          <a:avLst/>
        </a:prstGeom>
      </xdr:spPr>
    </xdr:pic>
    <xdr:clientData/>
  </xdr:twoCellAnchor>
  <xdr:twoCellAnchor editAs="oneCell">
    <xdr:from>
      <xdr:col>0</xdr:col>
      <xdr:colOff>821770</xdr:colOff>
      <xdr:row>1767</xdr:row>
      <xdr:rowOff>62349</xdr:rowOff>
    </xdr:from>
    <xdr:to>
      <xdr:col>0</xdr:col>
      <xdr:colOff>1814751</xdr:colOff>
      <xdr:row>1767</xdr:row>
      <xdr:rowOff>1248212</xdr:rowOff>
    </xdr:to>
    <xdr:pic>
      <xdr:nvPicPr>
        <xdr:cNvPr id="3535" name="Picture 3534" descr="Insight Picture 3534">
          <a:extLst>
            <a:ext uri="{FF2B5EF4-FFF2-40B4-BE49-F238E27FC236}">
              <a16:creationId xmlns:a16="http://schemas.microsoft.com/office/drawing/2014/main" id="{9B4F5912-BFA4-0617-09EA-1BCF232AD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7"/>
        <a:stretch>
          <a:fillRect/>
        </a:stretch>
      </xdr:blipFill>
      <xdr:spPr>
        <a:xfrm>
          <a:off x="821770" y="1570216689"/>
          <a:ext cx="992981" cy="1185863"/>
        </a:xfrm>
        <a:prstGeom prst="rect">
          <a:avLst/>
        </a:prstGeom>
      </xdr:spPr>
    </xdr:pic>
    <xdr:clientData/>
  </xdr:twoCellAnchor>
  <xdr:twoCellAnchor editAs="oneCell">
    <xdr:from>
      <xdr:col>0</xdr:col>
      <xdr:colOff>753903</xdr:colOff>
      <xdr:row>1768</xdr:row>
      <xdr:rowOff>61198</xdr:rowOff>
    </xdr:from>
    <xdr:to>
      <xdr:col>0</xdr:col>
      <xdr:colOff>1882616</xdr:colOff>
      <xdr:row>1768</xdr:row>
      <xdr:rowOff>868442</xdr:rowOff>
    </xdr:to>
    <xdr:pic>
      <xdr:nvPicPr>
        <xdr:cNvPr id="3537" name="Picture 3536" descr="Insight Picture 3536">
          <a:extLst>
            <a:ext uri="{FF2B5EF4-FFF2-40B4-BE49-F238E27FC236}">
              <a16:creationId xmlns:a16="http://schemas.microsoft.com/office/drawing/2014/main" id="{AE91456E-525D-9BB8-40E3-FE0A8C6C8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8"/>
        <a:stretch>
          <a:fillRect/>
        </a:stretch>
      </xdr:blipFill>
      <xdr:spPr>
        <a:xfrm>
          <a:off x="753903" y="1571526178"/>
          <a:ext cx="1128713" cy="807244"/>
        </a:xfrm>
        <a:prstGeom prst="rect">
          <a:avLst/>
        </a:prstGeom>
      </xdr:spPr>
    </xdr:pic>
    <xdr:clientData/>
  </xdr:twoCellAnchor>
  <xdr:twoCellAnchor editAs="oneCell">
    <xdr:from>
      <xdr:col>0</xdr:col>
      <xdr:colOff>739616</xdr:colOff>
      <xdr:row>1769</xdr:row>
      <xdr:rowOff>63818</xdr:rowOff>
    </xdr:from>
    <xdr:to>
      <xdr:col>0</xdr:col>
      <xdr:colOff>1896904</xdr:colOff>
      <xdr:row>1769</xdr:row>
      <xdr:rowOff>835343</xdr:rowOff>
    </xdr:to>
    <xdr:pic>
      <xdr:nvPicPr>
        <xdr:cNvPr id="3539" name="Picture 3538" descr="Insight Picture 3538">
          <a:extLst>
            <a:ext uri="{FF2B5EF4-FFF2-40B4-BE49-F238E27FC236}">
              <a16:creationId xmlns:a16="http://schemas.microsoft.com/office/drawing/2014/main" id="{AE82D9C9-CE63-9CDC-4637-297A650B5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9"/>
        <a:stretch>
          <a:fillRect/>
        </a:stretch>
      </xdr:blipFill>
      <xdr:spPr>
        <a:xfrm>
          <a:off x="739616" y="1572458438"/>
          <a:ext cx="1157288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682466</xdr:colOff>
      <xdr:row>1770</xdr:row>
      <xdr:rowOff>60702</xdr:rowOff>
    </xdr:from>
    <xdr:to>
      <xdr:col>0</xdr:col>
      <xdr:colOff>1954054</xdr:colOff>
      <xdr:row>1770</xdr:row>
      <xdr:rowOff>853658</xdr:rowOff>
    </xdr:to>
    <xdr:pic>
      <xdr:nvPicPr>
        <xdr:cNvPr id="3541" name="Picture 3540" descr="Insight Picture 3540">
          <a:extLst>
            <a:ext uri="{FF2B5EF4-FFF2-40B4-BE49-F238E27FC236}">
              <a16:creationId xmlns:a16="http://schemas.microsoft.com/office/drawing/2014/main" id="{F12BDBEE-862E-CB9E-A132-9B4D28E18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0"/>
        <a:stretch>
          <a:fillRect/>
        </a:stretch>
      </xdr:blipFill>
      <xdr:spPr>
        <a:xfrm>
          <a:off x="682466" y="1573354482"/>
          <a:ext cx="1271588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707470</xdr:colOff>
      <xdr:row>1771</xdr:row>
      <xdr:rowOff>61198</xdr:rowOff>
    </xdr:from>
    <xdr:to>
      <xdr:col>0</xdr:col>
      <xdr:colOff>1929051</xdr:colOff>
      <xdr:row>1771</xdr:row>
      <xdr:rowOff>754142</xdr:rowOff>
    </xdr:to>
    <xdr:pic>
      <xdr:nvPicPr>
        <xdr:cNvPr id="3543" name="Picture 3542" descr="Insight Picture 3542">
          <a:extLst>
            <a:ext uri="{FF2B5EF4-FFF2-40B4-BE49-F238E27FC236}">
              <a16:creationId xmlns:a16="http://schemas.microsoft.com/office/drawing/2014/main" id="{6CDB7E12-AE37-9926-AAFF-CE315E6D8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1"/>
        <a:stretch>
          <a:fillRect/>
        </a:stretch>
      </xdr:blipFill>
      <xdr:spPr>
        <a:xfrm>
          <a:off x="707470" y="1574269378"/>
          <a:ext cx="1221581" cy="692944"/>
        </a:xfrm>
        <a:prstGeom prst="rect">
          <a:avLst/>
        </a:prstGeom>
      </xdr:spPr>
    </xdr:pic>
    <xdr:clientData/>
  </xdr:twoCellAnchor>
  <xdr:twoCellAnchor editAs="oneCell">
    <xdr:from>
      <xdr:col>0</xdr:col>
      <xdr:colOff>682466</xdr:colOff>
      <xdr:row>1772</xdr:row>
      <xdr:rowOff>61238</xdr:rowOff>
    </xdr:from>
    <xdr:to>
      <xdr:col>0</xdr:col>
      <xdr:colOff>1954054</xdr:colOff>
      <xdr:row>1772</xdr:row>
      <xdr:rowOff>1097082</xdr:rowOff>
    </xdr:to>
    <xdr:pic>
      <xdr:nvPicPr>
        <xdr:cNvPr id="3545" name="Picture 3544" descr="Insight Picture 3544">
          <a:extLst>
            <a:ext uri="{FF2B5EF4-FFF2-40B4-BE49-F238E27FC236}">
              <a16:creationId xmlns:a16="http://schemas.microsoft.com/office/drawing/2014/main" id="{33B46577-3988-0B7B-030C-9122C7B44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2"/>
        <a:stretch>
          <a:fillRect/>
        </a:stretch>
      </xdr:blipFill>
      <xdr:spPr>
        <a:xfrm>
          <a:off x="682466" y="1575084758"/>
          <a:ext cx="1271588" cy="1035844"/>
        </a:xfrm>
        <a:prstGeom prst="rect">
          <a:avLst/>
        </a:prstGeom>
      </xdr:spPr>
    </xdr:pic>
    <xdr:clientData/>
  </xdr:twoCellAnchor>
  <xdr:twoCellAnchor editAs="oneCell">
    <xdr:from>
      <xdr:col>0</xdr:col>
      <xdr:colOff>368141</xdr:colOff>
      <xdr:row>1773</xdr:row>
      <xdr:rowOff>63361</xdr:rowOff>
    </xdr:from>
    <xdr:to>
      <xdr:col>0</xdr:col>
      <xdr:colOff>2268379</xdr:colOff>
      <xdr:row>1773</xdr:row>
      <xdr:rowOff>706299</xdr:rowOff>
    </xdr:to>
    <xdr:pic>
      <xdr:nvPicPr>
        <xdr:cNvPr id="3547" name="Picture 3546" descr="Insight Picture 3546">
          <a:extLst>
            <a:ext uri="{FF2B5EF4-FFF2-40B4-BE49-F238E27FC236}">
              <a16:creationId xmlns:a16="http://schemas.microsoft.com/office/drawing/2014/main" id="{BB61C9A1-8316-D1C5-77BE-4D4EA775D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3"/>
        <a:stretch>
          <a:fillRect/>
        </a:stretch>
      </xdr:blipFill>
      <xdr:spPr>
        <a:xfrm>
          <a:off x="368141" y="1576245121"/>
          <a:ext cx="1900238" cy="642938"/>
        </a:xfrm>
        <a:prstGeom prst="rect">
          <a:avLst/>
        </a:prstGeom>
      </xdr:spPr>
    </xdr:pic>
    <xdr:clientData/>
  </xdr:twoCellAnchor>
  <xdr:twoCellAnchor editAs="oneCell">
    <xdr:from>
      <xdr:col>0</xdr:col>
      <xdr:colOff>643175</xdr:colOff>
      <xdr:row>1774</xdr:row>
      <xdr:rowOff>62190</xdr:rowOff>
    </xdr:from>
    <xdr:to>
      <xdr:col>0</xdr:col>
      <xdr:colOff>1993344</xdr:colOff>
      <xdr:row>1774</xdr:row>
      <xdr:rowOff>1126609</xdr:rowOff>
    </xdr:to>
    <xdr:pic>
      <xdr:nvPicPr>
        <xdr:cNvPr id="3549" name="Picture 3548" descr="Insight Picture 3548">
          <a:extLst>
            <a:ext uri="{FF2B5EF4-FFF2-40B4-BE49-F238E27FC236}">
              <a16:creationId xmlns:a16="http://schemas.microsoft.com/office/drawing/2014/main" id="{AEEFB83C-FA83-26C7-828F-3AA6B8410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4"/>
        <a:stretch>
          <a:fillRect/>
        </a:stretch>
      </xdr:blipFill>
      <xdr:spPr>
        <a:xfrm>
          <a:off x="643175" y="1577013570"/>
          <a:ext cx="1350169" cy="1064419"/>
        </a:xfrm>
        <a:prstGeom prst="rect">
          <a:avLst/>
        </a:prstGeom>
      </xdr:spPr>
    </xdr:pic>
    <xdr:clientData/>
  </xdr:twoCellAnchor>
  <xdr:twoCellAnchor editAs="oneCell">
    <xdr:from>
      <xdr:col>0</xdr:col>
      <xdr:colOff>750332</xdr:colOff>
      <xdr:row>1775</xdr:row>
      <xdr:rowOff>62905</xdr:rowOff>
    </xdr:from>
    <xdr:to>
      <xdr:col>0</xdr:col>
      <xdr:colOff>1886188</xdr:colOff>
      <xdr:row>1775</xdr:row>
      <xdr:rowOff>1148755</xdr:rowOff>
    </xdr:to>
    <xdr:pic>
      <xdr:nvPicPr>
        <xdr:cNvPr id="3551" name="Picture 3550" descr="Insight Picture 3550">
          <a:extLst>
            <a:ext uri="{FF2B5EF4-FFF2-40B4-BE49-F238E27FC236}">
              <a16:creationId xmlns:a16="http://schemas.microsoft.com/office/drawing/2014/main" id="{47B705C9-9506-5749-7A5A-EF6518893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5"/>
        <a:stretch>
          <a:fillRect/>
        </a:stretch>
      </xdr:blipFill>
      <xdr:spPr>
        <a:xfrm>
          <a:off x="750332" y="1578203005"/>
          <a:ext cx="1135856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686038</xdr:colOff>
      <xdr:row>1776</xdr:row>
      <xdr:rowOff>61198</xdr:rowOff>
    </xdr:from>
    <xdr:to>
      <xdr:col>0</xdr:col>
      <xdr:colOff>1950482</xdr:colOff>
      <xdr:row>1776</xdr:row>
      <xdr:rowOff>639842</xdr:rowOff>
    </xdr:to>
    <xdr:pic>
      <xdr:nvPicPr>
        <xdr:cNvPr id="3553" name="Picture 3552" descr="Insight Picture 3552">
          <a:extLst>
            <a:ext uri="{FF2B5EF4-FFF2-40B4-BE49-F238E27FC236}">
              <a16:creationId xmlns:a16="http://schemas.microsoft.com/office/drawing/2014/main" id="{2A5D11A8-2F3F-CB3C-5EC1-0D83E7104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6"/>
        <a:stretch>
          <a:fillRect/>
        </a:stretch>
      </xdr:blipFill>
      <xdr:spPr>
        <a:xfrm>
          <a:off x="686038" y="1579412878"/>
          <a:ext cx="1264444" cy="578644"/>
        </a:xfrm>
        <a:prstGeom prst="rect">
          <a:avLst/>
        </a:prstGeom>
      </xdr:spPr>
    </xdr:pic>
    <xdr:clientData/>
  </xdr:twoCellAnchor>
  <xdr:twoCellAnchor editAs="oneCell">
    <xdr:from>
      <xdr:col>0</xdr:col>
      <xdr:colOff>746760</xdr:colOff>
      <xdr:row>1777</xdr:row>
      <xdr:rowOff>63619</xdr:rowOff>
    </xdr:from>
    <xdr:to>
      <xdr:col>0</xdr:col>
      <xdr:colOff>1889760</xdr:colOff>
      <xdr:row>1777</xdr:row>
      <xdr:rowOff>1056600</xdr:rowOff>
    </xdr:to>
    <xdr:pic>
      <xdr:nvPicPr>
        <xdr:cNvPr id="3555" name="Picture 3554" descr="Insight Picture 3554">
          <a:extLst>
            <a:ext uri="{FF2B5EF4-FFF2-40B4-BE49-F238E27FC236}">
              <a16:creationId xmlns:a16="http://schemas.microsoft.com/office/drawing/2014/main" id="{C521B719-D379-E3AC-C64A-ABBF3DFB3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7"/>
        <a:stretch>
          <a:fillRect/>
        </a:stretch>
      </xdr:blipFill>
      <xdr:spPr>
        <a:xfrm>
          <a:off x="746760" y="1580116339"/>
          <a:ext cx="1143000" cy="992981"/>
        </a:xfrm>
        <a:prstGeom prst="rect">
          <a:avLst/>
        </a:prstGeom>
      </xdr:spPr>
    </xdr:pic>
    <xdr:clientData/>
  </xdr:twoCellAnchor>
  <xdr:twoCellAnchor editAs="oneCell">
    <xdr:from>
      <xdr:col>0</xdr:col>
      <xdr:colOff>689610</xdr:colOff>
      <xdr:row>1778</xdr:row>
      <xdr:rowOff>60484</xdr:rowOff>
    </xdr:from>
    <xdr:to>
      <xdr:col>0</xdr:col>
      <xdr:colOff>1946910</xdr:colOff>
      <xdr:row>1778</xdr:row>
      <xdr:rowOff>846297</xdr:rowOff>
    </xdr:to>
    <xdr:pic>
      <xdr:nvPicPr>
        <xdr:cNvPr id="3557" name="Picture 3556" descr="Insight Picture 3556">
          <a:extLst>
            <a:ext uri="{FF2B5EF4-FFF2-40B4-BE49-F238E27FC236}">
              <a16:creationId xmlns:a16="http://schemas.microsoft.com/office/drawing/2014/main" id="{BD71B4CE-C8B1-80C3-E4C0-669ADEFC7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8"/>
        <a:stretch>
          <a:fillRect/>
        </a:stretch>
      </xdr:blipFill>
      <xdr:spPr>
        <a:xfrm>
          <a:off x="689610" y="1581233344"/>
          <a:ext cx="1257300" cy="785813"/>
        </a:xfrm>
        <a:prstGeom prst="rect">
          <a:avLst/>
        </a:prstGeom>
      </xdr:spPr>
    </xdr:pic>
    <xdr:clientData/>
  </xdr:twoCellAnchor>
  <xdr:twoCellAnchor editAs="oneCell">
    <xdr:from>
      <xdr:col>0</xdr:col>
      <xdr:colOff>803910</xdr:colOff>
      <xdr:row>1779</xdr:row>
      <xdr:rowOff>60265</xdr:rowOff>
    </xdr:from>
    <xdr:to>
      <xdr:col>0</xdr:col>
      <xdr:colOff>1832610</xdr:colOff>
      <xdr:row>1779</xdr:row>
      <xdr:rowOff>838934</xdr:rowOff>
    </xdr:to>
    <xdr:pic>
      <xdr:nvPicPr>
        <xdr:cNvPr id="3559" name="Picture 3558" descr="Insight Picture 3558">
          <a:extLst>
            <a:ext uri="{FF2B5EF4-FFF2-40B4-BE49-F238E27FC236}">
              <a16:creationId xmlns:a16="http://schemas.microsoft.com/office/drawing/2014/main" id="{B5240DA6-3078-C8C2-49A6-EC9C1C499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9"/>
        <a:stretch>
          <a:fillRect/>
        </a:stretch>
      </xdr:blipFill>
      <xdr:spPr>
        <a:xfrm>
          <a:off x="803910" y="1582139905"/>
          <a:ext cx="1028700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861060</xdr:colOff>
      <xdr:row>1780</xdr:row>
      <xdr:rowOff>61416</xdr:rowOff>
    </xdr:from>
    <xdr:to>
      <xdr:col>0</xdr:col>
      <xdr:colOff>1775460</xdr:colOff>
      <xdr:row>1780</xdr:row>
      <xdr:rowOff>1218704</xdr:rowOff>
    </xdr:to>
    <xdr:pic>
      <xdr:nvPicPr>
        <xdr:cNvPr id="3561" name="Picture 3560" descr="Insight Picture 3560">
          <a:extLst>
            <a:ext uri="{FF2B5EF4-FFF2-40B4-BE49-F238E27FC236}">
              <a16:creationId xmlns:a16="http://schemas.microsoft.com/office/drawing/2014/main" id="{7ED79395-C3C1-4FE9-8281-A4599BC52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0"/>
        <a:stretch>
          <a:fillRect/>
        </a:stretch>
      </xdr:blipFill>
      <xdr:spPr>
        <a:xfrm>
          <a:off x="861060" y="1583040216"/>
          <a:ext cx="914400" cy="1157288"/>
        </a:xfrm>
        <a:prstGeom prst="rect">
          <a:avLst/>
        </a:prstGeom>
      </xdr:spPr>
    </xdr:pic>
    <xdr:clientData/>
  </xdr:twoCellAnchor>
  <xdr:twoCellAnchor editAs="oneCell">
    <xdr:from>
      <xdr:col>0</xdr:col>
      <xdr:colOff>603885</xdr:colOff>
      <xdr:row>1781</xdr:row>
      <xdr:rowOff>61674</xdr:rowOff>
    </xdr:from>
    <xdr:to>
      <xdr:col>0</xdr:col>
      <xdr:colOff>2032635</xdr:colOff>
      <xdr:row>1781</xdr:row>
      <xdr:rowOff>997505</xdr:rowOff>
    </xdr:to>
    <xdr:pic>
      <xdr:nvPicPr>
        <xdr:cNvPr id="3563" name="Picture 3562" descr="Insight Picture 3562">
          <a:extLst>
            <a:ext uri="{FF2B5EF4-FFF2-40B4-BE49-F238E27FC236}">
              <a16:creationId xmlns:a16="http://schemas.microsoft.com/office/drawing/2014/main" id="{199EBD6B-5E1D-5185-7109-418CDE0C1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1"/>
        <a:stretch>
          <a:fillRect/>
        </a:stretch>
      </xdr:blipFill>
      <xdr:spPr>
        <a:xfrm>
          <a:off x="603885" y="1584320634"/>
          <a:ext cx="1428750" cy="935831"/>
        </a:xfrm>
        <a:prstGeom prst="rect">
          <a:avLst/>
        </a:prstGeom>
      </xdr:spPr>
    </xdr:pic>
    <xdr:clientData/>
  </xdr:twoCellAnchor>
  <xdr:twoCellAnchor editAs="oneCell">
    <xdr:from>
      <xdr:col>0</xdr:col>
      <xdr:colOff>864632</xdr:colOff>
      <xdr:row>1782</xdr:row>
      <xdr:rowOff>61158</xdr:rowOff>
    </xdr:from>
    <xdr:to>
      <xdr:col>0</xdr:col>
      <xdr:colOff>1771888</xdr:colOff>
      <xdr:row>1782</xdr:row>
      <xdr:rowOff>1097002</xdr:rowOff>
    </xdr:to>
    <xdr:pic>
      <xdr:nvPicPr>
        <xdr:cNvPr id="3565" name="Picture 3564" descr="Insight Picture 3564">
          <a:extLst>
            <a:ext uri="{FF2B5EF4-FFF2-40B4-BE49-F238E27FC236}">
              <a16:creationId xmlns:a16="http://schemas.microsoft.com/office/drawing/2014/main" id="{F2811C88-346A-A46F-11C0-239E791F7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2"/>
        <a:stretch>
          <a:fillRect/>
        </a:stretch>
      </xdr:blipFill>
      <xdr:spPr>
        <a:xfrm>
          <a:off x="864632" y="1585379298"/>
          <a:ext cx="907256" cy="1035844"/>
        </a:xfrm>
        <a:prstGeom prst="rect">
          <a:avLst/>
        </a:prstGeom>
      </xdr:spPr>
    </xdr:pic>
    <xdr:clientData/>
  </xdr:twoCellAnchor>
  <xdr:twoCellAnchor editAs="oneCell">
    <xdr:from>
      <xdr:col>0</xdr:col>
      <xdr:colOff>861060</xdr:colOff>
      <xdr:row>1783</xdr:row>
      <xdr:rowOff>61198</xdr:rowOff>
    </xdr:from>
    <xdr:to>
      <xdr:col>0</xdr:col>
      <xdr:colOff>1775460</xdr:colOff>
      <xdr:row>1783</xdr:row>
      <xdr:rowOff>1211342</xdr:rowOff>
    </xdr:to>
    <xdr:pic>
      <xdr:nvPicPr>
        <xdr:cNvPr id="3567" name="Picture 3566" descr="Insight Picture 3566">
          <a:extLst>
            <a:ext uri="{FF2B5EF4-FFF2-40B4-BE49-F238E27FC236}">
              <a16:creationId xmlns:a16="http://schemas.microsoft.com/office/drawing/2014/main" id="{E34EC7AF-1B55-2DEC-BE05-66C16FBF8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3"/>
        <a:stretch>
          <a:fillRect/>
        </a:stretch>
      </xdr:blipFill>
      <xdr:spPr>
        <a:xfrm>
          <a:off x="861060" y="1586537578"/>
          <a:ext cx="914400" cy="1150144"/>
        </a:xfrm>
        <a:prstGeom prst="rect">
          <a:avLst/>
        </a:prstGeom>
      </xdr:spPr>
    </xdr:pic>
    <xdr:clientData/>
  </xdr:twoCellAnchor>
  <xdr:twoCellAnchor editAs="oneCell">
    <xdr:from>
      <xdr:col>0</xdr:col>
      <xdr:colOff>603885</xdr:colOff>
      <xdr:row>1784</xdr:row>
      <xdr:rowOff>63619</xdr:rowOff>
    </xdr:from>
    <xdr:to>
      <xdr:col>0</xdr:col>
      <xdr:colOff>2032635</xdr:colOff>
      <xdr:row>1784</xdr:row>
      <xdr:rowOff>1285200</xdr:rowOff>
    </xdr:to>
    <xdr:pic>
      <xdr:nvPicPr>
        <xdr:cNvPr id="3569" name="Picture 3568" descr="Insight Picture 3568">
          <a:extLst>
            <a:ext uri="{FF2B5EF4-FFF2-40B4-BE49-F238E27FC236}">
              <a16:creationId xmlns:a16="http://schemas.microsoft.com/office/drawing/2014/main" id="{231DDEAF-6C9E-749C-1105-4F5B4FFE3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4"/>
        <a:stretch>
          <a:fillRect/>
        </a:stretch>
      </xdr:blipFill>
      <xdr:spPr>
        <a:xfrm>
          <a:off x="603885" y="1587812539"/>
          <a:ext cx="1428750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839628</xdr:colOff>
      <xdr:row>1785</xdr:row>
      <xdr:rowOff>60980</xdr:rowOff>
    </xdr:from>
    <xdr:to>
      <xdr:col>0</xdr:col>
      <xdr:colOff>1796891</xdr:colOff>
      <xdr:row>1785</xdr:row>
      <xdr:rowOff>1089680</xdr:rowOff>
    </xdr:to>
    <xdr:pic>
      <xdr:nvPicPr>
        <xdr:cNvPr id="3571" name="Picture 3570" descr="Insight Picture 3570">
          <a:extLst>
            <a:ext uri="{FF2B5EF4-FFF2-40B4-BE49-F238E27FC236}">
              <a16:creationId xmlns:a16="http://schemas.microsoft.com/office/drawing/2014/main" id="{8356762F-E1AC-8573-E189-0AC76AC58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5"/>
        <a:stretch>
          <a:fillRect/>
        </a:stretch>
      </xdr:blipFill>
      <xdr:spPr>
        <a:xfrm>
          <a:off x="839628" y="1589158640"/>
          <a:ext cx="957263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575310</xdr:colOff>
      <xdr:row>1786</xdr:row>
      <xdr:rowOff>61198</xdr:rowOff>
    </xdr:from>
    <xdr:to>
      <xdr:col>0</xdr:col>
      <xdr:colOff>2061210</xdr:colOff>
      <xdr:row>1786</xdr:row>
      <xdr:rowOff>1097042</xdr:rowOff>
    </xdr:to>
    <xdr:pic>
      <xdr:nvPicPr>
        <xdr:cNvPr id="3573" name="Picture 3572" descr="Insight Picture 3572">
          <a:extLst>
            <a:ext uri="{FF2B5EF4-FFF2-40B4-BE49-F238E27FC236}">
              <a16:creationId xmlns:a16="http://schemas.microsoft.com/office/drawing/2014/main" id="{0FE438A5-4C80-4AEC-021F-34BDB746E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6"/>
        <a:stretch>
          <a:fillRect/>
        </a:stretch>
      </xdr:blipFill>
      <xdr:spPr>
        <a:xfrm>
          <a:off x="575310" y="1590309478"/>
          <a:ext cx="1485900" cy="1035844"/>
        </a:xfrm>
        <a:prstGeom prst="rect">
          <a:avLst/>
        </a:prstGeom>
      </xdr:spPr>
    </xdr:pic>
    <xdr:clientData/>
  </xdr:twoCellAnchor>
  <xdr:twoCellAnchor editAs="oneCell">
    <xdr:from>
      <xdr:col>0</xdr:col>
      <xdr:colOff>600313</xdr:colOff>
      <xdr:row>1787</xdr:row>
      <xdr:rowOff>60742</xdr:rowOff>
    </xdr:from>
    <xdr:to>
      <xdr:col>0</xdr:col>
      <xdr:colOff>2036207</xdr:colOff>
      <xdr:row>1787</xdr:row>
      <xdr:rowOff>853698</xdr:rowOff>
    </xdr:to>
    <xdr:pic>
      <xdr:nvPicPr>
        <xdr:cNvPr id="3575" name="Picture 3574" descr="Insight Picture 3574">
          <a:extLst>
            <a:ext uri="{FF2B5EF4-FFF2-40B4-BE49-F238E27FC236}">
              <a16:creationId xmlns:a16="http://schemas.microsoft.com/office/drawing/2014/main" id="{1DB7253A-4CAF-D50F-8AD3-FE1359A92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7"/>
        <a:stretch>
          <a:fillRect/>
        </a:stretch>
      </xdr:blipFill>
      <xdr:spPr>
        <a:xfrm>
          <a:off x="600313" y="1591467262"/>
          <a:ext cx="1435894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911066</xdr:colOff>
      <xdr:row>1788</xdr:row>
      <xdr:rowOff>61238</xdr:rowOff>
    </xdr:from>
    <xdr:to>
      <xdr:col>0</xdr:col>
      <xdr:colOff>1725454</xdr:colOff>
      <xdr:row>1788</xdr:row>
      <xdr:rowOff>868482</xdr:rowOff>
    </xdr:to>
    <xdr:pic>
      <xdr:nvPicPr>
        <xdr:cNvPr id="3577" name="Picture 3576" descr="Insight Picture 3576">
          <a:extLst>
            <a:ext uri="{FF2B5EF4-FFF2-40B4-BE49-F238E27FC236}">
              <a16:creationId xmlns:a16="http://schemas.microsoft.com/office/drawing/2014/main" id="{9D99121F-B521-D67C-B1AE-326672A93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8"/>
        <a:stretch>
          <a:fillRect/>
        </a:stretch>
      </xdr:blipFill>
      <xdr:spPr>
        <a:xfrm>
          <a:off x="911066" y="1592382158"/>
          <a:ext cx="814388" cy="807244"/>
        </a:xfrm>
        <a:prstGeom prst="rect">
          <a:avLst/>
        </a:prstGeom>
      </xdr:spPr>
    </xdr:pic>
    <xdr:clientData/>
  </xdr:twoCellAnchor>
  <xdr:twoCellAnchor editAs="oneCell">
    <xdr:from>
      <xdr:col>0</xdr:col>
      <xdr:colOff>793195</xdr:colOff>
      <xdr:row>1789</xdr:row>
      <xdr:rowOff>62170</xdr:rowOff>
    </xdr:from>
    <xdr:to>
      <xdr:col>0</xdr:col>
      <xdr:colOff>1843326</xdr:colOff>
      <xdr:row>1789</xdr:row>
      <xdr:rowOff>1012289</xdr:rowOff>
    </xdr:to>
    <xdr:pic>
      <xdr:nvPicPr>
        <xdr:cNvPr id="3579" name="Picture 3578" descr="Insight Picture 3578">
          <a:extLst>
            <a:ext uri="{FF2B5EF4-FFF2-40B4-BE49-F238E27FC236}">
              <a16:creationId xmlns:a16="http://schemas.microsoft.com/office/drawing/2014/main" id="{B9690121-6C06-90F2-A78E-BA61289CF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9"/>
        <a:stretch>
          <a:fillRect/>
        </a:stretch>
      </xdr:blipFill>
      <xdr:spPr>
        <a:xfrm>
          <a:off x="793195" y="1593312730"/>
          <a:ext cx="1050131" cy="950119"/>
        </a:xfrm>
        <a:prstGeom prst="rect">
          <a:avLst/>
        </a:prstGeom>
      </xdr:spPr>
    </xdr:pic>
    <xdr:clientData/>
  </xdr:twoCellAnchor>
  <xdr:twoCellAnchor editAs="oneCell">
    <xdr:from>
      <xdr:col>0</xdr:col>
      <xdr:colOff>814625</xdr:colOff>
      <xdr:row>1790</xdr:row>
      <xdr:rowOff>62190</xdr:rowOff>
    </xdr:from>
    <xdr:to>
      <xdr:col>0</xdr:col>
      <xdr:colOff>1821894</xdr:colOff>
      <xdr:row>1790</xdr:row>
      <xdr:rowOff>1012309</xdr:rowOff>
    </xdr:to>
    <xdr:pic>
      <xdr:nvPicPr>
        <xdr:cNvPr id="3581" name="Picture 3580" descr="Insight Picture 3580">
          <a:extLst>
            <a:ext uri="{FF2B5EF4-FFF2-40B4-BE49-F238E27FC236}">
              <a16:creationId xmlns:a16="http://schemas.microsoft.com/office/drawing/2014/main" id="{0E677646-7A61-5302-A1EA-F0AC6A117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0"/>
        <a:stretch>
          <a:fillRect/>
        </a:stretch>
      </xdr:blipFill>
      <xdr:spPr>
        <a:xfrm>
          <a:off x="814625" y="1594387170"/>
          <a:ext cx="1007269" cy="950119"/>
        </a:xfrm>
        <a:prstGeom prst="rect">
          <a:avLst/>
        </a:prstGeom>
      </xdr:spPr>
    </xdr:pic>
    <xdr:clientData/>
  </xdr:twoCellAnchor>
  <xdr:twoCellAnchor editAs="oneCell">
    <xdr:from>
      <xdr:col>0</xdr:col>
      <xdr:colOff>668178</xdr:colOff>
      <xdr:row>1791</xdr:row>
      <xdr:rowOff>63103</xdr:rowOff>
    </xdr:from>
    <xdr:to>
      <xdr:col>0</xdr:col>
      <xdr:colOff>1968341</xdr:colOff>
      <xdr:row>1791</xdr:row>
      <xdr:rowOff>927497</xdr:rowOff>
    </xdr:to>
    <xdr:pic>
      <xdr:nvPicPr>
        <xdr:cNvPr id="3583" name="Picture 3582" descr="Insight Picture 3582">
          <a:extLst>
            <a:ext uri="{FF2B5EF4-FFF2-40B4-BE49-F238E27FC236}">
              <a16:creationId xmlns:a16="http://schemas.microsoft.com/office/drawing/2014/main" id="{2FA1B203-6AD1-1A8F-E608-70CE33BDF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1"/>
        <a:stretch>
          <a:fillRect/>
        </a:stretch>
      </xdr:blipFill>
      <xdr:spPr>
        <a:xfrm>
          <a:off x="668178" y="1595462503"/>
          <a:ext cx="1300163" cy="864394"/>
        </a:xfrm>
        <a:prstGeom prst="rect">
          <a:avLst/>
        </a:prstGeom>
      </xdr:spPr>
    </xdr:pic>
    <xdr:clientData/>
  </xdr:twoCellAnchor>
  <xdr:twoCellAnchor editAs="oneCell">
    <xdr:from>
      <xdr:col>0</xdr:col>
      <xdr:colOff>818198</xdr:colOff>
      <xdr:row>1792</xdr:row>
      <xdr:rowOff>63599</xdr:rowOff>
    </xdr:from>
    <xdr:to>
      <xdr:col>0</xdr:col>
      <xdr:colOff>1818323</xdr:colOff>
      <xdr:row>1792</xdr:row>
      <xdr:rowOff>1056580</xdr:rowOff>
    </xdr:to>
    <xdr:pic>
      <xdr:nvPicPr>
        <xdr:cNvPr id="3585" name="Picture 3584" descr="Insight Picture 3584">
          <a:extLst>
            <a:ext uri="{FF2B5EF4-FFF2-40B4-BE49-F238E27FC236}">
              <a16:creationId xmlns:a16="http://schemas.microsoft.com/office/drawing/2014/main" id="{D9A0BD2E-7D22-343C-E1A2-929EAFD4E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2"/>
        <a:stretch>
          <a:fillRect/>
        </a:stretch>
      </xdr:blipFill>
      <xdr:spPr>
        <a:xfrm>
          <a:off x="818198" y="1596453599"/>
          <a:ext cx="1000125" cy="992981"/>
        </a:xfrm>
        <a:prstGeom prst="rect">
          <a:avLst/>
        </a:prstGeom>
      </xdr:spPr>
    </xdr:pic>
    <xdr:clientData/>
  </xdr:twoCellAnchor>
  <xdr:twoCellAnchor editAs="oneCell">
    <xdr:from>
      <xdr:col>0</xdr:col>
      <xdr:colOff>811053</xdr:colOff>
      <xdr:row>1793</xdr:row>
      <xdr:rowOff>63341</xdr:rowOff>
    </xdr:from>
    <xdr:to>
      <xdr:col>0</xdr:col>
      <xdr:colOff>1825466</xdr:colOff>
      <xdr:row>1793</xdr:row>
      <xdr:rowOff>1163479</xdr:rowOff>
    </xdr:to>
    <xdr:pic>
      <xdr:nvPicPr>
        <xdr:cNvPr id="3587" name="Picture 3586" descr="Insight Picture 3586">
          <a:extLst>
            <a:ext uri="{FF2B5EF4-FFF2-40B4-BE49-F238E27FC236}">
              <a16:creationId xmlns:a16="http://schemas.microsoft.com/office/drawing/2014/main" id="{12A5437C-2864-BCC5-7C40-22C9050E4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3"/>
        <a:stretch>
          <a:fillRect/>
        </a:stretch>
      </xdr:blipFill>
      <xdr:spPr>
        <a:xfrm>
          <a:off x="811053" y="1597573481"/>
          <a:ext cx="1014413" cy="1100138"/>
        </a:xfrm>
        <a:prstGeom prst="rect">
          <a:avLst/>
        </a:prstGeom>
      </xdr:spPr>
    </xdr:pic>
    <xdr:clientData/>
  </xdr:twoCellAnchor>
  <xdr:twoCellAnchor editAs="oneCell">
    <xdr:from>
      <xdr:col>0</xdr:col>
      <xdr:colOff>925353</xdr:colOff>
      <xdr:row>1794</xdr:row>
      <xdr:rowOff>63560</xdr:rowOff>
    </xdr:from>
    <xdr:to>
      <xdr:col>0</xdr:col>
      <xdr:colOff>1711166</xdr:colOff>
      <xdr:row>1794</xdr:row>
      <xdr:rowOff>942241</xdr:rowOff>
    </xdr:to>
    <xdr:pic>
      <xdr:nvPicPr>
        <xdr:cNvPr id="3589" name="Picture 3588" descr="Insight Picture 3588">
          <a:extLst>
            <a:ext uri="{FF2B5EF4-FFF2-40B4-BE49-F238E27FC236}">
              <a16:creationId xmlns:a16="http://schemas.microsoft.com/office/drawing/2014/main" id="{DAA8716E-9402-9F73-FE81-E6BFA9ED4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4"/>
        <a:stretch>
          <a:fillRect/>
        </a:stretch>
      </xdr:blipFill>
      <xdr:spPr>
        <a:xfrm>
          <a:off x="925353" y="1598800520"/>
          <a:ext cx="785813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625316</xdr:colOff>
      <xdr:row>1795</xdr:row>
      <xdr:rowOff>62409</xdr:rowOff>
    </xdr:from>
    <xdr:to>
      <xdr:col>0</xdr:col>
      <xdr:colOff>2011204</xdr:colOff>
      <xdr:row>1795</xdr:row>
      <xdr:rowOff>1133972</xdr:rowOff>
    </xdr:to>
    <xdr:pic>
      <xdr:nvPicPr>
        <xdr:cNvPr id="3591" name="Picture 3590" descr="Insight Picture 3590">
          <a:extLst>
            <a:ext uri="{FF2B5EF4-FFF2-40B4-BE49-F238E27FC236}">
              <a16:creationId xmlns:a16="http://schemas.microsoft.com/office/drawing/2014/main" id="{2418F0CA-9ED8-814A-C9AB-148FDB770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5"/>
        <a:stretch>
          <a:fillRect/>
        </a:stretch>
      </xdr:blipFill>
      <xdr:spPr>
        <a:xfrm>
          <a:off x="625316" y="1599805209"/>
          <a:ext cx="1385888" cy="1071563"/>
        </a:xfrm>
        <a:prstGeom prst="rect">
          <a:avLst/>
        </a:prstGeom>
      </xdr:spPr>
    </xdr:pic>
    <xdr:clientData/>
  </xdr:twoCellAnchor>
  <xdr:twoCellAnchor editAs="oneCell">
    <xdr:from>
      <xdr:col>0</xdr:col>
      <xdr:colOff>832485</xdr:colOff>
      <xdr:row>1796</xdr:row>
      <xdr:rowOff>62349</xdr:rowOff>
    </xdr:from>
    <xdr:to>
      <xdr:col>0</xdr:col>
      <xdr:colOff>1804035</xdr:colOff>
      <xdr:row>1796</xdr:row>
      <xdr:rowOff>1133912</xdr:rowOff>
    </xdr:to>
    <xdr:pic>
      <xdr:nvPicPr>
        <xdr:cNvPr id="3593" name="Picture 3592" descr="Insight Picture 3592">
          <a:extLst>
            <a:ext uri="{FF2B5EF4-FFF2-40B4-BE49-F238E27FC236}">
              <a16:creationId xmlns:a16="http://schemas.microsoft.com/office/drawing/2014/main" id="{77AA0EE3-5FB9-0EFF-F085-76A71610F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6"/>
        <a:stretch>
          <a:fillRect/>
        </a:stretch>
      </xdr:blipFill>
      <xdr:spPr>
        <a:xfrm>
          <a:off x="832485" y="1601001489"/>
          <a:ext cx="971550" cy="1071563"/>
        </a:xfrm>
        <a:prstGeom prst="rect">
          <a:avLst/>
        </a:prstGeom>
      </xdr:spPr>
    </xdr:pic>
    <xdr:clientData/>
  </xdr:twoCellAnchor>
  <xdr:twoCellAnchor editAs="oneCell">
    <xdr:from>
      <xdr:col>0</xdr:col>
      <xdr:colOff>911066</xdr:colOff>
      <xdr:row>1797</xdr:row>
      <xdr:rowOff>61198</xdr:rowOff>
    </xdr:from>
    <xdr:to>
      <xdr:col>0</xdr:col>
      <xdr:colOff>1725454</xdr:colOff>
      <xdr:row>1797</xdr:row>
      <xdr:rowOff>868442</xdr:rowOff>
    </xdr:to>
    <xdr:pic>
      <xdr:nvPicPr>
        <xdr:cNvPr id="3595" name="Picture 3594" descr="Insight Picture 3594">
          <a:extLst>
            <a:ext uri="{FF2B5EF4-FFF2-40B4-BE49-F238E27FC236}">
              <a16:creationId xmlns:a16="http://schemas.microsoft.com/office/drawing/2014/main" id="{0B07C546-ED14-EF67-B8BF-0CD42197F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7"/>
        <a:stretch>
          <a:fillRect/>
        </a:stretch>
      </xdr:blipFill>
      <xdr:spPr>
        <a:xfrm>
          <a:off x="911066" y="1602196678"/>
          <a:ext cx="814388" cy="807244"/>
        </a:xfrm>
        <a:prstGeom prst="rect">
          <a:avLst/>
        </a:prstGeom>
      </xdr:spPr>
    </xdr:pic>
    <xdr:clientData/>
  </xdr:twoCellAnchor>
  <xdr:twoCellAnchor editAs="oneCell">
    <xdr:from>
      <xdr:col>0</xdr:col>
      <xdr:colOff>911066</xdr:colOff>
      <xdr:row>1798</xdr:row>
      <xdr:rowOff>62428</xdr:rowOff>
    </xdr:from>
    <xdr:to>
      <xdr:col>0</xdr:col>
      <xdr:colOff>1725454</xdr:colOff>
      <xdr:row>1798</xdr:row>
      <xdr:rowOff>1019691</xdr:rowOff>
    </xdr:to>
    <xdr:pic>
      <xdr:nvPicPr>
        <xdr:cNvPr id="3597" name="Picture 3596" descr="Insight Picture 3596">
          <a:extLst>
            <a:ext uri="{FF2B5EF4-FFF2-40B4-BE49-F238E27FC236}">
              <a16:creationId xmlns:a16="http://schemas.microsoft.com/office/drawing/2014/main" id="{75004EF6-1B0D-9226-2321-ACF8E233D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8"/>
        <a:stretch>
          <a:fillRect/>
        </a:stretch>
      </xdr:blipFill>
      <xdr:spPr>
        <a:xfrm>
          <a:off x="911066" y="1603127548"/>
          <a:ext cx="814388" cy="957263"/>
        </a:xfrm>
        <a:prstGeom prst="rect">
          <a:avLst/>
        </a:prstGeom>
      </xdr:spPr>
    </xdr:pic>
    <xdr:clientData/>
  </xdr:twoCellAnchor>
  <xdr:twoCellAnchor editAs="oneCell">
    <xdr:from>
      <xdr:col>0</xdr:col>
      <xdr:colOff>911066</xdr:colOff>
      <xdr:row>1799</xdr:row>
      <xdr:rowOff>62170</xdr:rowOff>
    </xdr:from>
    <xdr:to>
      <xdr:col>0</xdr:col>
      <xdr:colOff>1725454</xdr:colOff>
      <xdr:row>1799</xdr:row>
      <xdr:rowOff>1012289</xdr:rowOff>
    </xdr:to>
    <xdr:pic>
      <xdr:nvPicPr>
        <xdr:cNvPr id="3599" name="Picture 3598" descr="Insight Picture 3598">
          <a:extLst>
            <a:ext uri="{FF2B5EF4-FFF2-40B4-BE49-F238E27FC236}">
              <a16:creationId xmlns:a16="http://schemas.microsoft.com/office/drawing/2014/main" id="{3481337F-01EB-AB74-1C9E-96E26F5F8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9"/>
        <a:stretch>
          <a:fillRect/>
        </a:stretch>
      </xdr:blipFill>
      <xdr:spPr>
        <a:xfrm>
          <a:off x="911066" y="1604209330"/>
          <a:ext cx="814388" cy="950119"/>
        </a:xfrm>
        <a:prstGeom prst="rect">
          <a:avLst/>
        </a:prstGeom>
      </xdr:spPr>
    </xdr:pic>
    <xdr:clientData/>
  </xdr:twoCellAnchor>
  <xdr:twoCellAnchor editAs="oneCell">
    <xdr:from>
      <xdr:col>0</xdr:col>
      <xdr:colOff>911066</xdr:colOff>
      <xdr:row>1800</xdr:row>
      <xdr:rowOff>62190</xdr:rowOff>
    </xdr:from>
    <xdr:to>
      <xdr:col>0</xdr:col>
      <xdr:colOff>1725454</xdr:colOff>
      <xdr:row>1800</xdr:row>
      <xdr:rowOff>1012309</xdr:rowOff>
    </xdr:to>
    <xdr:pic>
      <xdr:nvPicPr>
        <xdr:cNvPr id="3601" name="Picture 3600" descr="Insight Picture 3600">
          <a:extLst>
            <a:ext uri="{FF2B5EF4-FFF2-40B4-BE49-F238E27FC236}">
              <a16:creationId xmlns:a16="http://schemas.microsoft.com/office/drawing/2014/main" id="{E3A0352B-D44A-CAD3-BC9C-C1C2F7926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0"/>
        <a:stretch>
          <a:fillRect/>
        </a:stretch>
      </xdr:blipFill>
      <xdr:spPr>
        <a:xfrm>
          <a:off x="911066" y="1605283770"/>
          <a:ext cx="814388" cy="950119"/>
        </a:xfrm>
        <a:prstGeom prst="rect">
          <a:avLst/>
        </a:prstGeom>
      </xdr:spPr>
    </xdr:pic>
    <xdr:clientData/>
  </xdr:twoCellAnchor>
  <xdr:twoCellAnchor editAs="oneCell">
    <xdr:from>
      <xdr:col>0</xdr:col>
      <xdr:colOff>868203</xdr:colOff>
      <xdr:row>1801</xdr:row>
      <xdr:rowOff>62111</xdr:rowOff>
    </xdr:from>
    <xdr:to>
      <xdr:col>0</xdr:col>
      <xdr:colOff>1768316</xdr:colOff>
      <xdr:row>1801</xdr:row>
      <xdr:rowOff>1012230</xdr:rowOff>
    </xdr:to>
    <xdr:pic>
      <xdr:nvPicPr>
        <xdr:cNvPr id="3603" name="Picture 3602" descr="Insight Picture 3602">
          <a:extLst>
            <a:ext uri="{FF2B5EF4-FFF2-40B4-BE49-F238E27FC236}">
              <a16:creationId xmlns:a16="http://schemas.microsoft.com/office/drawing/2014/main" id="{88147FD1-C353-9774-9D8A-13B3F420B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1"/>
        <a:stretch>
          <a:fillRect/>
        </a:stretch>
      </xdr:blipFill>
      <xdr:spPr>
        <a:xfrm>
          <a:off x="868203" y="1606358111"/>
          <a:ext cx="900113" cy="950119"/>
        </a:xfrm>
        <a:prstGeom prst="rect">
          <a:avLst/>
        </a:prstGeom>
      </xdr:spPr>
    </xdr:pic>
    <xdr:clientData/>
  </xdr:twoCellAnchor>
  <xdr:twoCellAnchor editAs="oneCell">
    <xdr:from>
      <xdr:col>0</xdr:col>
      <xdr:colOff>653891</xdr:colOff>
      <xdr:row>1802</xdr:row>
      <xdr:rowOff>62131</xdr:rowOff>
    </xdr:from>
    <xdr:to>
      <xdr:col>0</xdr:col>
      <xdr:colOff>1982629</xdr:colOff>
      <xdr:row>1802</xdr:row>
      <xdr:rowOff>897950</xdr:rowOff>
    </xdr:to>
    <xdr:pic>
      <xdr:nvPicPr>
        <xdr:cNvPr id="3605" name="Picture 3604" descr="Insight Picture 3604">
          <a:extLst>
            <a:ext uri="{FF2B5EF4-FFF2-40B4-BE49-F238E27FC236}">
              <a16:creationId xmlns:a16="http://schemas.microsoft.com/office/drawing/2014/main" id="{7FC97BF2-467D-5F58-7715-430039703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2"/>
        <a:stretch>
          <a:fillRect/>
        </a:stretch>
      </xdr:blipFill>
      <xdr:spPr>
        <a:xfrm>
          <a:off x="653891" y="1607432551"/>
          <a:ext cx="1328738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861060</xdr:colOff>
      <xdr:row>1803</xdr:row>
      <xdr:rowOff>61952</xdr:rowOff>
    </xdr:from>
    <xdr:to>
      <xdr:col>0</xdr:col>
      <xdr:colOff>1775460</xdr:colOff>
      <xdr:row>1803</xdr:row>
      <xdr:rowOff>890627</xdr:rowOff>
    </xdr:to>
    <xdr:pic>
      <xdr:nvPicPr>
        <xdr:cNvPr id="3607" name="Picture 3606" descr="Insight Picture 3606">
          <a:extLst>
            <a:ext uri="{FF2B5EF4-FFF2-40B4-BE49-F238E27FC236}">
              <a16:creationId xmlns:a16="http://schemas.microsoft.com/office/drawing/2014/main" id="{D4702B54-6C26-262F-DE5B-703C09C01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3"/>
        <a:stretch>
          <a:fillRect/>
        </a:stretch>
      </xdr:blipFill>
      <xdr:spPr>
        <a:xfrm>
          <a:off x="861060" y="1608392492"/>
          <a:ext cx="914400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825341</xdr:colOff>
      <xdr:row>1804</xdr:row>
      <xdr:rowOff>60464</xdr:rowOff>
    </xdr:from>
    <xdr:to>
      <xdr:col>0</xdr:col>
      <xdr:colOff>1811179</xdr:colOff>
      <xdr:row>1804</xdr:row>
      <xdr:rowOff>1074877</xdr:rowOff>
    </xdr:to>
    <xdr:pic>
      <xdr:nvPicPr>
        <xdr:cNvPr id="3609" name="Picture 3608" descr="Insight Picture 3608">
          <a:extLst>
            <a:ext uri="{FF2B5EF4-FFF2-40B4-BE49-F238E27FC236}">
              <a16:creationId xmlns:a16="http://schemas.microsoft.com/office/drawing/2014/main" id="{9F478AE9-48B9-C7EA-C9E7-F0751A81B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4"/>
        <a:stretch>
          <a:fillRect/>
        </a:stretch>
      </xdr:blipFill>
      <xdr:spPr>
        <a:xfrm>
          <a:off x="825341" y="1609343504"/>
          <a:ext cx="985838" cy="1014413"/>
        </a:xfrm>
        <a:prstGeom prst="rect">
          <a:avLst/>
        </a:prstGeom>
      </xdr:spPr>
    </xdr:pic>
    <xdr:clientData/>
  </xdr:twoCellAnchor>
  <xdr:twoCellAnchor editAs="oneCell">
    <xdr:from>
      <xdr:col>0</xdr:col>
      <xdr:colOff>768191</xdr:colOff>
      <xdr:row>1805</xdr:row>
      <xdr:rowOff>60444</xdr:rowOff>
    </xdr:from>
    <xdr:to>
      <xdr:col>0</xdr:col>
      <xdr:colOff>1868329</xdr:colOff>
      <xdr:row>1805</xdr:row>
      <xdr:rowOff>1074857</xdr:rowOff>
    </xdr:to>
    <xdr:pic>
      <xdr:nvPicPr>
        <xdr:cNvPr id="3611" name="Picture 3610" descr="Insight Picture 3610">
          <a:extLst>
            <a:ext uri="{FF2B5EF4-FFF2-40B4-BE49-F238E27FC236}">
              <a16:creationId xmlns:a16="http://schemas.microsoft.com/office/drawing/2014/main" id="{BA544CAD-733B-F2A1-824F-60E5021C3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5"/>
        <a:stretch>
          <a:fillRect/>
        </a:stretch>
      </xdr:blipFill>
      <xdr:spPr>
        <a:xfrm>
          <a:off x="768191" y="1610478864"/>
          <a:ext cx="1100138" cy="1014413"/>
        </a:xfrm>
        <a:prstGeom prst="rect">
          <a:avLst/>
        </a:prstGeom>
      </xdr:spPr>
    </xdr:pic>
    <xdr:clientData/>
  </xdr:twoCellAnchor>
  <xdr:twoCellAnchor editAs="oneCell">
    <xdr:from>
      <xdr:col>0</xdr:col>
      <xdr:colOff>825341</xdr:colOff>
      <xdr:row>1806</xdr:row>
      <xdr:rowOff>60523</xdr:rowOff>
    </xdr:from>
    <xdr:to>
      <xdr:col>0</xdr:col>
      <xdr:colOff>1811179</xdr:colOff>
      <xdr:row>1806</xdr:row>
      <xdr:rowOff>1074936</xdr:rowOff>
    </xdr:to>
    <xdr:pic>
      <xdr:nvPicPr>
        <xdr:cNvPr id="3613" name="Picture 3612" descr="Insight Picture 3612">
          <a:extLst>
            <a:ext uri="{FF2B5EF4-FFF2-40B4-BE49-F238E27FC236}">
              <a16:creationId xmlns:a16="http://schemas.microsoft.com/office/drawing/2014/main" id="{5A3FC49C-36DC-8208-17A2-5AC4EDEFB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6"/>
        <a:stretch>
          <a:fillRect/>
        </a:stretch>
      </xdr:blipFill>
      <xdr:spPr>
        <a:xfrm>
          <a:off x="825341" y="1611614323"/>
          <a:ext cx="985838" cy="1014413"/>
        </a:xfrm>
        <a:prstGeom prst="rect">
          <a:avLst/>
        </a:prstGeom>
      </xdr:spPr>
    </xdr:pic>
    <xdr:clientData/>
  </xdr:twoCellAnchor>
  <xdr:twoCellAnchor editAs="oneCell">
    <xdr:from>
      <xdr:col>0</xdr:col>
      <xdr:colOff>768191</xdr:colOff>
      <xdr:row>1807</xdr:row>
      <xdr:rowOff>60504</xdr:rowOff>
    </xdr:from>
    <xdr:to>
      <xdr:col>0</xdr:col>
      <xdr:colOff>1868329</xdr:colOff>
      <xdr:row>1807</xdr:row>
      <xdr:rowOff>1074917</xdr:rowOff>
    </xdr:to>
    <xdr:pic>
      <xdr:nvPicPr>
        <xdr:cNvPr id="3615" name="Picture 3614" descr="Insight Picture 3614">
          <a:extLst>
            <a:ext uri="{FF2B5EF4-FFF2-40B4-BE49-F238E27FC236}">
              <a16:creationId xmlns:a16="http://schemas.microsoft.com/office/drawing/2014/main" id="{51B563BB-AA66-53BD-F42E-754B1ED4C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7"/>
        <a:stretch>
          <a:fillRect/>
        </a:stretch>
      </xdr:blipFill>
      <xdr:spPr>
        <a:xfrm>
          <a:off x="768191" y="1612749684"/>
          <a:ext cx="1100138" cy="1014413"/>
        </a:xfrm>
        <a:prstGeom prst="rect">
          <a:avLst/>
        </a:prstGeom>
      </xdr:spPr>
    </xdr:pic>
    <xdr:clientData/>
  </xdr:twoCellAnchor>
  <xdr:twoCellAnchor editAs="oneCell">
    <xdr:from>
      <xdr:col>0</xdr:col>
      <xdr:colOff>846773</xdr:colOff>
      <xdr:row>1808</xdr:row>
      <xdr:rowOff>62667</xdr:rowOff>
    </xdr:from>
    <xdr:to>
      <xdr:col>0</xdr:col>
      <xdr:colOff>1789748</xdr:colOff>
      <xdr:row>1808</xdr:row>
      <xdr:rowOff>1141373</xdr:rowOff>
    </xdr:to>
    <xdr:pic>
      <xdr:nvPicPr>
        <xdr:cNvPr id="3617" name="Picture 3616" descr="Insight Picture 3616">
          <a:extLst>
            <a:ext uri="{FF2B5EF4-FFF2-40B4-BE49-F238E27FC236}">
              <a16:creationId xmlns:a16="http://schemas.microsoft.com/office/drawing/2014/main" id="{D13095D7-39B7-B1E1-F5D0-7ED995599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8"/>
        <a:stretch>
          <a:fillRect/>
        </a:stretch>
      </xdr:blipFill>
      <xdr:spPr>
        <a:xfrm>
          <a:off x="846773" y="1613887227"/>
          <a:ext cx="942975" cy="1078706"/>
        </a:xfrm>
        <a:prstGeom prst="rect">
          <a:avLst/>
        </a:prstGeom>
      </xdr:spPr>
    </xdr:pic>
    <xdr:clientData/>
  </xdr:twoCellAnchor>
  <xdr:twoCellAnchor editAs="oneCell">
    <xdr:from>
      <xdr:col>0</xdr:col>
      <xdr:colOff>846773</xdr:colOff>
      <xdr:row>1809</xdr:row>
      <xdr:rowOff>60444</xdr:rowOff>
    </xdr:from>
    <xdr:to>
      <xdr:col>0</xdr:col>
      <xdr:colOff>1789748</xdr:colOff>
      <xdr:row>1809</xdr:row>
      <xdr:rowOff>1074857</xdr:rowOff>
    </xdr:to>
    <xdr:pic>
      <xdr:nvPicPr>
        <xdr:cNvPr id="3619" name="Picture 3618" descr="Insight Picture 3618">
          <a:extLst>
            <a:ext uri="{FF2B5EF4-FFF2-40B4-BE49-F238E27FC236}">
              <a16:creationId xmlns:a16="http://schemas.microsoft.com/office/drawing/2014/main" id="{5DAA1057-E7F0-1496-3D50-688249B1C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9"/>
        <a:stretch>
          <a:fillRect/>
        </a:stretch>
      </xdr:blipFill>
      <xdr:spPr>
        <a:xfrm>
          <a:off x="846773" y="1615088964"/>
          <a:ext cx="942975" cy="1014413"/>
        </a:xfrm>
        <a:prstGeom prst="rect">
          <a:avLst/>
        </a:prstGeom>
      </xdr:spPr>
    </xdr:pic>
    <xdr:clientData/>
  </xdr:twoCellAnchor>
  <xdr:twoCellAnchor editAs="oneCell">
    <xdr:from>
      <xdr:col>0</xdr:col>
      <xdr:colOff>832485</xdr:colOff>
      <xdr:row>1810</xdr:row>
      <xdr:rowOff>63103</xdr:rowOff>
    </xdr:from>
    <xdr:to>
      <xdr:col>0</xdr:col>
      <xdr:colOff>1804035</xdr:colOff>
      <xdr:row>1810</xdr:row>
      <xdr:rowOff>1156097</xdr:rowOff>
    </xdr:to>
    <xdr:pic>
      <xdr:nvPicPr>
        <xdr:cNvPr id="3621" name="Picture 3620" descr="Insight Picture 3620">
          <a:extLst>
            <a:ext uri="{FF2B5EF4-FFF2-40B4-BE49-F238E27FC236}">
              <a16:creationId xmlns:a16="http://schemas.microsoft.com/office/drawing/2014/main" id="{D4940510-CE34-8647-A6DC-F972398B9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0"/>
        <a:stretch>
          <a:fillRect/>
        </a:stretch>
      </xdr:blipFill>
      <xdr:spPr>
        <a:xfrm>
          <a:off x="832485" y="1616227003"/>
          <a:ext cx="971550" cy="1092994"/>
        </a:xfrm>
        <a:prstGeom prst="rect">
          <a:avLst/>
        </a:prstGeom>
      </xdr:spPr>
    </xdr:pic>
    <xdr:clientData/>
  </xdr:twoCellAnchor>
  <xdr:twoCellAnchor editAs="oneCell">
    <xdr:from>
      <xdr:col>0</xdr:col>
      <xdr:colOff>814625</xdr:colOff>
      <xdr:row>1811</xdr:row>
      <xdr:rowOff>62111</xdr:rowOff>
    </xdr:from>
    <xdr:to>
      <xdr:col>0</xdr:col>
      <xdr:colOff>1821894</xdr:colOff>
      <xdr:row>1811</xdr:row>
      <xdr:rowOff>1012230</xdr:rowOff>
    </xdr:to>
    <xdr:pic>
      <xdr:nvPicPr>
        <xdr:cNvPr id="3623" name="Picture 3622" descr="Insight Picture 3622">
          <a:extLst>
            <a:ext uri="{FF2B5EF4-FFF2-40B4-BE49-F238E27FC236}">
              <a16:creationId xmlns:a16="http://schemas.microsoft.com/office/drawing/2014/main" id="{9CD920BB-4675-BD12-7CD1-90A73814D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1"/>
        <a:stretch>
          <a:fillRect/>
        </a:stretch>
      </xdr:blipFill>
      <xdr:spPr>
        <a:xfrm>
          <a:off x="814625" y="1617445211"/>
          <a:ext cx="1007269" cy="950119"/>
        </a:xfrm>
        <a:prstGeom prst="rect">
          <a:avLst/>
        </a:prstGeom>
      </xdr:spPr>
    </xdr:pic>
    <xdr:clientData/>
  </xdr:twoCellAnchor>
  <xdr:twoCellAnchor editAs="oneCell">
    <xdr:from>
      <xdr:col>0</xdr:col>
      <xdr:colOff>850345</xdr:colOff>
      <xdr:row>1812</xdr:row>
      <xdr:rowOff>60246</xdr:rowOff>
    </xdr:from>
    <xdr:to>
      <xdr:col>0</xdr:col>
      <xdr:colOff>1786176</xdr:colOff>
      <xdr:row>1812</xdr:row>
      <xdr:rowOff>953215</xdr:rowOff>
    </xdr:to>
    <xdr:pic>
      <xdr:nvPicPr>
        <xdr:cNvPr id="3625" name="Picture 3624" descr="Insight Picture 3624">
          <a:extLst>
            <a:ext uri="{FF2B5EF4-FFF2-40B4-BE49-F238E27FC236}">
              <a16:creationId xmlns:a16="http://schemas.microsoft.com/office/drawing/2014/main" id="{7AEB0CE8-65F6-2048-F015-FE219A6CC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2"/>
        <a:stretch>
          <a:fillRect/>
        </a:stretch>
      </xdr:blipFill>
      <xdr:spPr>
        <a:xfrm>
          <a:off x="850345" y="1618517766"/>
          <a:ext cx="935831" cy="892969"/>
        </a:xfrm>
        <a:prstGeom prst="rect">
          <a:avLst/>
        </a:prstGeom>
      </xdr:spPr>
    </xdr:pic>
    <xdr:clientData/>
  </xdr:twoCellAnchor>
  <xdr:twoCellAnchor editAs="oneCell">
    <xdr:from>
      <xdr:col>0</xdr:col>
      <xdr:colOff>746760</xdr:colOff>
      <xdr:row>1813</xdr:row>
      <xdr:rowOff>61000</xdr:rowOff>
    </xdr:from>
    <xdr:to>
      <xdr:col>0</xdr:col>
      <xdr:colOff>1889760</xdr:colOff>
      <xdr:row>1813</xdr:row>
      <xdr:rowOff>746800</xdr:rowOff>
    </xdr:to>
    <xdr:pic>
      <xdr:nvPicPr>
        <xdr:cNvPr id="3627" name="Picture 3626" descr="Insight Picture 3626">
          <a:extLst>
            <a:ext uri="{FF2B5EF4-FFF2-40B4-BE49-F238E27FC236}">
              <a16:creationId xmlns:a16="http://schemas.microsoft.com/office/drawing/2014/main" id="{076CB605-A2FC-F98A-E652-F217052D4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3"/>
        <a:stretch>
          <a:fillRect/>
        </a:stretch>
      </xdr:blipFill>
      <xdr:spPr>
        <a:xfrm>
          <a:off x="746760" y="1619531980"/>
          <a:ext cx="11430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814625</xdr:colOff>
      <xdr:row>1814</xdr:row>
      <xdr:rowOff>62111</xdr:rowOff>
    </xdr:from>
    <xdr:to>
      <xdr:col>0</xdr:col>
      <xdr:colOff>1821894</xdr:colOff>
      <xdr:row>1814</xdr:row>
      <xdr:rowOff>1012230</xdr:rowOff>
    </xdr:to>
    <xdr:pic>
      <xdr:nvPicPr>
        <xdr:cNvPr id="3629" name="Picture 3628" descr="Insight Picture 3628">
          <a:extLst>
            <a:ext uri="{FF2B5EF4-FFF2-40B4-BE49-F238E27FC236}">
              <a16:creationId xmlns:a16="http://schemas.microsoft.com/office/drawing/2014/main" id="{BD07A71D-6A9C-9C20-A9BF-943D59856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4"/>
        <a:stretch>
          <a:fillRect/>
        </a:stretch>
      </xdr:blipFill>
      <xdr:spPr>
        <a:xfrm>
          <a:off x="814625" y="1620340811"/>
          <a:ext cx="1007269" cy="950119"/>
        </a:xfrm>
        <a:prstGeom prst="rect">
          <a:avLst/>
        </a:prstGeom>
      </xdr:spPr>
    </xdr:pic>
    <xdr:clientData/>
  </xdr:twoCellAnchor>
  <xdr:twoCellAnchor editAs="oneCell">
    <xdr:from>
      <xdr:col>0</xdr:col>
      <xdr:colOff>911066</xdr:colOff>
      <xdr:row>1815</xdr:row>
      <xdr:rowOff>62131</xdr:rowOff>
    </xdr:from>
    <xdr:to>
      <xdr:col>0</xdr:col>
      <xdr:colOff>1725454</xdr:colOff>
      <xdr:row>1815</xdr:row>
      <xdr:rowOff>1012250</xdr:rowOff>
    </xdr:to>
    <xdr:pic>
      <xdr:nvPicPr>
        <xdr:cNvPr id="3631" name="Picture 3630" descr="Insight Picture 3630">
          <a:extLst>
            <a:ext uri="{FF2B5EF4-FFF2-40B4-BE49-F238E27FC236}">
              <a16:creationId xmlns:a16="http://schemas.microsoft.com/office/drawing/2014/main" id="{85F56ED4-39BE-6837-D633-35ACA206E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5"/>
        <a:stretch>
          <a:fillRect/>
        </a:stretch>
      </xdr:blipFill>
      <xdr:spPr>
        <a:xfrm>
          <a:off x="911066" y="1621415251"/>
          <a:ext cx="814388" cy="950119"/>
        </a:xfrm>
        <a:prstGeom prst="rect">
          <a:avLst/>
        </a:prstGeom>
      </xdr:spPr>
    </xdr:pic>
    <xdr:clientData/>
  </xdr:twoCellAnchor>
  <xdr:twoCellAnchor editAs="oneCell">
    <xdr:from>
      <xdr:col>0</xdr:col>
      <xdr:colOff>911066</xdr:colOff>
      <xdr:row>1816</xdr:row>
      <xdr:rowOff>62151</xdr:rowOff>
    </xdr:from>
    <xdr:to>
      <xdr:col>0</xdr:col>
      <xdr:colOff>1725454</xdr:colOff>
      <xdr:row>1816</xdr:row>
      <xdr:rowOff>1012270</xdr:rowOff>
    </xdr:to>
    <xdr:pic>
      <xdr:nvPicPr>
        <xdr:cNvPr id="3633" name="Picture 3632" descr="Insight Picture 3632">
          <a:extLst>
            <a:ext uri="{FF2B5EF4-FFF2-40B4-BE49-F238E27FC236}">
              <a16:creationId xmlns:a16="http://schemas.microsoft.com/office/drawing/2014/main" id="{77FAC921-7430-E707-7DA8-44BE20B72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6"/>
        <a:stretch>
          <a:fillRect/>
        </a:stretch>
      </xdr:blipFill>
      <xdr:spPr>
        <a:xfrm>
          <a:off x="911066" y="1622489691"/>
          <a:ext cx="814388" cy="950119"/>
        </a:xfrm>
        <a:prstGeom prst="rect">
          <a:avLst/>
        </a:prstGeom>
      </xdr:spPr>
    </xdr:pic>
    <xdr:clientData/>
  </xdr:twoCellAnchor>
  <xdr:twoCellAnchor editAs="oneCell">
    <xdr:from>
      <xdr:col>0</xdr:col>
      <xdr:colOff>868203</xdr:colOff>
      <xdr:row>1817</xdr:row>
      <xdr:rowOff>63063</xdr:rowOff>
    </xdr:from>
    <xdr:to>
      <xdr:col>0</xdr:col>
      <xdr:colOff>1768316</xdr:colOff>
      <xdr:row>1817</xdr:row>
      <xdr:rowOff>1041757</xdr:rowOff>
    </xdr:to>
    <xdr:pic>
      <xdr:nvPicPr>
        <xdr:cNvPr id="3635" name="Picture 3634" descr="Insight Picture 3634">
          <a:extLst>
            <a:ext uri="{FF2B5EF4-FFF2-40B4-BE49-F238E27FC236}">
              <a16:creationId xmlns:a16="http://schemas.microsoft.com/office/drawing/2014/main" id="{B3D60B9E-FDF9-995C-9BA7-D3143A18A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7"/>
        <a:stretch>
          <a:fillRect/>
        </a:stretch>
      </xdr:blipFill>
      <xdr:spPr>
        <a:xfrm>
          <a:off x="868203" y="1623565023"/>
          <a:ext cx="900113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846773</xdr:colOff>
      <xdr:row>1818</xdr:row>
      <xdr:rowOff>61178</xdr:rowOff>
    </xdr:from>
    <xdr:to>
      <xdr:col>0</xdr:col>
      <xdr:colOff>1789748</xdr:colOff>
      <xdr:row>1818</xdr:row>
      <xdr:rowOff>868422</xdr:rowOff>
    </xdr:to>
    <xdr:pic>
      <xdr:nvPicPr>
        <xdr:cNvPr id="3637" name="Picture 3636" descr="Insight Picture 3636">
          <a:extLst>
            <a:ext uri="{FF2B5EF4-FFF2-40B4-BE49-F238E27FC236}">
              <a16:creationId xmlns:a16="http://schemas.microsoft.com/office/drawing/2014/main" id="{85E0D7FD-FE86-E590-CAC8-5256B9E0A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8"/>
        <a:stretch>
          <a:fillRect/>
        </a:stretch>
      </xdr:blipFill>
      <xdr:spPr>
        <a:xfrm>
          <a:off x="846773" y="1624668038"/>
          <a:ext cx="942975" cy="807244"/>
        </a:xfrm>
        <a:prstGeom prst="rect">
          <a:avLst/>
        </a:prstGeom>
      </xdr:spPr>
    </xdr:pic>
    <xdr:clientData/>
  </xdr:twoCellAnchor>
  <xdr:twoCellAnchor editAs="oneCell">
    <xdr:from>
      <xdr:col>0</xdr:col>
      <xdr:colOff>721757</xdr:colOff>
      <xdr:row>1819</xdr:row>
      <xdr:rowOff>60523</xdr:rowOff>
    </xdr:from>
    <xdr:to>
      <xdr:col>0</xdr:col>
      <xdr:colOff>1914763</xdr:colOff>
      <xdr:row>1819</xdr:row>
      <xdr:rowOff>1074936</xdr:rowOff>
    </xdr:to>
    <xdr:pic>
      <xdr:nvPicPr>
        <xdr:cNvPr id="3639" name="Picture 3638" descr="Insight Picture 3638">
          <a:extLst>
            <a:ext uri="{FF2B5EF4-FFF2-40B4-BE49-F238E27FC236}">
              <a16:creationId xmlns:a16="http://schemas.microsoft.com/office/drawing/2014/main" id="{674B70AD-0AC8-B6D6-529F-4A6D83417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9"/>
        <a:stretch>
          <a:fillRect/>
        </a:stretch>
      </xdr:blipFill>
      <xdr:spPr>
        <a:xfrm>
          <a:off x="721757" y="1625597023"/>
          <a:ext cx="1193006" cy="1014413"/>
        </a:xfrm>
        <a:prstGeom prst="rect">
          <a:avLst/>
        </a:prstGeom>
      </xdr:spPr>
    </xdr:pic>
    <xdr:clientData/>
  </xdr:twoCellAnchor>
  <xdr:twoCellAnchor editAs="oneCell">
    <xdr:from>
      <xdr:col>0</xdr:col>
      <xdr:colOff>746760</xdr:colOff>
      <xdr:row>1820</xdr:row>
      <xdr:rowOff>63083</xdr:rowOff>
    </xdr:from>
    <xdr:to>
      <xdr:col>0</xdr:col>
      <xdr:colOff>1889760</xdr:colOff>
      <xdr:row>1820</xdr:row>
      <xdr:rowOff>927477</xdr:rowOff>
    </xdr:to>
    <xdr:pic>
      <xdr:nvPicPr>
        <xdr:cNvPr id="3641" name="Picture 3640" descr="Insight Picture 3640">
          <a:extLst>
            <a:ext uri="{FF2B5EF4-FFF2-40B4-BE49-F238E27FC236}">
              <a16:creationId xmlns:a16="http://schemas.microsoft.com/office/drawing/2014/main" id="{6EC9CE02-41CE-927B-3D50-DDF9C0A7C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0"/>
        <a:stretch>
          <a:fillRect/>
        </a:stretch>
      </xdr:blipFill>
      <xdr:spPr>
        <a:xfrm>
          <a:off x="746760" y="1626734963"/>
          <a:ext cx="1143000" cy="864394"/>
        </a:xfrm>
        <a:prstGeom prst="rect">
          <a:avLst/>
        </a:prstGeom>
      </xdr:spPr>
    </xdr:pic>
    <xdr:clientData/>
  </xdr:twoCellAnchor>
  <xdr:twoCellAnchor editAs="oneCell">
    <xdr:from>
      <xdr:col>0</xdr:col>
      <xdr:colOff>636032</xdr:colOff>
      <xdr:row>1821</xdr:row>
      <xdr:rowOff>61000</xdr:rowOff>
    </xdr:from>
    <xdr:to>
      <xdr:col>0</xdr:col>
      <xdr:colOff>2000488</xdr:colOff>
      <xdr:row>1821</xdr:row>
      <xdr:rowOff>746800</xdr:rowOff>
    </xdr:to>
    <xdr:pic>
      <xdr:nvPicPr>
        <xdr:cNvPr id="3643" name="Picture 3642" descr="Insight Picture 3642">
          <a:extLst>
            <a:ext uri="{FF2B5EF4-FFF2-40B4-BE49-F238E27FC236}">
              <a16:creationId xmlns:a16="http://schemas.microsoft.com/office/drawing/2014/main" id="{8AA8247E-DC45-F8F0-4102-5E0C1DE12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1"/>
        <a:stretch>
          <a:fillRect/>
        </a:stretch>
      </xdr:blipFill>
      <xdr:spPr>
        <a:xfrm>
          <a:off x="636032" y="1627723480"/>
          <a:ext cx="1364456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746760</xdr:colOff>
      <xdr:row>1822</xdr:row>
      <xdr:rowOff>62607</xdr:rowOff>
    </xdr:from>
    <xdr:to>
      <xdr:col>0</xdr:col>
      <xdr:colOff>1889760</xdr:colOff>
      <xdr:row>1822</xdr:row>
      <xdr:rowOff>798413</xdr:rowOff>
    </xdr:to>
    <xdr:pic>
      <xdr:nvPicPr>
        <xdr:cNvPr id="3645" name="Picture 3644" descr="Insight Picture 3644">
          <a:extLst>
            <a:ext uri="{FF2B5EF4-FFF2-40B4-BE49-F238E27FC236}">
              <a16:creationId xmlns:a16="http://schemas.microsoft.com/office/drawing/2014/main" id="{FAE8D7C7-BEB2-231B-B516-6FAFBF834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2"/>
        <a:stretch>
          <a:fillRect/>
        </a:stretch>
      </xdr:blipFill>
      <xdr:spPr>
        <a:xfrm>
          <a:off x="746760" y="1628532807"/>
          <a:ext cx="1143000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514588</xdr:colOff>
      <xdr:row>1823</xdr:row>
      <xdr:rowOff>61873</xdr:rowOff>
    </xdr:from>
    <xdr:to>
      <xdr:col>0</xdr:col>
      <xdr:colOff>2121932</xdr:colOff>
      <xdr:row>1823</xdr:row>
      <xdr:rowOff>1233448</xdr:rowOff>
    </xdr:to>
    <xdr:pic>
      <xdr:nvPicPr>
        <xdr:cNvPr id="3647" name="Picture 3646" descr="Insight Picture 3646">
          <a:extLst>
            <a:ext uri="{FF2B5EF4-FFF2-40B4-BE49-F238E27FC236}">
              <a16:creationId xmlns:a16="http://schemas.microsoft.com/office/drawing/2014/main" id="{E3953B24-545C-8926-D47E-1378C1BBB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3"/>
        <a:stretch>
          <a:fillRect/>
        </a:stretch>
      </xdr:blipFill>
      <xdr:spPr>
        <a:xfrm>
          <a:off x="514588" y="1629393133"/>
          <a:ext cx="1607344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786050</xdr:colOff>
      <xdr:row>1824</xdr:row>
      <xdr:rowOff>63361</xdr:rowOff>
    </xdr:from>
    <xdr:to>
      <xdr:col>0</xdr:col>
      <xdr:colOff>1850469</xdr:colOff>
      <xdr:row>1824</xdr:row>
      <xdr:rowOff>1049199</xdr:rowOff>
    </xdr:to>
    <xdr:pic>
      <xdr:nvPicPr>
        <xdr:cNvPr id="3649" name="Picture 3648" descr="Insight Picture 3648">
          <a:extLst>
            <a:ext uri="{FF2B5EF4-FFF2-40B4-BE49-F238E27FC236}">
              <a16:creationId xmlns:a16="http://schemas.microsoft.com/office/drawing/2014/main" id="{B5E53C29-0FC0-443D-4C92-F558B9B98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4"/>
        <a:stretch>
          <a:fillRect/>
        </a:stretch>
      </xdr:blipFill>
      <xdr:spPr>
        <a:xfrm>
          <a:off x="786050" y="1630690021"/>
          <a:ext cx="1064419" cy="985838"/>
        </a:xfrm>
        <a:prstGeom prst="rect">
          <a:avLst/>
        </a:prstGeom>
      </xdr:spPr>
    </xdr:pic>
    <xdr:clientData/>
  </xdr:twoCellAnchor>
  <xdr:twoCellAnchor editAs="oneCell">
    <xdr:from>
      <xdr:col>0</xdr:col>
      <xdr:colOff>832485</xdr:colOff>
      <xdr:row>1825</xdr:row>
      <xdr:rowOff>63083</xdr:rowOff>
    </xdr:from>
    <xdr:to>
      <xdr:col>0</xdr:col>
      <xdr:colOff>1804035</xdr:colOff>
      <xdr:row>1825</xdr:row>
      <xdr:rowOff>927477</xdr:rowOff>
    </xdr:to>
    <xdr:pic>
      <xdr:nvPicPr>
        <xdr:cNvPr id="3651" name="Picture 3650" descr="Insight Picture 3650">
          <a:extLst>
            <a:ext uri="{FF2B5EF4-FFF2-40B4-BE49-F238E27FC236}">
              <a16:creationId xmlns:a16="http://schemas.microsoft.com/office/drawing/2014/main" id="{D7B436FC-5D4C-B987-91AF-D1D630380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5"/>
        <a:stretch>
          <a:fillRect/>
        </a:stretch>
      </xdr:blipFill>
      <xdr:spPr>
        <a:xfrm>
          <a:off x="832485" y="1631802263"/>
          <a:ext cx="971550" cy="864394"/>
        </a:xfrm>
        <a:prstGeom prst="rect">
          <a:avLst/>
        </a:prstGeom>
      </xdr:spPr>
    </xdr:pic>
    <xdr:clientData/>
  </xdr:twoCellAnchor>
  <xdr:twoCellAnchor editAs="oneCell">
    <xdr:from>
      <xdr:col>0</xdr:col>
      <xdr:colOff>832485</xdr:colOff>
      <xdr:row>1826</xdr:row>
      <xdr:rowOff>62885</xdr:rowOff>
    </xdr:from>
    <xdr:to>
      <xdr:col>0</xdr:col>
      <xdr:colOff>1804035</xdr:colOff>
      <xdr:row>1826</xdr:row>
      <xdr:rowOff>920135</xdr:rowOff>
    </xdr:to>
    <xdr:pic>
      <xdr:nvPicPr>
        <xdr:cNvPr id="3653" name="Picture 3652" descr="Insight Picture 3652">
          <a:extLst>
            <a:ext uri="{FF2B5EF4-FFF2-40B4-BE49-F238E27FC236}">
              <a16:creationId xmlns:a16="http://schemas.microsoft.com/office/drawing/2014/main" id="{733D4255-68C9-A976-251A-E1CD7AF15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6"/>
        <a:stretch>
          <a:fillRect/>
        </a:stretch>
      </xdr:blipFill>
      <xdr:spPr>
        <a:xfrm>
          <a:off x="832485" y="1632792665"/>
          <a:ext cx="97155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789622</xdr:colOff>
      <xdr:row>1827</xdr:row>
      <xdr:rowOff>62170</xdr:rowOff>
    </xdr:from>
    <xdr:to>
      <xdr:col>0</xdr:col>
      <xdr:colOff>1846897</xdr:colOff>
      <xdr:row>1827</xdr:row>
      <xdr:rowOff>1240889</xdr:rowOff>
    </xdr:to>
    <xdr:pic>
      <xdr:nvPicPr>
        <xdr:cNvPr id="3655" name="Picture 3654" descr="Insight Picture 3654">
          <a:extLst>
            <a:ext uri="{FF2B5EF4-FFF2-40B4-BE49-F238E27FC236}">
              <a16:creationId xmlns:a16="http://schemas.microsoft.com/office/drawing/2014/main" id="{6219AF5B-6994-0C5C-C574-895A223FC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7"/>
        <a:stretch>
          <a:fillRect/>
        </a:stretch>
      </xdr:blipFill>
      <xdr:spPr>
        <a:xfrm>
          <a:off x="789622" y="1633774930"/>
          <a:ext cx="1057275" cy="1178719"/>
        </a:xfrm>
        <a:prstGeom prst="rect">
          <a:avLst/>
        </a:prstGeom>
      </xdr:spPr>
    </xdr:pic>
    <xdr:clientData/>
  </xdr:twoCellAnchor>
  <xdr:twoCellAnchor editAs="oneCell">
    <xdr:from>
      <xdr:col>0</xdr:col>
      <xdr:colOff>832485</xdr:colOff>
      <xdr:row>1828</xdr:row>
      <xdr:rowOff>61893</xdr:rowOff>
    </xdr:from>
    <xdr:to>
      <xdr:col>0</xdr:col>
      <xdr:colOff>1804035</xdr:colOff>
      <xdr:row>1828</xdr:row>
      <xdr:rowOff>1233468</xdr:rowOff>
    </xdr:to>
    <xdr:pic>
      <xdr:nvPicPr>
        <xdr:cNvPr id="3657" name="Picture 3656" descr="Insight Picture 3656">
          <a:extLst>
            <a:ext uri="{FF2B5EF4-FFF2-40B4-BE49-F238E27FC236}">
              <a16:creationId xmlns:a16="http://schemas.microsoft.com/office/drawing/2014/main" id="{A28C0F65-1ACB-525C-CC52-2DA030A8B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8"/>
        <a:stretch>
          <a:fillRect/>
        </a:stretch>
      </xdr:blipFill>
      <xdr:spPr>
        <a:xfrm>
          <a:off x="832485" y="1635077673"/>
          <a:ext cx="971550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903923</xdr:colOff>
      <xdr:row>1829</xdr:row>
      <xdr:rowOff>63579</xdr:rowOff>
    </xdr:from>
    <xdr:to>
      <xdr:col>0</xdr:col>
      <xdr:colOff>1732598</xdr:colOff>
      <xdr:row>1829</xdr:row>
      <xdr:rowOff>1285160</xdr:rowOff>
    </xdr:to>
    <xdr:pic>
      <xdr:nvPicPr>
        <xdr:cNvPr id="3659" name="Picture 3658" descr="Insight Picture 3658">
          <a:extLst>
            <a:ext uri="{FF2B5EF4-FFF2-40B4-BE49-F238E27FC236}">
              <a16:creationId xmlns:a16="http://schemas.microsoft.com/office/drawing/2014/main" id="{2F763A85-4F8E-BDEF-2C47-94929AC47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9"/>
        <a:stretch>
          <a:fillRect/>
        </a:stretch>
      </xdr:blipFill>
      <xdr:spPr>
        <a:xfrm>
          <a:off x="903923" y="1636374759"/>
          <a:ext cx="828675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682466</xdr:colOff>
      <xdr:row>1830</xdr:row>
      <xdr:rowOff>63123</xdr:rowOff>
    </xdr:from>
    <xdr:to>
      <xdr:col>0</xdr:col>
      <xdr:colOff>1954054</xdr:colOff>
      <xdr:row>1830</xdr:row>
      <xdr:rowOff>1041817</xdr:rowOff>
    </xdr:to>
    <xdr:pic>
      <xdr:nvPicPr>
        <xdr:cNvPr id="3661" name="Picture 3660" descr="Insight Picture 3660">
          <a:extLst>
            <a:ext uri="{FF2B5EF4-FFF2-40B4-BE49-F238E27FC236}">
              <a16:creationId xmlns:a16="http://schemas.microsoft.com/office/drawing/2014/main" id="{0F0EED9C-88A7-26A5-7F5C-70CC80706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0"/>
        <a:stretch>
          <a:fillRect/>
        </a:stretch>
      </xdr:blipFill>
      <xdr:spPr>
        <a:xfrm>
          <a:off x="682466" y="1637723043"/>
          <a:ext cx="1271588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657463</xdr:colOff>
      <xdr:row>1831</xdr:row>
      <xdr:rowOff>63818</xdr:rowOff>
    </xdr:from>
    <xdr:to>
      <xdr:col>0</xdr:col>
      <xdr:colOff>1979057</xdr:colOff>
      <xdr:row>1831</xdr:row>
      <xdr:rowOff>835343</xdr:rowOff>
    </xdr:to>
    <xdr:pic>
      <xdr:nvPicPr>
        <xdr:cNvPr id="3663" name="Picture 3662" descr="Insight Picture 3662">
          <a:extLst>
            <a:ext uri="{FF2B5EF4-FFF2-40B4-BE49-F238E27FC236}">
              <a16:creationId xmlns:a16="http://schemas.microsoft.com/office/drawing/2014/main" id="{5D117376-5511-10DC-358B-89698FC39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1"/>
        <a:stretch>
          <a:fillRect/>
        </a:stretch>
      </xdr:blipFill>
      <xdr:spPr>
        <a:xfrm>
          <a:off x="657463" y="1638828638"/>
          <a:ext cx="1321594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943213</xdr:colOff>
      <xdr:row>1832</xdr:row>
      <xdr:rowOff>60206</xdr:rowOff>
    </xdr:from>
    <xdr:to>
      <xdr:col>0</xdr:col>
      <xdr:colOff>1693307</xdr:colOff>
      <xdr:row>1832</xdr:row>
      <xdr:rowOff>1067475</xdr:rowOff>
    </xdr:to>
    <xdr:pic>
      <xdr:nvPicPr>
        <xdr:cNvPr id="3665" name="Picture 3664" descr="Insight Picture 3664">
          <a:extLst>
            <a:ext uri="{FF2B5EF4-FFF2-40B4-BE49-F238E27FC236}">
              <a16:creationId xmlns:a16="http://schemas.microsoft.com/office/drawing/2014/main" id="{FE7B09D3-12EC-8B17-A46E-164F37FF7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2"/>
        <a:stretch>
          <a:fillRect/>
        </a:stretch>
      </xdr:blipFill>
      <xdr:spPr>
        <a:xfrm>
          <a:off x="943213" y="1639724186"/>
          <a:ext cx="750094" cy="1007269"/>
        </a:xfrm>
        <a:prstGeom prst="rect">
          <a:avLst/>
        </a:prstGeom>
      </xdr:spPr>
    </xdr:pic>
    <xdr:clientData/>
  </xdr:twoCellAnchor>
  <xdr:twoCellAnchor editAs="oneCell">
    <xdr:from>
      <xdr:col>0</xdr:col>
      <xdr:colOff>971788</xdr:colOff>
      <xdr:row>1833</xdr:row>
      <xdr:rowOff>62647</xdr:rowOff>
    </xdr:from>
    <xdr:to>
      <xdr:col>0</xdr:col>
      <xdr:colOff>1664732</xdr:colOff>
      <xdr:row>1833</xdr:row>
      <xdr:rowOff>798453</xdr:rowOff>
    </xdr:to>
    <xdr:pic>
      <xdr:nvPicPr>
        <xdr:cNvPr id="3667" name="Picture 3666" descr="Insight Picture 3666">
          <a:extLst>
            <a:ext uri="{FF2B5EF4-FFF2-40B4-BE49-F238E27FC236}">
              <a16:creationId xmlns:a16="http://schemas.microsoft.com/office/drawing/2014/main" id="{3262AED9-7CB8-6D1E-1C53-FF16D7B78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3"/>
        <a:stretch>
          <a:fillRect/>
        </a:stretch>
      </xdr:blipFill>
      <xdr:spPr>
        <a:xfrm>
          <a:off x="971788" y="1640854387"/>
          <a:ext cx="692944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657463</xdr:colOff>
      <xdr:row>1834</xdr:row>
      <xdr:rowOff>63103</xdr:rowOff>
    </xdr:from>
    <xdr:to>
      <xdr:col>0</xdr:col>
      <xdr:colOff>1979057</xdr:colOff>
      <xdr:row>1834</xdr:row>
      <xdr:rowOff>1041797</xdr:rowOff>
    </xdr:to>
    <xdr:pic>
      <xdr:nvPicPr>
        <xdr:cNvPr id="3669" name="Picture 3668" descr="Insight Picture 3668">
          <a:extLst>
            <a:ext uri="{FF2B5EF4-FFF2-40B4-BE49-F238E27FC236}">
              <a16:creationId xmlns:a16="http://schemas.microsoft.com/office/drawing/2014/main" id="{D8B2D8A0-F0E6-4ACF-FF84-4EB565BC8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4"/>
        <a:stretch>
          <a:fillRect/>
        </a:stretch>
      </xdr:blipFill>
      <xdr:spPr>
        <a:xfrm>
          <a:off x="657463" y="1641715903"/>
          <a:ext cx="1321594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682466</xdr:colOff>
      <xdr:row>1835</xdr:row>
      <xdr:rowOff>62409</xdr:rowOff>
    </xdr:from>
    <xdr:to>
      <xdr:col>0</xdr:col>
      <xdr:colOff>1954054</xdr:colOff>
      <xdr:row>1835</xdr:row>
      <xdr:rowOff>1133972</xdr:rowOff>
    </xdr:to>
    <xdr:pic>
      <xdr:nvPicPr>
        <xdr:cNvPr id="3671" name="Picture 3670" descr="Insight Picture 3670">
          <a:extLst>
            <a:ext uri="{FF2B5EF4-FFF2-40B4-BE49-F238E27FC236}">
              <a16:creationId xmlns:a16="http://schemas.microsoft.com/office/drawing/2014/main" id="{DDC08E58-E822-3B92-AFBE-1BBDD9932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5"/>
        <a:stretch>
          <a:fillRect/>
        </a:stretch>
      </xdr:blipFill>
      <xdr:spPr>
        <a:xfrm>
          <a:off x="682466" y="1642820109"/>
          <a:ext cx="1271588" cy="1071563"/>
        </a:xfrm>
        <a:prstGeom prst="rect">
          <a:avLst/>
        </a:prstGeom>
      </xdr:spPr>
    </xdr:pic>
    <xdr:clientData/>
  </xdr:twoCellAnchor>
  <xdr:twoCellAnchor editAs="oneCell">
    <xdr:from>
      <xdr:col>0</xdr:col>
      <xdr:colOff>807482</xdr:colOff>
      <xdr:row>1836</xdr:row>
      <xdr:rowOff>63837</xdr:rowOff>
    </xdr:from>
    <xdr:to>
      <xdr:col>0</xdr:col>
      <xdr:colOff>1829038</xdr:colOff>
      <xdr:row>1836</xdr:row>
      <xdr:rowOff>835362</xdr:rowOff>
    </xdr:to>
    <xdr:pic>
      <xdr:nvPicPr>
        <xdr:cNvPr id="3673" name="Picture 3672" descr="Insight Picture 3672">
          <a:extLst>
            <a:ext uri="{FF2B5EF4-FFF2-40B4-BE49-F238E27FC236}">
              <a16:creationId xmlns:a16="http://schemas.microsoft.com/office/drawing/2014/main" id="{0AD8B150-C907-677D-9D76-A2E26A1B7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6"/>
        <a:stretch>
          <a:fillRect/>
        </a:stretch>
      </xdr:blipFill>
      <xdr:spPr>
        <a:xfrm>
          <a:off x="807482" y="1644017877"/>
          <a:ext cx="1021556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732472</xdr:colOff>
      <xdr:row>1837</xdr:row>
      <xdr:rowOff>62111</xdr:rowOff>
    </xdr:from>
    <xdr:to>
      <xdr:col>0</xdr:col>
      <xdr:colOff>1904047</xdr:colOff>
      <xdr:row>1837</xdr:row>
      <xdr:rowOff>1126530</xdr:rowOff>
    </xdr:to>
    <xdr:pic>
      <xdr:nvPicPr>
        <xdr:cNvPr id="3675" name="Picture 3674" descr="Insight Picture 3674">
          <a:extLst>
            <a:ext uri="{FF2B5EF4-FFF2-40B4-BE49-F238E27FC236}">
              <a16:creationId xmlns:a16="http://schemas.microsoft.com/office/drawing/2014/main" id="{E5119EE6-D0E5-1AD4-2A34-11414E272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7"/>
        <a:stretch>
          <a:fillRect/>
        </a:stretch>
      </xdr:blipFill>
      <xdr:spPr>
        <a:xfrm>
          <a:off x="732472" y="1644915311"/>
          <a:ext cx="1171575" cy="1064419"/>
        </a:xfrm>
        <a:prstGeom prst="rect">
          <a:avLst/>
        </a:prstGeom>
      </xdr:spPr>
    </xdr:pic>
    <xdr:clientData/>
  </xdr:twoCellAnchor>
  <xdr:twoCellAnchor editAs="oneCell">
    <xdr:from>
      <xdr:col>0</xdr:col>
      <xdr:colOff>557450</xdr:colOff>
      <xdr:row>1838</xdr:row>
      <xdr:rowOff>61238</xdr:rowOff>
    </xdr:from>
    <xdr:to>
      <xdr:col>0</xdr:col>
      <xdr:colOff>2079069</xdr:colOff>
      <xdr:row>1838</xdr:row>
      <xdr:rowOff>1097082</xdr:rowOff>
    </xdr:to>
    <xdr:pic>
      <xdr:nvPicPr>
        <xdr:cNvPr id="3677" name="Picture 3676" descr="Insight Picture 3676">
          <a:extLst>
            <a:ext uri="{FF2B5EF4-FFF2-40B4-BE49-F238E27FC236}">
              <a16:creationId xmlns:a16="http://schemas.microsoft.com/office/drawing/2014/main" id="{E855C1DB-6203-0460-2429-0372193CC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8"/>
        <a:stretch>
          <a:fillRect/>
        </a:stretch>
      </xdr:blipFill>
      <xdr:spPr>
        <a:xfrm>
          <a:off x="557450" y="1646103158"/>
          <a:ext cx="1521619" cy="1035844"/>
        </a:xfrm>
        <a:prstGeom prst="rect">
          <a:avLst/>
        </a:prstGeom>
      </xdr:spPr>
    </xdr:pic>
    <xdr:clientData/>
  </xdr:twoCellAnchor>
  <xdr:twoCellAnchor editAs="oneCell">
    <xdr:from>
      <xdr:col>0</xdr:col>
      <xdr:colOff>803910</xdr:colOff>
      <xdr:row>1839</xdr:row>
      <xdr:rowOff>62170</xdr:rowOff>
    </xdr:from>
    <xdr:to>
      <xdr:col>0</xdr:col>
      <xdr:colOff>1832610</xdr:colOff>
      <xdr:row>1839</xdr:row>
      <xdr:rowOff>1012289</xdr:rowOff>
    </xdr:to>
    <xdr:pic>
      <xdr:nvPicPr>
        <xdr:cNvPr id="3679" name="Picture 3678" descr="Insight Picture 3678">
          <a:extLst>
            <a:ext uri="{FF2B5EF4-FFF2-40B4-BE49-F238E27FC236}">
              <a16:creationId xmlns:a16="http://schemas.microsoft.com/office/drawing/2014/main" id="{2CB01562-5DB0-0CE4-15BF-6C5F4C65B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9"/>
        <a:stretch>
          <a:fillRect/>
        </a:stretch>
      </xdr:blipFill>
      <xdr:spPr>
        <a:xfrm>
          <a:off x="803910" y="1647262330"/>
          <a:ext cx="1028700" cy="950119"/>
        </a:xfrm>
        <a:prstGeom prst="rect">
          <a:avLst/>
        </a:prstGeom>
      </xdr:spPr>
    </xdr:pic>
    <xdr:clientData/>
  </xdr:twoCellAnchor>
  <xdr:twoCellAnchor editAs="oneCell">
    <xdr:from>
      <xdr:col>0</xdr:col>
      <xdr:colOff>746760</xdr:colOff>
      <xdr:row>1840</xdr:row>
      <xdr:rowOff>61694</xdr:rowOff>
    </xdr:from>
    <xdr:to>
      <xdr:col>0</xdr:col>
      <xdr:colOff>1889760</xdr:colOff>
      <xdr:row>1840</xdr:row>
      <xdr:rowOff>1226125</xdr:rowOff>
    </xdr:to>
    <xdr:pic>
      <xdr:nvPicPr>
        <xdr:cNvPr id="3681" name="Picture 3680" descr="Insight Picture 3680">
          <a:extLst>
            <a:ext uri="{FF2B5EF4-FFF2-40B4-BE49-F238E27FC236}">
              <a16:creationId xmlns:a16="http://schemas.microsoft.com/office/drawing/2014/main" id="{93B1DFD5-C0F0-786F-E1D1-9983FA587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0"/>
        <a:stretch>
          <a:fillRect/>
        </a:stretch>
      </xdr:blipFill>
      <xdr:spPr>
        <a:xfrm>
          <a:off x="746760" y="1648336274"/>
          <a:ext cx="1143000" cy="1164431"/>
        </a:xfrm>
        <a:prstGeom prst="rect">
          <a:avLst/>
        </a:prstGeom>
      </xdr:spPr>
    </xdr:pic>
    <xdr:clientData/>
  </xdr:twoCellAnchor>
  <xdr:twoCellAnchor editAs="oneCell">
    <xdr:from>
      <xdr:col>0</xdr:col>
      <xdr:colOff>664607</xdr:colOff>
      <xdr:row>1841</xdr:row>
      <xdr:rowOff>61674</xdr:rowOff>
    </xdr:from>
    <xdr:to>
      <xdr:col>0</xdr:col>
      <xdr:colOff>1971913</xdr:colOff>
      <xdr:row>1841</xdr:row>
      <xdr:rowOff>1226105</xdr:rowOff>
    </xdr:to>
    <xdr:pic>
      <xdr:nvPicPr>
        <xdr:cNvPr id="3683" name="Picture 3682" descr="Insight Picture 3682">
          <a:extLst>
            <a:ext uri="{FF2B5EF4-FFF2-40B4-BE49-F238E27FC236}">
              <a16:creationId xmlns:a16="http://schemas.microsoft.com/office/drawing/2014/main" id="{EE4350C4-B6BE-8932-3356-88032C6D0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1"/>
        <a:stretch>
          <a:fillRect/>
        </a:stretch>
      </xdr:blipFill>
      <xdr:spPr>
        <a:xfrm>
          <a:off x="664607" y="1649624034"/>
          <a:ext cx="1307306" cy="1164431"/>
        </a:xfrm>
        <a:prstGeom prst="rect">
          <a:avLst/>
        </a:prstGeom>
      </xdr:spPr>
    </xdr:pic>
    <xdr:clientData/>
  </xdr:twoCellAnchor>
  <xdr:twoCellAnchor editAs="oneCell">
    <xdr:from>
      <xdr:col>0</xdr:col>
      <xdr:colOff>632460</xdr:colOff>
      <xdr:row>1842</xdr:row>
      <xdr:rowOff>62151</xdr:rowOff>
    </xdr:from>
    <xdr:to>
      <xdr:col>0</xdr:col>
      <xdr:colOff>2004060</xdr:colOff>
      <xdr:row>1842</xdr:row>
      <xdr:rowOff>1012270</xdr:rowOff>
    </xdr:to>
    <xdr:pic>
      <xdr:nvPicPr>
        <xdr:cNvPr id="3685" name="Picture 3684" descr="Insight Picture 3684">
          <a:extLst>
            <a:ext uri="{FF2B5EF4-FFF2-40B4-BE49-F238E27FC236}">
              <a16:creationId xmlns:a16="http://schemas.microsoft.com/office/drawing/2014/main" id="{C7437358-968C-1D90-9882-6A04E17F9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2"/>
        <a:stretch>
          <a:fillRect/>
        </a:stretch>
      </xdr:blipFill>
      <xdr:spPr>
        <a:xfrm>
          <a:off x="632460" y="1650912291"/>
          <a:ext cx="1371600" cy="950119"/>
        </a:xfrm>
        <a:prstGeom prst="rect">
          <a:avLst/>
        </a:prstGeom>
      </xdr:spPr>
    </xdr:pic>
    <xdr:clientData/>
  </xdr:twoCellAnchor>
  <xdr:twoCellAnchor editAs="oneCell">
    <xdr:from>
      <xdr:col>0</xdr:col>
      <xdr:colOff>836057</xdr:colOff>
      <xdr:row>1843</xdr:row>
      <xdr:rowOff>63560</xdr:rowOff>
    </xdr:from>
    <xdr:to>
      <xdr:col>0</xdr:col>
      <xdr:colOff>1800463</xdr:colOff>
      <xdr:row>1843</xdr:row>
      <xdr:rowOff>1285141</xdr:rowOff>
    </xdr:to>
    <xdr:pic>
      <xdr:nvPicPr>
        <xdr:cNvPr id="3687" name="Picture 3686" descr="Insight Picture 3686">
          <a:extLst>
            <a:ext uri="{FF2B5EF4-FFF2-40B4-BE49-F238E27FC236}">
              <a16:creationId xmlns:a16="http://schemas.microsoft.com/office/drawing/2014/main" id="{6F740AC1-D2AD-1F8D-7896-04BAB8108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3"/>
        <a:stretch>
          <a:fillRect/>
        </a:stretch>
      </xdr:blipFill>
      <xdr:spPr>
        <a:xfrm>
          <a:off x="836057" y="1651988120"/>
          <a:ext cx="964406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643175</xdr:colOff>
      <xdr:row>1844</xdr:row>
      <xdr:rowOff>61218</xdr:rowOff>
    </xdr:from>
    <xdr:to>
      <xdr:col>0</xdr:col>
      <xdr:colOff>1993344</xdr:colOff>
      <xdr:row>1844</xdr:row>
      <xdr:rowOff>1097062</xdr:rowOff>
    </xdr:to>
    <xdr:pic>
      <xdr:nvPicPr>
        <xdr:cNvPr id="3689" name="Picture 3688" descr="Insight Picture 3688">
          <a:extLst>
            <a:ext uri="{FF2B5EF4-FFF2-40B4-BE49-F238E27FC236}">
              <a16:creationId xmlns:a16="http://schemas.microsoft.com/office/drawing/2014/main" id="{42B106DC-A99B-356C-4D78-A7DC87C35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4"/>
        <a:stretch>
          <a:fillRect/>
        </a:stretch>
      </xdr:blipFill>
      <xdr:spPr>
        <a:xfrm>
          <a:off x="643175" y="1653334518"/>
          <a:ext cx="1350169" cy="1035844"/>
        </a:xfrm>
        <a:prstGeom prst="rect">
          <a:avLst/>
        </a:prstGeom>
      </xdr:spPr>
    </xdr:pic>
    <xdr:clientData/>
  </xdr:twoCellAnchor>
  <xdr:twoCellAnchor editAs="oneCell">
    <xdr:from>
      <xdr:col>0</xdr:col>
      <xdr:colOff>739616</xdr:colOff>
      <xdr:row>1845</xdr:row>
      <xdr:rowOff>60762</xdr:rowOff>
    </xdr:from>
    <xdr:to>
      <xdr:col>0</xdr:col>
      <xdr:colOff>1896904</xdr:colOff>
      <xdr:row>1845</xdr:row>
      <xdr:rowOff>1082318</xdr:rowOff>
    </xdr:to>
    <xdr:pic>
      <xdr:nvPicPr>
        <xdr:cNvPr id="3691" name="Picture 3690" descr="Insight Picture 3690">
          <a:extLst>
            <a:ext uri="{FF2B5EF4-FFF2-40B4-BE49-F238E27FC236}">
              <a16:creationId xmlns:a16="http://schemas.microsoft.com/office/drawing/2014/main" id="{EF091F57-BC32-1555-13A4-FF69AB09A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5"/>
        <a:stretch>
          <a:fillRect/>
        </a:stretch>
      </xdr:blipFill>
      <xdr:spPr>
        <a:xfrm>
          <a:off x="739616" y="1654492302"/>
          <a:ext cx="1157288" cy="1021556"/>
        </a:xfrm>
        <a:prstGeom prst="rect">
          <a:avLst/>
        </a:prstGeom>
      </xdr:spPr>
    </xdr:pic>
    <xdr:clientData/>
  </xdr:twoCellAnchor>
  <xdr:twoCellAnchor editAs="oneCell">
    <xdr:from>
      <xdr:col>0</xdr:col>
      <xdr:colOff>543163</xdr:colOff>
      <xdr:row>1846</xdr:row>
      <xdr:rowOff>60762</xdr:rowOff>
    </xdr:from>
    <xdr:to>
      <xdr:col>0</xdr:col>
      <xdr:colOff>2093357</xdr:colOff>
      <xdr:row>1846</xdr:row>
      <xdr:rowOff>1082318</xdr:rowOff>
    </xdr:to>
    <xdr:pic>
      <xdr:nvPicPr>
        <xdr:cNvPr id="3693" name="Picture 3692" descr="Insight Picture 3692">
          <a:extLst>
            <a:ext uri="{FF2B5EF4-FFF2-40B4-BE49-F238E27FC236}">
              <a16:creationId xmlns:a16="http://schemas.microsoft.com/office/drawing/2014/main" id="{CA81F4A0-1E61-23D1-683B-CFE42D72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6"/>
        <a:stretch>
          <a:fillRect/>
        </a:stretch>
      </xdr:blipFill>
      <xdr:spPr>
        <a:xfrm>
          <a:off x="543163" y="1655635302"/>
          <a:ext cx="1550194" cy="1021556"/>
        </a:xfrm>
        <a:prstGeom prst="rect">
          <a:avLst/>
        </a:prstGeom>
      </xdr:spPr>
    </xdr:pic>
    <xdr:clientData/>
  </xdr:twoCellAnchor>
  <xdr:twoCellAnchor editAs="oneCell">
    <xdr:from>
      <xdr:col>0</xdr:col>
      <xdr:colOff>918210</xdr:colOff>
      <xdr:row>1847</xdr:row>
      <xdr:rowOff>63540</xdr:rowOff>
    </xdr:from>
    <xdr:to>
      <xdr:col>0</xdr:col>
      <xdr:colOff>1718310</xdr:colOff>
      <xdr:row>1847</xdr:row>
      <xdr:rowOff>1285121</xdr:rowOff>
    </xdr:to>
    <xdr:pic>
      <xdr:nvPicPr>
        <xdr:cNvPr id="3695" name="Picture 3694" descr="Insight Picture 3694">
          <a:extLst>
            <a:ext uri="{FF2B5EF4-FFF2-40B4-BE49-F238E27FC236}">
              <a16:creationId xmlns:a16="http://schemas.microsoft.com/office/drawing/2014/main" id="{9576E64E-8E0B-4637-1D87-40053CEA5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7"/>
        <a:stretch>
          <a:fillRect/>
        </a:stretch>
      </xdr:blipFill>
      <xdr:spPr>
        <a:xfrm>
          <a:off x="918210" y="1656781080"/>
          <a:ext cx="800100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993220</xdr:colOff>
      <xdr:row>1848</xdr:row>
      <xdr:rowOff>63579</xdr:rowOff>
    </xdr:from>
    <xdr:to>
      <xdr:col>0</xdr:col>
      <xdr:colOff>1643301</xdr:colOff>
      <xdr:row>1848</xdr:row>
      <xdr:rowOff>1285160</xdr:rowOff>
    </xdr:to>
    <xdr:pic>
      <xdr:nvPicPr>
        <xdr:cNvPr id="3697" name="Picture 3696" descr="Insight Picture 3696">
          <a:extLst>
            <a:ext uri="{FF2B5EF4-FFF2-40B4-BE49-F238E27FC236}">
              <a16:creationId xmlns:a16="http://schemas.microsoft.com/office/drawing/2014/main" id="{1CA23A7C-D379-CEEC-2FEF-6653D2522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8"/>
        <a:stretch>
          <a:fillRect/>
        </a:stretch>
      </xdr:blipFill>
      <xdr:spPr>
        <a:xfrm>
          <a:off x="993220" y="1658129859"/>
          <a:ext cx="650081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918210</xdr:colOff>
      <xdr:row>1849</xdr:row>
      <xdr:rowOff>61436</xdr:rowOff>
    </xdr:from>
    <xdr:to>
      <xdr:col>0</xdr:col>
      <xdr:colOff>1718310</xdr:colOff>
      <xdr:row>1849</xdr:row>
      <xdr:rowOff>1104424</xdr:rowOff>
    </xdr:to>
    <xdr:pic>
      <xdr:nvPicPr>
        <xdr:cNvPr id="3699" name="Picture 3698" descr="Insight Picture 3698">
          <a:extLst>
            <a:ext uri="{FF2B5EF4-FFF2-40B4-BE49-F238E27FC236}">
              <a16:creationId xmlns:a16="http://schemas.microsoft.com/office/drawing/2014/main" id="{D2FD6A3F-618A-044F-30B8-71CAD1EF0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9"/>
        <a:stretch>
          <a:fillRect/>
        </a:stretch>
      </xdr:blipFill>
      <xdr:spPr>
        <a:xfrm>
          <a:off x="918210" y="1659476456"/>
          <a:ext cx="800100" cy="1042988"/>
        </a:xfrm>
        <a:prstGeom prst="rect">
          <a:avLst/>
        </a:prstGeom>
      </xdr:spPr>
    </xdr:pic>
    <xdr:clientData/>
  </xdr:twoCellAnchor>
  <xdr:twoCellAnchor editAs="oneCell">
    <xdr:from>
      <xdr:col>0</xdr:col>
      <xdr:colOff>918210</xdr:colOff>
      <xdr:row>1850</xdr:row>
      <xdr:rowOff>61397</xdr:rowOff>
    </xdr:from>
    <xdr:to>
      <xdr:col>0</xdr:col>
      <xdr:colOff>1718310</xdr:colOff>
      <xdr:row>1850</xdr:row>
      <xdr:rowOff>1104385</xdr:rowOff>
    </xdr:to>
    <xdr:pic>
      <xdr:nvPicPr>
        <xdr:cNvPr id="3701" name="Picture 3700" descr="Insight Picture 3700">
          <a:extLst>
            <a:ext uri="{FF2B5EF4-FFF2-40B4-BE49-F238E27FC236}">
              <a16:creationId xmlns:a16="http://schemas.microsoft.com/office/drawing/2014/main" id="{23B97EF9-2766-FF8E-346D-779BD0DC4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0"/>
        <a:stretch>
          <a:fillRect/>
        </a:stretch>
      </xdr:blipFill>
      <xdr:spPr>
        <a:xfrm>
          <a:off x="918210" y="1660642277"/>
          <a:ext cx="800100" cy="1042988"/>
        </a:xfrm>
        <a:prstGeom prst="rect">
          <a:avLst/>
        </a:prstGeom>
      </xdr:spPr>
    </xdr:pic>
    <xdr:clientData/>
  </xdr:twoCellAnchor>
  <xdr:twoCellAnchor editAs="oneCell">
    <xdr:from>
      <xdr:col>0</xdr:col>
      <xdr:colOff>825341</xdr:colOff>
      <xdr:row>1851</xdr:row>
      <xdr:rowOff>61952</xdr:rowOff>
    </xdr:from>
    <xdr:to>
      <xdr:col>0</xdr:col>
      <xdr:colOff>1811179</xdr:colOff>
      <xdr:row>1851</xdr:row>
      <xdr:rowOff>1119227</xdr:rowOff>
    </xdr:to>
    <xdr:pic>
      <xdr:nvPicPr>
        <xdr:cNvPr id="3703" name="Picture 3702" descr="Insight Picture 3702">
          <a:extLst>
            <a:ext uri="{FF2B5EF4-FFF2-40B4-BE49-F238E27FC236}">
              <a16:creationId xmlns:a16="http://schemas.microsoft.com/office/drawing/2014/main" id="{BE72D654-54F3-6094-1152-4F1DF6B1F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1"/>
        <a:stretch>
          <a:fillRect/>
        </a:stretch>
      </xdr:blipFill>
      <xdr:spPr>
        <a:xfrm>
          <a:off x="825341" y="1661808692"/>
          <a:ext cx="985838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618172</xdr:colOff>
      <xdr:row>1852</xdr:row>
      <xdr:rowOff>61952</xdr:rowOff>
    </xdr:from>
    <xdr:to>
      <xdr:col>0</xdr:col>
      <xdr:colOff>2018347</xdr:colOff>
      <xdr:row>1852</xdr:row>
      <xdr:rowOff>1233527</xdr:rowOff>
    </xdr:to>
    <xdr:pic>
      <xdr:nvPicPr>
        <xdr:cNvPr id="3705" name="Picture 3704" descr="Insight Picture 3704">
          <a:extLst>
            <a:ext uri="{FF2B5EF4-FFF2-40B4-BE49-F238E27FC236}">
              <a16:creationId xmlns:a16="http://schemas.microsoft.com/office/drawing/2014/main" id="{24756B46-9686-7933-A00C-A9D97FE3D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2"/>
        <a:stretch>
          <a:fillRect/>
        </a:stretch>
      </xdr:blipFill>
      <xdr:spPr>
        <a:xfrm>
          <a:off x="618172" y="1662989792"/>
          <a:ext cx="1400175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525303</xdr:colOff>
      <xdr:row>1853</xdr:row>
      <xdr:rowOff>61456</xdr:rowOff>
    </xdr:from>
    <xdr:to>
      <xdr:col>0</xdr:col>
      <xdr:colOff>2111216</xdr:colOff>
      <xdr:row>1853</xdr:row>
      <xdr:rowOff>1104444</xdr:rowOff>
    </xdr:to>
    <xdr:pic>
      <xdr:nvPicPr>
        <xdr:cNvPr id="3707" name="Picture 3706" descr="Insight Picture 3706">
          <a:extLst>
            <a:ext uri="{FF2B5EF4-FFF2-40B4-BE49-F238E27FC236}">
              <a16:creationId xmlns:a16="http://schemas.microsoft.com/office/drawing/2014/main" id="{A6A22563-F19A-C0DF-9EB5-0C6D0FC46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3"/>
        <a:stretch>
          <a:fillRect/>
        </a:stretch>
      </xdr:blipFill>
      <xdr:spPr>
        <a:xfrm>
          <a:off x="525303" y="1664284696"/>
          <a:ext cx="1585913" cy="1042988"/>
        </a:xfrm>
        <a:prstGeom prst="rect">
          <a:avLst/>
        </a:prstGeom>
      </xdr:spPr>
    </xdr:pic>
    <xdr:clientData/>
  </xdr:twoCellAnchor>
  <xdr:twoCellAnchor editAs="oneCell">
    <xdr:from>
      <xdr:col>0</xdr:col>
      <xdr:colOff>918210</xdr:colOff>
      <xdr:row>1854</xdr:row>
      <xdr:rowOff>63302</xdr:rowOff>
    </xdr:from>
    <xdr:to>
      <xdr:col>0</xdr:col>
      <xdr:colOff>1718310</xdr:colOff>
      <xdr:row>1854</xdr:row>
      <xdr:rowOff>1277740</xdr:rowOff>
    </xdr:to>
    <xdr:pic>
      <xdr:nvPicPr>
        <xdr:cNvPr id="3709" name="Picture 3708" descr="Insight Picture 3708">
          <a:extLst>
            <a:ext uri="{FF2B5EF4-FFF2-40B4-BE49-F238E27FC236}">
              <a16:creationId xmlns:a16="http://schemas.microsoft.com/office/drawing/2014/main" id="{04BDB15B-64C9-C3E4-3BA9-2CC12EB78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4"/>
        <a:stretch>
          <a:fillRect/>
        </a:stretch>
      </xdr:blipFill>
      <xdr:spPr>
        <a:xfrm>
          <a:off x="918210" y="1665452402"/>
          <a:ext cx="800100" cy="1214438"/>
        </a:xfrm>
        <a:prstGeom prst="rect">
          <a:avLst/>
        </a:prstGeom>
      </xdr:spPr>
    </xdr:pic>
    <xdr:clientData/>
  </xdr:twoCellAnchor>
  <xdr:twoCellAnchor editAs="oneCell">
    <xdr:from>
      <xdr:col>0</xdr:col>
      <xdr:colOff>818198</xdr:colOff>
      <xdr:row>1855</xdr:row>
      <xdr:rowOff>63619</xdr:rowOff>
    </xdr:from>
    <xdr:to>
      <xdr:col>0</xdr:col>
      <xdr:colOff>1818323</xdr:colOff>
      <xdr:row>1855</xdr:row>
      <xdr:rowOff>942300</xdr:rowOff>
    </xdr:to>
    <xdr:pic>
      <xdr:nvPicPr>
        <xdr:cNvPr id="3711" name="Picture 3710" descr="Insight Picture 3710">
          <a:extLst>
            <a:ext uri="{FF2B5EF4-FFF2-40B4-BE49-F238E27FC236}">
              <a16:creationId xmlns:a16="http://schemas.microsoft.com/office/drawing/2014/main" id="{0E294283-5EF1-BA97-350A-94AA36FEB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5"/>
        <a:stretch>
          <a:fillRect/>
        </a:stretch>
      </xdr:blipFill>
      <xdr:spPr>
        <a:xfrm>
          <a:off x="818198" y="1666793839"/>
          <a:ext cx="1000125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925353</xdr:colOff>
      <xdr:row>1856</xdr:row>
      <xdr:rowOff>60682</xdr:rowOff>
    </xdr:from>
    <xdr:to>
      <xdr:col>0</xdr:col>
      <xdr:colOff>1711166</xdr:colOff>
      <xdr:row>1856</xdr:row>
      <xdr:rowOff>1196538</xdr:rowOff>
    </xdr:to>
    <xdr:pic>
      <xdr:nvPicPr>
        <xdr:cNvPr id="3713" name="Picture 3712" descr="Insight Picture 3712">
          <a:extLst>
            <a:ext uri="{FF2B5EF4-FFF2-40B4-BE49-F238E27FC236}">
              <a16:creationId xmlns:a16="http://schemas.microsoft.com/office/drawing/2014/main" id="{C6347252-E09C-7F1E-925E-9EA2FA959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6"/>
        <a:stretch>
          <a:fillRect/>
        </a:stretch>
      </xdr:blipFill>
      <xdr:spPr>
        <a:xfrm>
          <a:off x="925353" y="1667796742"/>
          <a:ext cx="785813" cy="1135856"/>
        </a:xfrm>
        <a:prstGeom prst="rect">
          <a:avLst/>
        </a:prstGeom>
      </xdr:spPr>
    </xdr:pic>
    <xdr:clientData/>
  </xdr:twoCellAnchor>
  <xdr:twoCellAnchor editAs="oneCell">
    <xdr:from>
      <xdr:col>0</xdr:col>
      <xdr:colOff>768191</xdr:colOff>
      <xdr:row>1857</xdr:row>
      <xdr:rowOff>60285</xdr:rowOff>
    </xdr:from>
    <xdr:to>
      <xdr:col>0</xdr:col>
      <xdr:colOff>1868329</xdr:colOff>
      <xdr:row>1857</xdr:row>
      <xdr:rowOff>953254</xdr:rowOff>
    </xdr:to>
    <xdr:pic>
      <xdr:nvPicPr>
        <xdr:cNvPr id="3715" name="Picture 3714" descr="Insight Picture 3714">
          <a:extLst>
            <a:ext uri="{FF2B5EF4-FFF2-40B4-BE49-F238E27FC236}">
              <a16:creationId xmlns:a16="http://schemas.microsoft.com/office/drawing/2014/main" id="{631A4B7E-F955-9F8E-7168-478D4BBC9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7"/>
        <a:stretch>
          <a:fillRect/>
        </a:stretch>
      </xdr:blipFill>
      <xdr:spPr>
        <a:xfrm>
          <a:off x="768191" y="1669053645"/>
          <a:ext cx="1100138" cy="892969"/>
        </a:xfrm>
        <a:prstGeom prst="rect">
          <a:avLst/>
        </a:prstGeom>
      </xdr:spPr>
    </xdr:pic>
    <xdr:clientData/>
  </xdr:twoCellAnchor>
  <xdr:twoCellAnchor editAs="oneCell">
    <xdr:from>
      <xdr:col>0</xdr:col>
      <xdr:colOff>1103948</xdr:colOff>
      <xdr:row>1858</xdr:row>
      <xdr:rowOff>61238</xdr:rowOff>
    </xdr:from>
    <xdr:to>
      <xdr:col>0</xdr:col>
      <xdr:colOff>1532573</xdr:colOff>
      <xdr:row>1858</xdr:row>
      <xdr:rowOff>868482</xdr:rowOff>
    </xdr:to>
    <xdr:pic>
      <xdr:nvPicPr>
        <xdr:cNvPr id="3717" name="Picture 3716" descr="Insight Picture 3716">
          <a:extLst>
            <a:ext uri="{FF2B5EF4-FFF2-40B4-BE49-F238E27FC236}">
              <a16:creationId xmlns:a16="http://schemas.microsoft.com/office/drawing/2014/main" id="{C27F4DD3-74F0-E684-EEF9-7E067CFD2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8"/>
        <a:stretch>
          <a:fillRect/>
        </a:stretch>
      </xdr:blipFill>
      <xdr:spPr>
        <a:xfrm>
          <a:off x="1103948" y="1670068058"/>
          <a:ext cx="428625" cy="807244"/>
        </a:xfrm>
        <a:prstGeom prst="rect">
          <a:avLst/>
        </a:prstGeom>
      </xdr:spPr>
    </xdr:pic>
    <xdr:clientData/>
  </xdr:twoCellAnchor>
  <xdr:twoCellAnchor editAs="oneCell">
    <xdr:from>
      <xdr:col>0</xdr:col>
      <xdr:colOff>814625</xdr:colOff>
      <xdr:row>1859</xdr:row>
      <xdr:rowOff>63063</xdr:rowOff>
    </xdr:from>
    <xdr:to>
      <xdr:col>0</xdr:col>
      <xdr:colOff>1821894</xdr:colOff>
      <xdr:row>1859</xdr:row>
      <xdr:rowOff>584557</xdr:rowOff>
    </xdr:to>
    <xdr:pic>
      <xdr:nvPicPr>
        <xdr:cNvPr id="3719" name="Picture 3718" descr="Insight Picture 3718">
          <a:extLst>
            <a:ext uri="{FF2B5EF4-FFF2-40B4-BE49-F238E27FC236}">
              <a16:creationId xmlns:a16="http://schemas.microsoft.com/office/drawing/2014/main" id="{2F315816-B4D4-642A-69B0-FCB7DF762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9"/>
        <a:stretch>
          <a:fillRect/>
        </a:stretch>
      </xdr:blipFill>
      <xdr:spPr>
        <a:xfrm>
          <a:off x="814625" y="1670999523"/>
          <a:ext cx="1007269" cy="521494"/>
        </a:xfrm>
        <a:prstGeom prst="rect">
          <a:avLst/>
        </a:prstGeom>
      </xdr:spPr>
    </xdr:pic>
    <xdr:clientData/>
  </xdr:twoCellAnchor>
  <xdr:twoCellAnchor editAs="oneCell">
    <xdr:from>
      <xdr:col>0</xdr:col>
      <xdr:colOff>711041</xdr:colOff>
      <xdr:row>1860</xdr:row>
      <xdr:rowOff>60682</xdr:rowOff>
    </xdr:from>
    <xdr:to>
      <xdr:col>0</xdr:col>
      <xdr:colOff>1925479</xdr:colOff>
      <xdr:row>1860</xdr:row>
      <xdr:rowOff>853638</xdr:rowOff>
    </xdr:to>
    <xdr:pic>
      <xdr:nvPicPr>
        <xdr:cNvPr id="3721" name="Picture 3720" descr="Insight Picture 3720">
          <a:extLst>
            <a:ext uri="{FF2B5EF4-FFF2-40B4-BE49-F238E27FC236}">
              <a16:creationId xmlns:a16="http://schemas.microsoft.com/office/drawing/2014/main" id="{CF7FEBAF-771D-CD4B-62CD-8A029E97B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0"/>
        <a:stretch>
          <a:fillRect/>
        </a:stretch>
      </xdr:blipFill>
      <xdr:spPr>
        <a:xfrm>
          <a:off x="711041" y="1671644842"/>
          <a:ext cx="1214438" cy="792956"/>
        </a:xfrm>
        <a:prstGeom prst="rect">
          <a:avLst/>
        </a:prstGeom>
      </xdr:spPr>
    </xdr:pic>
    <xdr:clientData/>
  </xdr:twoCellAnchor>
  <xdr:twoCellAnchor editAs="oneCell">
    <xdr:from>
      <xdr:col>0</xdr:col>
      <xdr:colOff>671750</xdr:colOff>
      <xdr:row>1861</xdr:row>
      <xdr:rowOff>61873</xdr:rowOff>
    </xdr:from>
    <xdr:to>
      <xdr:col>0</xdr:col>
      <xdr:colOff>1964769</xdr:colOff>
      <xdr:row>1861</xdr:row>
      <xdr:rowOff>890548</xdr:rowOff>
    </xdr:to>
    <xdr:pic>
      <xdr:nvPicPr>
        <xdr:cNvPr id="3723" name="Picture 3722" descr="Insight Picture 3722">
          <a:extLst>
            <a:ext uri="{FF2B5EF4-FFF2-40B4-BE49-F238E27FC236}">
              <a16:creationId xmlns:a16="http://schemas.microsoft.com/office/drawing/2014/main" id="{08EAD994-3DB5-95E6-200B-909D2FFD8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1"/>
        <a:stretch>
          <a:fillRect/>
        </a:stretch>
      </xdr:blipFill>
      <xdr:spPr>
        <a:xfrm>
          <a:off x="671750" y="1672560433"/>
          <a:ext cx="1293019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703897</xdr:colOff>
      <xdr:row>1862</xdr:row>
      <xdr:rowOff>63659</xdr:rowOff>
    </xdr:from>
    <xdr:to>
      <xdr:col>0</xdr:col>
      <xdr:colOff>1932622</xdr:colOff>
      <xdr:row>1862</xdr:row>
      <xdr:rowOff>1285240</xdr:rowOff>
    </xdr:to>
    <xdr:pic>
      <xdr:nvPicPr>
        <xdr:cNvPr id="3725" name="Picture 3724" descr="Insight Picture 3724">
          <a:extLst>
            <a:ext uri="{FF2B5EF4-FFF2-40B4-BE49-F238E27FC236}">
              <a16:creationId xmlns:a16="http://schemas.microsoft.com/office/drawing/2014/main" id="{AD5E54C2-D69A-7518-F4EF-6ECBA0E57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2"/>
        <a:stretch>
          <a:fillRect/>
        </a:stretch>
      </xdr:blipFill>
      <xdr:spPr>
        <a:xfrm>
          <a:off x="703897" y="1673514719"/>
          <a:ext cx="1228725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775335</xdr:colOff>
      <xdr:row>1863</xdr:row>
      <xdr:rowOff>61119</xdr:rowOff>
    </xdr:from>
    <xdr:to>
      <xdr:col>0</xdr:col>
      <xdr:colOff>1861185</xdr:colOff>
      <xdr:row>1863</xdr:row>
      <xdr:rowOff>868363</xdr:rowOff>
    </xdr:to>
    <xdr:pic>
      <xdr:nvPicPr>
        <xdr:cNvPr id="3727" name="Picture 3726" descr="Insight Picture 3726">
          <a:extLst>
            <a:ext uri="{FF2B5EF4-FFF2-40B4-BE49-F238E27FC236}">
              <a16:creationId xmlns:a16="http://schemas.microsoft.com/office/drawing/2014/main" id="{C87D8C7F-437E-CEB0-7AC9-A461BFB7C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3"/>
        <a:stretch>
          <a:fillRect/>
        </a:stretch>
      </xdr:blipFill>
      <xdr:spPr>
        <a:xfrm>
          <a:off x="775335" y="1674860919"/>
          <a:ext cx="1085850" cy="807244"/>
        </a:xfrm>
        <a:prstGeom prst="rect">
          <a:avLst/>
        </a:prstGeom>
      </xdr:spPr>
    </xdr:pic>
    <xdr:clientData/>
  </xdr:twoCellAnchor>
  <xdr:twoCellAnchor editAs="oneCell">
    <xdr:from>
      <xdr:col>0</xdr:col>
      <xdr:colOff>643175</xdr:colOff>
      <xdr:row>1864</xdr:row>
      <xdr:rowOff>60166</xdr:rowOff>
    </xdr:from>
    <xdr:to>
      <xdr:col>0</xdr:col>
      <xdr:colOff>1993344</xdr:colOff>
      <xdr:row>1864</xdr:row>
      <xdr:rowOff>953135</xdr:rowOff>
    </xdr:to>
    <xdr:pic>
      <xdr:nvPicPr>
        <xdr:cNvPr id="3729" name="Picture 3728" descr="Insight Picture 3728">
          <a:extLst>
            <a:ext uri="{FF2B5EF4-FFF2-40B4-BE49-F238E27FC236}">
              <a16:creationId xmlns:a16="http://schemas.microsoft.com/office/drawing/2014/main" id="{6D3D7891-BE13-B23B-0868-19F80F272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4"/>
        <a:stretch>
          <a:fillRect/>
        </a:stretch>
      </xdr:blipFill>
      <xdr:spPr>
        <a:xfrm>
          <a:off x="643175" y="1675789606"/>
          <a:ext cx="1350169" cy="892969"/>
        </a:xfrm>
        <a:prstGeom prst="rect">
          <a:avLst/>
        </a:prstGeom>
      </xdr:spPr>
    </xdr:pic>
    <xdr:clientData/>
  </xdr:twoCellAnchor>
  <xdr:twoCellAnchor editAs="oneCell">
    <xdr:from>
      <xdr:col>0</xdr:col>
      <xdr:colOff>564595</xdr:colOff>
      <xdr:row>1865</xdr:row>
      <xdr:rowOff>61119</xdr:rowOff>
    </xdr:from>
    <xdr:to>
      <xdr:col>0</xdr:col>
      <xdr:colOff>2071926</xdr:colOff>
      <xdr:row>1865</xdr:row>
      <xdr:rowOff>982663</xdr:rowOff>
    </xdr:to>
    <xdr:pic>
      <xdr:nvPicPr>
        <xdr:cNvPr id="3731" name="Picture 3730" descr="Insight Picture 3730">
          <a:extLst>
            <a:ext uri="{FF2B5EF4-FFF2-40B4-BE49-F238E27FC236}">
              <a16:creationId xmlns:a16="http://schemas.microsoft.com/office/drawing/2014/main" id="{D2767DF1-3DA1-ECED-11C2-93FC9014D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5"/>
        <a:stretch>
          <a:fillRect/>
        </a:stretch>
      </xdr:blipFill>
      <xdr:spPr>
        <a:xfrm>
          <a:off x="564595" y="1676804019"/>
          <a:ext cx="1507331" cy="921544"/>
        </a:xfrm>
        <a:prstGeom prst="rect">
          <a:avLst/>
        </a:prstGeom>
      </xdr:spPr>
    </xdr:pic>
    <xdr:clientData/>
  </xdr:twoCellAnchor>
  <xdr:twoCellAnchor editAs="oneCell">
    <xdr:from>
      <xdr:col>0</xdr:col>
      <xdr:colOff>546735</xdr:colOff>
      <xdr:row>1866</xdr:row>
      <xdr:rowOff>63540</xdr:rowOff>
    </xdr:from>
    <xdr:to>
      <xdr:col>0</xdr:col>
      <xdr:colOff>2089785</xdr:colOff>
      <xdr:row>1866</xdr:row>
      <xdr:rowOff>942221</xdr:rowOff>
    </xdr:to>
    <xdr:pic>
      <xdr:nvPicPr>
        <xdr:cNvPr id="3733" name="Picture 3732" descr="Insight Picture 3732">
          <a:extLst>
            <a:ext uri="{FF2B5EF4-FFF2-40B4-BE49-F238E27FC236}">
              <a16:creationId xmlns:a16="http://schemas.microsoft.com/office/drawing/2014/main" id="{B6A508BC-4369-8E6D-9CDA-90F4FB9FC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6"/>
        <a:stretch>
          <a:fillRect/>
        </a:stretch>
      </xdr:blipFill>
      <xdr:spPr>
        <a:xfrm>
          <a:off x="546735" y="1677850380"/>
          <a:ext cx="1543050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650320</xdr:colOff>
      <xdr:row>1867</xdr:row>
      <xdr:rowOff>60801</xdr:rowOff>
    </xdr:from>
    <xdr:to>
      <xdr:col>0</xdr:col>
      <xdr:colOff>1986201</xdr:colOff>
      <xdr:row>1867</xdr:row>
      <xdr:rowOff>968057</xdr:rowOff>
    </xdr:to>
    <xdr:pic>
      <xdr:nvPicPr>
        <xdr:cNvPr id="3735" name="Picture 3734" descr="Insight Picture 3734">
          <a:extLst>
            <a:ext uri="{FF2B5EF4-FFF2-40B4-BE49-F238E27FC236}">
              <a16:creationId xmlns:a16="http://schemas.microsoft.com/office/drawing/2014/main" id="{CDEDA8AF-50BE-3F86-13CD-EC82F1E56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7"/>
        <a:stretch>
          <a:fillRect/>
        </a:stretch>
      </xdr:blipFill>
      <xdr:spPr>
        <a:xfrm>
          <a:off x="650320" y="1678853481"/>
          <a:ext cx="1335881" cy="907256"/>
        </a:xfrm>
        <a:prstGeom prst="rect">
          <a:avLst/>
        </a:prstGeom>
      </xdr:spPr>
    </xdr:pic>
    <xdr:clientData/>
  </xdr:twoCellAnchor>
  <xdr:twoCellAnchor editAs="oneCell">
    <xdr:from>
      <xdr:col>0</xdr:col>
      <xdr:colOff>600313</xdr:colOff>
      <xdr:row>1868</xdr:row>
      <xdr:rowOff>61397</xdr:rowOff>
    </xdr:from>
    <xdr:to>
      <xdr:col>0</xdr:col>
      <xdr:colOff>2036207</xdr:colOff>
      <xdr:row>1868</xdr:row>
      <xdr:rowOff>990085</xdr:rowOff>
    </xdr:to>
    <xdr:pic>
      <xdr:nvPicPr>
        <xdr:cNvPr id="3737" name="Picture 3736" descr="Insight Picture 3736">
          <a:extLst>
            <a:ext uri="{FF2B5EF4-FFF2-40B4-BE49-F238E27FC236}">
              <a16:creationId xmlns:a16="http://schemas.microsoft.com/office/drawing/2014/main" id="{9E33B13C-8A28-4A48-B6BA-18B3D5758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8"/>
        <a:stretch>
          <a:fillRect/>
        </a:stretch>
      </xdr:blipFill>
      <xdr:spPr>
        <a:xfrm>
          <a:off x="600313" y="1679882777"/>
          <a:ext cx="1435894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875348</xdr:colOff>
      <xdr:row>1869</xdr:row>
      <xdr:rowOff>63540</xdr:rowOff>
    </xdr:from>
    <xdr:to>
      <xdr:col>0</xdr:col>
      <xdr:colOff>1761173</xdr:colOff>
      <xdr:row>1869</xdr:row>
      <xdr:rowOff>1285121</xdr:rowOff>
    </xdr:to>
    <xdr:pic>
      <xdr:nvPicPr>
        <xdr:cNvPr id="3739" name="Picture 3738" descr="Insight Picture 3738">
          <a:extLst>
            <a:ext uri="{FF2B5EF4-FFF2-40B4-BE49-F238E27FC236}">
              <a16:creationId xmlns:a16="http://schemas.microsoft.com/office/drawing/2014/main" id="{089A65F4-4AA8-3287-0B85-A123ADB93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9"/>
        <a:stretch>
          <a:fillRect/>
        </a:stretch>
      </xdr:blipFill>
      <xdr:spPr>
        <a:xfrm>
          <a:off x="875348" y="1680936480"/>
          <a:ext cx="885825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850345</xdr:colOff>
      <xdr:row>1870</xdr:row>
      <xdr:rowOff>63183</xdr:rowOff>
    </xdr:from>
    <xdr:to>
      <xdr:col>0</xdr:col>
      <xdr:colOff>1786176</xdr:colOff>
      <xdr:row>1870</xdr:row>
      <xdr:rowOff>1041877</xdr:rowOff>
    </xdr:to>
    <xdr:pic>
      <xdr:nvPicPr>
        <xdr:cNvPr id="3741" name="Picture 3740" descr="Insight Picture 3740">
          <a:extLst>
            <a:ext uri="{FF2B5EF4-FFF2-40B4-BE49-F238E27FC236}">
              <a16:creationId xmlns:a16="http://schemas.microsoft.com/office/drawing/2014/main" id="{F95B2797-19DB-0A17-0354-ABDBBCBA9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0"/>
        <a:stretch>
          <a:fillRect/>
        </a:stretch>
      </xdr:blipFill>
      <xdr:spPr>
        <a:xfrm>
          <a:off x="850345" y="1682284863"/>
          <a:ext cx="935831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628888</xdr:colOff>
      <xdr:row>1871</xdr:row>
      <xdr:rowOff>61992</xdr:rowOff>
    </xdr:from>
    <xdr:to>
      <xdr:col>0</xdr:col>
      <xdr:colOff>2007632</xdr:colOff>
      <xdr:row>1871</xdr:row>
      <xdr:rowOff>890667</xdr:rowOff>
    </xdr:to>
    <xdr:pic>
      <xdr:nvPicPr>
        <xdr:cNvPr id="3743" name="Picture 3742" descr="Insight Picture 3742">
          <a:extLst>
            <a:ext uri="{FF2B5EF4-FFF2-40B4-BE49-F238E27FC236}">
              <a16:creationId xmlns:a16="http://schemas.microsoft.com/office/drawing/2014/main" id="{1AF326CF-2EA2-5BDE-7193-729EEBDBC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1"/>
        <a:stretch>
          <a:fillRect/>
        </a:stretch>
      </xdr:blipFill>
      <xdr:spPr>
        <a:xfrm>
          <a:off x="628888" y="1683388572"/>
          <a:ext cx="1378744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707470</xdr:colOff>
      <xdr:row>1872</xdr:row>
      <xdr:rowOff>60404</xdr:rowOff>
    </xdr:from>
    <xdr:to>
      <xdr:col>0</xdr:col>
      <xdr:colOff>1929051</xdr:colOff>
      <xdr:row>1872</xdr:row>
      <xdr:rowOff>1189117</xdr:rowOff>
    </xdr:to>
    <xdr:pic>
      <xdr:nvPicPr>
        <xdr:cNvPr id="3745" name="Picture 3744" descr="Insight Picture 3744">
          <a:extLst>
            <a:ext uri="{FF2B5EF4-FFF2-40B4-BE49-F238E27FC236}">
              <a16:creationId xmlns:a16="http://schemas.microsoft.com/office/drawing/2014/main" id="{549BF24E-D821-FEDC-30FE-E8536EB7A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2"/>
        <a:stretch>
          <a:fillRect/>
        </a:stretch>
      </xdr:blipFill>
      <xdr:spPr>
        <a:xfrm>
          <a:off x="707470" y="1684339484"/>
          <a:ext cx="1221581" cy="1128713"/>
        </a:xfrm>
        <a:prstGeom prst="rect">
          <a:avLst/>
        </a:prstGeom>
      </xdr:spPr>
    </xdr:pic>
    <xdr:clientData/>
  </xdr:twoCellAnchor>
  <xdr:twoCellAnchor editAs="oneCell">
    <xdr:from>
      <xdr:col>0</xdr:col>
      <xdr:colOff>653891</xdr:colOff>
      <xdr:row>1873</xdr:row>
      <xdr:rowOff>60484</xdr:rowOff>
    </xdr:from>
    <xdr:to>
      <xdr:col>0</xdr:col>
      <xdr:colOff>1982629</xdr:colOff>
      <xdr:row>1873</xdr:row>
      <xdr:rowOff>1189197</xdr:rowOff>
    </xdr:to>
    <xdr:pic>
      <xdr:nvPicPr>
        <xdr:cNvPr id="3747" name="Picture 3746" descr="Insight Picture 3746">
          <a:extLst>
            <a:ext uri="{FF2B5EF4-FFF2-40B4-BE49-F238E27FC236}">
              <a16:creationId xmlns:a16="http://schemas.microsoft.com/office/drawing/2014/main" id="{E0FC132B-54D9-BC3C-F589-9B322B5C8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3"/>
        <a:stretch>
          <a:fillRect/>
        </a:stretch>
      </xdr:blipFill>
      <xdr:spPr>
        <a:xfrm>
          <a:off x="653891" y="1685589244"/>
          <a:ext cx="1328738" cy="1128713"/>
        </a:xfrm>
        <a:prstGeom prst="rect">
          <a:avLst/>
        </a:prstGeom>
      </xdr:spPr>
    </xdr:pic>
    <xdr:clientData/>
  </xdr:twoCellAnchor>
  <xdr:twoCellAnchor editAs="oneCell">
    <xdr:from>
      <xdr:col>0</xdr:col>
      <xdr:colOff>678895</xdr:colOff>
      <xdr:row>1874</xdr:row>
      <xdr:rowOff>62548</xdr:rowOff>
    </xdr:from>
    <xdr:to>
      <xdr:col>0</xdr:col>
      <xdr:colOff>1957626</xdr:colOff>
      <xdr:row>1874</xdr:row>
      <xdr:rowOff>798354</xdr:rowOff>
    </xdr:to>
    <xdr:pic>
      <xdr:nvPicPr>
        <xdr:cNvPr id="3749" name="Picture 3748" descr="Insight Picture 3748">
          <a:extLst>
            <a:ext uri="{FF2B5EF4-FFF2-40B4-BE49-F238E27FC236}">
              <a16:creationId xmlns:a16="http://schemas.microsoft.com/office/drawing/2014/main" id="{7FA66570-D0C4-2D34-0A67-3B38A5E02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4"/>
        <a:stretch>
          <a:fillRect/>
        </a:stretch>
      </xdr:blipFill>
      <xdr:spPr>
        <a:xfrm>
          <a:off x="678895" y="1686840988"/>
          <a:ext cx="1278731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764620</xdr:colOff>
      <xdr:row>1875</xdr:row>
      <xdr:rowOff>63897</xdr:rowOff>
    </xdr:from>
    <xdr:to>
      <xdr:col>0</xdr:col>
      <xdr:colOff>1871901</xdr:colOff>
      <xdr:row>1875</xdr:row>
      <xdr:rowOff>1064022</xdr:rowOff>
    </xdr:to>
    <xdr:pic>
      <xdr:nvPicPr>
        <xdr:cNvPr id="3751" name="Picture 3750" descr="Insight Picture 3750">
          <a:extLst>
            <a:ext uri="{FF2B5EF4-FFF2-40B4-BE49-F238E27FC236}">
              <a16:creationId xmlns:a16="http://schemas.microsoft.com/office/drawing/2014/main" id="{2311C343-BB85-73EF-5736-858BDD5FD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5"/>
        <a:stretch>
          <a:fillRect/>
        </a:stretch>
      </xdr:blipFill>
      <xdr:spPr>
        <a:xfrm>
          <a:off x="764620" y="1687703397"/>
          <a:ext cx="1107281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986075</xdr:colOff>
      <xdr:row>1876</xdr:row>
      <xdr:rowOff>63659</xdr:rowOff>
    </xdr:from>
    <xdr:to>
      <xdr:col>0</xdr:col>
      <xdr:colOff>1650444</xdr:colOff>
      <xdr:row>1876</xdr:row>
      <xdr:rowOff>1285240</xdr:rowOff>
    </xdr:to>
    <xdr:pic>
      <xdr:nvPicPr>
        <xdr:cNvPr id="3753" name="Picture 3752" descr="Insight Picture 3752">
          <a:extLst>
            <a:ext uri="{FF2B5EF4-FFF2-40B4-BE49-F238E27FC236}">
              <a16:creationId xmlns:a16="http://schemas.microsoft.com/office/drawing/2014/main" id="{FB785362-420B-D8E3-B8E3-46BB52B89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6"/>
        <a:stretch>
          <a:fillRect/>
        </a:stretch>
      </xdr:blipFill>
      <xdr:spPr>
        <a:xfrm>
          <a:off x="986075" y="1688830919"/>
          <a:ext cx="664369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914638</xdr:colOff>
      <xdr:row>1877</xdr:row>
      <xdr:rowOff>63500</xdr:rowOff>
    </xdr:from>
    <xdr:to>
      <xdr:col>0</xdr:col>
      <xdr:colOff>1721882</xdr:colOff>
      <xdr:row>1877</xdr:row>
      <xdr:rowOff>1285081</xdr:rowOff>
    </xdr:to>
    <xdr:pic>
      <xdr:nvPicPr>
        <xdr:cNvPr id="3755" name="Picture 3754" descr="Insight Picture 3754">
          <a:extLst>
            <a:ext uri="{FF2B5EF4-FFF2-40B4-BE49-F238E27FC236}">
              <a16:creationId xmlns:a16="http://schemas.microsoft.com/office/drawing/2014/main" id="{8FCE6983-1361-3A2C-22D2-D559A4BA4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7"/>
        <a:stretch>
          <a:fillRect/>
        </a:stretch>
      </xdr:blipFill>
      <xdr:spPr>
        <a:xfrm>
          <a:off x="914638" y="1690179500"/>
          <a:ext cx="807244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1036082</xdr:colOff>
      <xdr:row>1878</xdr:row>
      <xdr:rowOff>63540</xdr:rowOff>
    </xdr:from>
    <xdr:to>
      <xdr:col>0</xdr:col>
      <xdr:colOff>1600438</xdr:colOff>
      <xdr:row>1878</xdr:row>
      <xdr:rowOff>1285121</xdr:rowOff>
    </xdr:to>
    <xdr:pic>
      <xdr:nvPicPr>
        <xdr:cNvPr id="3757" name="Picture 3756" descr="Insight Picture 3756">
          <a:extLst>
            <a:ext uri="{FF2B5EF4-FFF2-40B4-BE49-F238E27FC236}">
              <a16:creationId xmlns:a16="http://schemas.microsoft.com/office/drawing/2014/main" id="{7FFF5DF5-2684-E87A-D9A1-61744960C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8"/>
        <a:stretch>
          <a:fillRect/>
        </a:stretch>
      </xdr:blipFill>
      <xdr:spPr>
        <a:xfrm>
          <a:off x="1036082" y="1691528280"/>
          <a:ext cx="564356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900350</xdr:colOff>
      <xdr:row>1879</xdr:row>
      <xdr:rowOff>63579</xdr:rowOff>
    </xdr:from>
    <xdr:to>
      <xdr:col>0</xdr:col>
      <xdr:colOff>1736169</xdr:colOff>
      <xdr:row>1879</xdr:row>
      <xdr:rowOff>1285160</xdr:rowOff>
    </xdr:to>
    <xdr:pic>
      <xdr:nvPicPr>
        <xdr:cNvPr id="3759" name="Picture 3758" descr="Insight Picture 3758">
          <a:extLst>
            <a:ext uri="{FF2B5EF4-FFF2-40B4-BE49-F238E27FC236}">
              <a16:creationId xmlns:a16="http://schemas.microsoft.com/office/drawing/2014/main" id="{E9D2BF30-3270-78BB-7738-F57CB59F1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9"/>
        <a:stretch>
          <a:fillRect/>
        </a:stretch>
      </xdr:blipFill>
      <xdr:spPr>
        <a:xfrm>
          <a:off x="900350" y="1692877059"/>
          <a:ext cx="835819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646747</xdr:colOff>
      <xdr:row>1880</xdr:row>
      <xdr:rowOff>62627</xdr:rowOff>
    </xdr:from>
    <xdr:to>
      <xdr:col>0</xdr:col>
      <xdr:colOff>1989772</xdr:colOff>
      <xdr:row>1880</xdr:row>
      <xdr:rowOff>1141333</xdr:rowOff>
    </xdr:to>
    <xdr:pic>
      <xdr:nvPicPr>
        <xdr:cNvPr id="3761" name="Picture 3760" descr="Insight Picture 3760">
          <a:extLst>
            <a:ext uri="{FF2B5EF4-FFF2-40B4-BE49-F238E27FC236}">
              <a16:creationId xmlns:a16="http://schemas.microsoft.com/office/drawing/2014/main" id="{0C86200C-4492-6713-BBD9-F0965F7A0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0"/>
        <a:stretch>
          <a:fillRect/>
        </a:stretch>
      </xdr:blipFill>
      <xdr:spPr>
        <a:xfrm>
          <a:off x="646747" y="1694224847"/>
          <a:ext cx="1343025" cy="1078706"/>
        </a:xfrm>
        <a:prstGeom prst="rect">
          <a:avLst/>
        </a:prstGeom>
      </xdr:spPr>
    </xdr:pic>
    <xdr:clientData/>
  </xdr:twoCellAnchor>
  <xdr:twoCellAnchor editAs="oneCell">
    <xdr:from>
      <xdr:col>0</xdr:col>
      <xdr:colOff>675322</xdr:colOff>
      <xdr:row>1881</xdr:row>
      <xdr:rowOff>62786</xdr:rowOff>
    </xdr:from>
    <xdr:to>
      <xdr:col>0</xdr:col>
      <xdr:colOff>1961197</xdr:colOff>
      <xdr:row>1881</xdr:row>
      <xdr:rowOff>1148636</xdr:rowOff>
    </xdr:to>
    <xdr:pic>
      <xdr:nvPicPr>
        <xdr:cNvPr id="3763" name="Picture 3762" descr="Insight Picture 3762">
          <a:extLst>
            <a:ext uri="{FF2B5EF4-FFF2-40B4-BE49-F238E27FC236}">
              <a16:creationId xmlns:a16="http://schemas.microsoft.com/office/drawing/2014/main" id="{C77939BE-8B82-940D-7ED4-4400B14CD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1"/>
        <a:stretch>
          <a:fillRect/>
        </a:stretch>
      </xdr:blipFill>
      <xdr:spPr>
        <a:xfrm>
          <a:off x="675322" y="1695428966"/>
          <a:ext cx="1285875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632460</xdr:colOff>
      <xdr:row>1882</xdr:row>
      <xdr:rowOff>62865</xdr:rowOff>
    </xdr:from>
    <xdr:to>
      <xdr:col>0</xdr:col>
      <xdr:colOff>2004060</xdr:colOff>
      <xdr:row>1882</xdr:row>
      <xdr:rowOff>1148715</xdr:rowOff>
    </xdr:to>
    <xdr:pic>
      <xdr:nvPicPr>
        <xdr:cNvPr id="3765" name="Picture 3764" descr="Insight Picture 3764">
          <a:extLst>
            <a:ext uri="{FF2B5EF4-FFF2-40B4-BE49-F238E27FC236}">
              <a16:creationId xmlns:a16="http://schemas.microsoft.com/office/drawing/2014/main" id="{2A800288-E394-AFE4-81DF-54123FA53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2"/>
        <a:stretch>
          <a:fillRect/>
        </a:stretch>
      </xdr:blipFill>
      <xdr:spPr>
        <a:xfrm>
          <a:off x="632460" y="1696640625"/>
          <a:ext cx="1371600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553878</xdr:colOff>
      <xdr:row>1883</xdr:row>
      <xdr:rowOff>62944</xdr:rowOff>
    </xdr:from>
    <xdr:to>
      <xdr:col>0</xdr:col>
      <xdr:colOff>2082641</xdr:colOff>
      <xdr:row>1883</xdr:row>
      <xdr:rowOff>1148794</xdr:rowOff>
    </xdr:to>
    <xdr:pic>
      <xdr:nvPicPr>
        <xdr:cNvPr id="3767" name="Picture 3766" descr="Insight Picture 3766">
          <a:extLst>
            <a:ext uri="{FF2B5EF4-FFF2-40B4-BE49-F238E27FC236}">
              <a16:creationId xmlns:a16="http://schemas.microsoft.com/office/drawing/2014/main" id="{5391CA8C-429A-2FE9-0656-0CDC79625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3"/>
        <a:stretch>
          <a:fillRect/>
        </a:stretch>
      </xdr:blipFill>
      <xdr:spPr>
        <a:xfrm>
          <a:off x="553878" y="1697852284"/>
          <a:ext cx="1528763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678895</xdr:colOff>
      <xdr:row>1884</xdr:row>
      <xdr:rowOff>63421</xdr:rowOff>
    </xdr:from>
    <xdr:to>
      <xdr:col>0</xdr:col>
      <xdr:colOff>1957626</xdr:colOff>
      <xdr:row>1884</xdr:row>
      <xdr:rowOff>1277859</xdr:rowOff>
    </xdr:to>
    <xdr:pic>
      <xdr:nvPicPr>
        <xdr:cNvPr id="3769" name="Picture 3768" descr="Insight Picture 3768">
          <a:extLst>
            <a:ext uri="{FF2B5EF4-FFF2-40B4-BE49-F238E27FC236}">
              <a16:creationId xmlns:a16="http://schemas.microsoft.com/office/drawing/2014/main" id="{B3EF6C0E-3518-C00E-49FA-16DE799DA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4"/>
        <a:stretch>
          <a:fillRect/>
        </a:stretch>
      </xdr:blipFill>
      <xdr:spPr>
        <a:xfrm>
          <a:off x="678895" y="1699064341"/>
          <a:ext cx="1278731" cy="1214438"/>
        </a:xfrm>
        <a:prstGeom prst="rect">
          <a:avLst/>
        </a:prstGeom>
      </xdr:spPr>
    </xdr:pic>
    <xdr:clientData/>
  </xdr:twoCellAnchor>
  <xdr:twoCellAnchor editAs="oneCell">
    <xdr:from>
      <xdr:col>0</xdr:col>
      <xdr:colOff>703897</xdr:colOff>
      <xdr:row>1885</xdr:row>
      <xdr:rowOff>63540</xdr:rowOff>
    </xdr:from>
    <xdr:to>
      <xdr:col>0</xdr:col>
      <xdr:colOff>1932622</xdr:colOff>
      <xdr:row>1885</xdr:row>
      <xdr:rowOff>1285121</xdr:rowOff>
    </xdr:to>
    <xdr:pic>
      <xdr:nvPicPr>
        <xdr:cNvPr id="3771" name="Picture 3770" descr="Insight Picture 3770">
          <a:extLst>
            <a:ext uri="{FF2B5EF4-FFF2-40B4-BE49-F238E27FC236}">
              <a16:creationId xmlns:a16="http://schemas.microsoft.com/office/drawing/2014/main" id="{AEC999A0-C25E-3CE1-CB1F-549158D37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5"/>
        <a:stretch>
          <a:fillRect/>
        </a:stretch>
      </xdr:blipFill>
      <xdr:spPr>
        <a:xfrm>
          <a:off x="703897" y="1700405580"/>
          <a:ext cx="1228725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714613</xdr:colOff>
      <xdr:row>1886</xdr:row>
      <xdr:rowOff>62587</xdr:rowOff>
    </xdr:from>
    <xdr:to>
      <xdr:col>0</xdr:col>
      <xdr:colOff>1921907</xdr:colOff>
      <xdr:row>1886</xdr:row>
      <xdr:rowOff>798393</xdr:rowOff>
    </xdr:to>
    <xdr:pic>
      <xdr:nvPicPr>
        <xdr:cNvPr id="3773" name="Picture 3772" descr="Insight Picture 3772">
          <a:extLst>
            <a:ext uri="{FF2B5EF4-FFF2-40B4-BE49-F238E27FC236}">
              <a16:creationId xmlns:a16="http://schemas.microsoft.com/office/drawing/2014/main" id="{46EE2447-D115-80CE-A452-72F9958D4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6"/>
        <a:stretch>
          <a:fillRect/>
        </a:stretch>
      </xdr:blipFill>
      <xdr:spPr>
        <a:xfrm>
          <a:off x="714613" y="1701753367"/>
          <a:ext cx="1207294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628888</xdr:colOff>
      <xdr:row>1887</xdr:row>
      <xdr:rowOff>60960</xdr:rowOff>
    </xdr:from>
    <xdr:to>
      <xdr:col>0</xdr:col>
      <xdr:colOff>2007632</xdr:colOff>
      <xdr:row>1887</xdr:row>
      <xdr:rowOff>861060</xdr:rowOff>
    </xdr:to>
    <xdr:pic>
      <xdr:nvPicPr>
        <xdr:cNvPr id="3775" name="Picture 3774" descr="Insight Picture 3774">
          <a:extLst>
            <a:ext uri="{FF2B5EF4-FFF2-40B4-BE49-F238E27FC236}">
              <a16:creationId xmlns:a16="http://schemas.microsoft.com/office/drawing/2014/main" id="{2A67AE7D-A940-F201-B108-DCBEF647C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7"/>
        <a:stretch>
          <a:fillRect/>
        </a:stretch>
      </xdr:blipFill>
      <xdr:spPr>
        <a:xfrm>
          <a:off x="628888" y="1702612800"/>
          <a:ext cx="1378744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661035</xdr:colOff>
      <xdr:row>1888</xdr:row>
      <xdr:rowOff>60881</xdr:rowOff>
    </xdr:from>
    <xdr:to>
      <xdr:col>0</xdr:col>
      <xdr:colOff>1975485</xdr:colOff>
      <xdr:row>1888</xdr:row>
      <xdr:rowOff>860981</xdr:rowOff>
    </xdr:to>
    <xdr:pic>
      <xdr:nvPicPr>
        <xdr:cNvPr id="3777" name="Picture 3776" descr="Insight Picture 3776">
          <a:extLst>
            <a:ext uri="{FF2B5EF4-FFF2-40B4-BE49-F238E27FC236}">
              <a16:creationId xmlns:a16="http://schemas.microsoft.com/office/drawing/2014/main" id="{807BAC6A-5A15-18DE-F6C7-DFE389FD4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8"/>
        <a:stretch>
          <a:fillRect/>
        </a:stretch>
      </xdr:blipFill>
      <xdr:spPr>
        <a:xfrm>
          <a:off x="661035" y="1703534741"/>
          <a:ext cx="131445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603885</xdr:colOff>
      <xdr:row>1889</xdr:row>
      <xdr:rowOff>63183</xdr:rowOff>
    </xdr:from>
    <xdr:to>
      <xdr:col>0</xdr:col>
      <xdr:colOff>2032635</xdr:colOff>
      <xdr:row>1889</xdr:row>
      <xdr:rowOff>1041877</xdr:rowOff>
    </xdr:to>
    <xdr:pic>
      <xdr:nvPicPr>
        <xdr:cNvPr id="3779" name="Picture 3778" descr="Insight Picture 3778">
          <a:extLst>
            <a:ext uri="{FF2B5EF4-FFF2-40B4-BE49-F238E27FC236}">
              <a16:creationId xmlns:a16="http://schemas.microsoft.com/office/drawing/2014/main" id="{CF222C6B-D9F1-B8EB-4596-50279E926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9"/>
        <a:stretch>
          <a:fillRect/>
        </a:stretch>
      </xdr:blipFill>
      <xdr:spPr>
        <a:xfrm>
          <a:off x="603885" y="1704459063"/>
          <a:ext cx="1428750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536020</xdr:colOff>
      <xdr:row>1890</xdr:row>
      <xdr:rowOff>62587</xdr:rowOff>
    </xdr:from>
    <xdr:to>
      <xdr:col>0</xdr:col>
      <xdr:colOff>2100501</xdr:colOff>
      <xdr:row>1890</xdr:row>
      <xdr:rowOff>1026993</xdr:rowOff>
    </xdr:to>
    <xdr:pic>
      <xdr:nvPicPr>
        <xdr:cNvPr id="3781" name="Picture 3780" descr="Insight Picture 3780">
          <a:extLst>
            <a:ext uri="{FF2B5EF4-FFF2-40B4-BE49-F238E27FC236}">
              <a16:creationId xmlns:a16="http://schemas.microsoft.com/office/drawing/2014/main" id="{69A589C8-FBAF-DE0A-B1BC-BDA1D845B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0"/>
        <a:stretch>
          <a:fillRect/>
        </a:stretch>
      </xdr:blipFill>
      <xdr:spPr>
        <a:xfrm>
          <a:off x="536020" y="1705563367"/>
          <a:ext cx="1564481" cy="964406"/>
        </a:xfrm>
        <a:prstGeom prst="rect">
          <a:avLst/>
        </a:prstGeom>
      </xdr:spPr>
    </xdr:pic>
    <xdr:clientData/>
  </xdr:twoCellAnchor>
  <xdr:twoCellAnchor editAs="oneCell">
    <xdr:from>
      <xdr:col>0</xdr:col>
      <xdr:colOff>486013</xdr:colOff>
      <xdr:row>1891</xdr:row>
      <xdr:rowOff>62944</xdr:rowOff>
    </xdr:from>
    <xdr:to>
      <xdr:col>0</xdr:col>
      <xdr:colOff>2150507</xdr:colOff>
      <xdr:row>1891</xdr:row>
      <xdr:rowOff>920194</xdr:rowOff>
    </xdr:to>
    <xdr:pic>
      <xdr:nvPicPr>
        <xdr:cNvPr id="3783" name="Picture 3782" descr="Insight Picture 3782">
          <a:extLst>
            <a:ext uri="{FF2B5EF4-FFF2-40B4-BE49-F238E27FC236}">
              <a16:creationId xmlns:a16="http://schemas.microsoft.com/office/drawing/2014/main" id="{C129E98A-11CA-4DEA-667E-F80BF4E6D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1"/>
        <a:stretch>
          <a:fillRect/>
        </a:stretch>
      </xdr:blipFill>
      <xdr:spPr>
        <a:xfrm>
          <a:off x="486013" y="1706653384"/>
          <a:ext cx="1664494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711041</xdr:colOff>
      <xdr:row>1892</xdr:row>
      <xdr:rowOff>63421</xdr:rowOff>
    </xdr:from>
    <xdr:to>
      <xdr:col>0</xdr:col>
      <xdr:colOff>1925479</xdr:colOff>
      <xdr:row>1892</xdr:row>
      <xdr:rowOff>1163559</xdr:rowOff>
    </xdr:to>
    <xdr:pic>
      <xdr:nvPicPr>
        <xdr:cNvPr id="3785" name="Picture 3784" descr="Insight Picture 3784">
          <a:extLst>
            <a:ext uri="{FF2B5EF4-FFF2-40B4-BE49-F238E27FC236}">
              <a16:creationId xmlns:a16="http://schemas.microsoft.com/office/drawing/2014/main" id="{D2F1A795-5885-1CB0-B774-1FB7D4AE8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2"/>
        <a:stretch>
          <a:fillRect/>
        </a:stretch>
      </xdr:blipFill>
      <xdr:spPr>
        <a:xfrm>
          <a:off x="711041" y="1707636841"/>
          <a:ext cx="1214438" cy="1100138"/>
        </a:xfrm>
        <a:prstGeom prst="rect">
          <a:avLst/>
        </a:prstGeom>
      </xdr:spPr>
    </xdr:pic>
    <xdr:clientData/>
  </xdr:twoCellAnchor>
  <xdr:twoCellAnchor editAs="oneCell">
    <xdr:from>
      <xdr:col>0</xdr:col>
      <xdr:colOff>725328</xdr:colOff>
      <xdr:row>1893</xdr:row>
      <xdr:rowOff>61357</xdr:rowOff>
    </xdr:from>
    <xdr:to>
      <xdr:col>0</xdr:col>
      <xdr:colOff>1911191</xdr:colOff>
      <xdr:row>1893</xdr:row>
      <xdr:rowOff>1218645</xdr:rowOff>
    </xdr:to>
    <xdr:pic>
      <xdr:nvPicPr>
        <xdr:cNvPr id="3787" name="Picture 3786" descr="Insight Picture 3786">
          <a:extLst>
            <a:ext uri="{FF2B5EF4-FFF2-40B4-BE49-F238E27FC236}">
              <a16:creationId xmlns:a16="http://schemas.microsoft.com/office/drawing/2014/main" id="{6CD19CE1-B20E-B573-4713-499CE999A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3"/>
        <a:stretch>
          <a:fillRect/>
        </a:stretch>
      </xdr:blipFill>
      <xdr:spPr>
        <a:xfrm>
          <a:off x="725328" y="1708861597"/>
          <a:ext cx="1185863" cy="1157288"/>
        </a:xfrm>
        <a:prstGeom prst="rect">
          <a:avLst/>
        </a:prstGeom>
      </xdr:spPr>
    </xdr:pic>
    <xdr:clientData/>
  </xdr:twoCellAnchor>
  <xdr:twoCellAnchor editAs="oneCell">
    <xdr:from>
      <xdr:col>0</xdr:col>
      <xdr:colOff>732472</xdr:colOff>
      <xdr:row>1894</xdr:row>
      <xdr:rowOff>63500</xdr:rowOff>
    </xdr:from>
    <xdr:to>
      <xdr:col>0</xdr:col>
      <xdr:colOff>1904047</xdr:colOff>
      <xdr:row>1894</xdr:row>
      <xdr:rowOff>1285081</xdr:rowOff>
    </xdr:to>
    <xdr:pic>
      <xdr:nvPicPr>
        <xdr:cNvPr id="3789" name="Picture 3788" descr="Insight Picture 3788">
          <a:extLst>
            <a:ext uri="{FF2B5EF4-FFF2-40B4-BE49-F238E27FC236}">
              <a16:creationId xmlns:a16="http://schemas.microsoft.com/office/drawing/2014/main" id="{1F64C0F0-87CF-D599-A000-A0422B5FD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4"/>
        <a:stretch>
          <a:fillRect/>
        </a:stretch>
      </xdr:blipFill>
      <xdr:spPr>
        <a:xfrm>
          <a:off x="732472" y="1710143900"/>
          <a:ext cx="1171575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946785</xdr:colOff>
      <xdr:row>1895</xdr:row>
      <xdr:rowOff>63341</xdr:rowOff>
    </xdr:from>
    <xdr:to>
      <xdr:col>0</xdr:col>
      <xdr:colOff>1689735</xdr:colOff>
      <xdr:row>1895</xdr:row>
      <xdr:rowOff>1163479</xdr:rowOff>
    </xdr:to>
    <xdr:pic>
      <xdr:nvPicPr>
        <xdr:cNvPr id="3791" name="Picture 3790" descr="Insight Picture 3790">
          <a:extLst>
            <a:ext uri="{FF2B5EF4-FFF2-40B4-BE49-F238E27FC236}">
              <a16:creationId xmlns:a16="http://schemas.microsoft.com/office/drawing/2014/main" id="{9AA75083-81A8-6821-D284-8E9EAA9E3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5"/>
        <a:stretch>
          <a:fillRect/>
        </a:stretch>
      </xdr:blipFill>
      <xdr:spPr>
        <a:xfrm>
          <a:off x="946785" y="1711492481"/>
          <a:ext cx="742950" cy="1100138"/>
        </a:xfrm>
        <a:prstGeom prst="rect">
          <a:avLst/>
        </a:prstGeom>
      </xdr:spPr>
    </xdr:pic>
    <xdr:clientData/>
  </xdr:twoCellAnchor>
  <xdr:twoCellAnchor editAs="oneCell">
    <xdr:from>
      <xdr:col>0</xdr:col>
      <xdr:colOff>825341</xdr:colOff>
      <xdr:row>1896</xdr:row>
      <xdr:rowOff>63262</xdr:rowOff>
    </xdr:from>
    <xdr:to>
      <xdr:col>0</xdr:col>
      <xdr:colOff>1811179</xdr:colOff>
      <xdr:row>1896</xdr:row>
      <xdr:rowOff>1163400</xdr:rowOff>
    </xdr:to>
    <xdr:pic>
      <xdr:nvPicPr>
        <xdr:cNvPr id="3793" name="Picture 3792" descr="Insight Picture 3792">
          <a:extLst>
            <a:ext uri="{FF2B5EF4-FFF2-40B4-BE49-F238E27FC236}">
              <a16:creationId xmlns:a16="http://schemas.microsoft.com/office/drawing/2014/main" id="{768C7327-EAE9-9669-762D-AAECB8ED8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6"/>
        <a:stretch>
          <a:fillRect/>
        </a:stretch>
      </xdr:blipFill>
      <xdr:spPr>
        <a:xfrm>
          <a:off x="825341" y="1712719222"/>
          <a:ext cx="985838" cy="1100138"/>
        </a:xfrm>
        <a:prstGeom prst="rect">
          <a:avLst/>
        </a:prstGeom>
      </xdr:spPr>
    </xdr:pic>
    <xdr:clientData/>
  </xdr:twoCellAnchor>
  <xdr:twoCellAnchor editAs="oneCell">
    <xdr:from>
      <xdr:col>0</xdr:col>
      <xdr:colOff>832485</xdr:colOff>
      <xdr:row>1897</xdr:row>
      <xdr:rowOff>63579</xdr:rowOff>
    </xdr:from>
    <xdr:to>
      <xdr:col>0</xdr:col>
      <xdr:colOff>1804035</xdr:colOff>
      <xdr:row>1897</xdr:row>
      <xdr:rowOff>1285160</xdr:rowOff>
    </xdr:to>
    <xdr:pic>
      <xdr:nvPicPr>
        <xdr:cNvPr id="3795" name="Picture 3794" descr="Insight Picture 3794">
          <a:extLst>
            <a:ext uri="{FF2B5EF4-FFF2-40B4-BE49-F238E27FC236}">
              <a16:creationId xmlns:a16="http://schemas.microsoft.com/office/drawing/2014/main" id="{016729A3-5C16-90B4-60B2-0FC4283CC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xfrm>
          <a:off x="832485" y="1713946359"/>
          <a:ext cx="971550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546735</xdr:colOff>
      <xdr:row>1898</xdr:row>
      <xdr:rowOff>60246</xdr:rowOff>
    </xdr:from>
    <xdr:to>
      <xdr:col>0</xdr:col>
      <xdr:colOff>2089785</xdr:colOff>
      <xdr:row>1898</xdr:row>
      <xdr:rowOff>1181815</xdr:rowOff>
    </xdr:to>
    <xdr:pic>
      <xdr:nvPicPr>
        <xdr:cNvPr id="3797" name="Picture 3796" descr="Insight Picture 3796">
          <a:extLst>
            <a:ext uri="{FF2B5EF4-FFF2-40B4-BE49-F238E27FC236}">
              <a16:creationId xmlns:a16="http://schemas.microsoft.com/office/drawing/2014/main" id="{60782CC3-E299-8F28-EB57-1DC1A1859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8"/>
        <a:stretch>
          <a:fillRect/>
        </a:stretch>
      </xdr:blipFill>
      <xdr:spPr>
        <a:xfrm>
          <a:off x="546735" y="1715291766"/>
          <a:ext cx="1543050" cy="1121569"/>
        </a:xfrm>
        <a:prstGeom prst="rect">
          <a:avLst/>
        </a:prstGeom>
      </xdr:spPr>
    </xdr:pic>
    <xdr:clientData/>
  </xdr:twoCellAnchor>
  <xdr:twoCellAnchor editAs="oneCell">
    <xdr:from>
      <xdr:col>0</xdr:col>
      <xdr:colOff>736045</xdr:colOff>
      <xdr:row>1899</xdr:row>
      <xdr:rowOff>62587</xdr:rowOff>
    </xdr:from>
    <xdr:to>
      <xdr:col>0</xdr:col>
      <xdr:colOff>1900476</xdr:colOff>
      <xdr:row>1899</xdr:row>
      <xdr:rowOff>798393</xdr:rowOff>
    </xdr:to>
    <xdr:pic>
      <xdr:nvPicPr>
        <xdr:cNvPr id="3799" name="Picture 3798" descr="Insight Picture 3798">
          <a:extLst>
            <a:ext uri="{FF2B5EF4-FFF2-40B4-BE49-F238E27FC236}">
              <a16:creationId xmlns:a16="http://schemas.microsoft.com/office/drawing/2014/main" id="{02BD40AA-2CE3-74F3-A7E0-3DD20EC9E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9"/>
        <a:stretch>
          <a:fillRect/>
        </a:stretch>
      </xdr:blipFill>
      <xdr:spPr>
        <a:xfrm>
          <a:off x="736045" y="1716536167"/>
          <a:ext cx="1164431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714613</xdr:colOff>
      <xdr:row>1900</xdr:row>
      <xdr:rowOff>60166</xdr:rowOff>
    </xdr:from>
    <xdr:to>
      <xdr:col>0</xdr:col>
      <xdr:colOff>1921907</xdr:colOff>
      <xdr:row>1900</xdr:row>
      <xdr:rowOff>838835</xdr:rowOff>
    </xdr:to>
    <xdr:pic>
      <xdr:nvPicPr>
        <xdr:cNvPr id="3801" name="Picture 3800" descr="Insight Picture 3800">
          <a:extLst>
            <a:ext uri="{FF2B5EF4-FFF2-40B4-BE49-F238E27FC236}">
              <a16:creationId xmlns:a16="http://schemas.microsoft.com/office/drawing/2014/main" id="{2D477E14-E9B4-E9E5-55AE-9812EA415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0"/>
        <a:stretch>
          <a:fillRect/>
        </a:stretch>
      </xdr:blipFill>
      <xdr:spPr>
        <a:xfrm>
          <a:off x="714613" y="1717394806"/>
          <a:ext cx="1207294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721757</xdr:colOff>
      <xdr:row>1901</xdr:row>
      <xdr:rowOff>61119</xdr:rowOff>
    </xdr:from>
    <xdr:to>
      <xdr:col>0</xdr:col>
      <xdr:colOff>1914763</xdr:colOff>
      <xdr:row>1901</xdr:row>
      <xdr:rowOff>868363</xdr:rowOff>
    </xdr:to>
    <xdr:pic>
      <xdr:nvPicPr>
        <xdr:cNvPr id="3803" name="Picture 3802" descr="Insight Picture 3802">
          <a:extLst>
            <a:ext uri="{FF2B5EF4-FFF2-40B4-BE49-F238E27FC236}">
              <a16:creationId xmlns:a16="http://schemas.microsoft.com/office/drawing/2014/main" id="{F7D4B775-E576-EA9F-BA93-324C9A1C9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1"/>
        <a:stretch>
          <a:fillRect/>
        </a:stretch>
      </xdr:blipFill>
      <xdr:spPr>
        <a:xfrm>
          <a:off x="721757" y="1718294919"/>
          <a:ext cx="1193006" cy="807244"/>
        </a:xfrm>
        <a:prstGeom prst="rect">
          <a:avLst/>
        </a:prstGeom>
      </xdr:spPr>
    </xdr:pic>
    <xdr:clientData/>
  </xdr:twoCellAnchor>
  <xdr:twoCellAnchor editAs="oneCell">
    <xdr:from>
      <xdr:col>0</xdr:col>
      <xdr:colOff>475297</xdr:colOff>
      <xdr:row>1902</xdr:row>
      <xdr:rowOff>63143</xdr:rowOff>
    </xdr:from>
    <xdr:to>
      <xdr:col>0</xdr:col>
      <xdr:colOff>2161222</xdr:colOff>
      <xdr:row>1902</xdr:row>
      <xdr:rowOff>813237</xdr:rowOff>
    </xdr:to>
    <xdr:pic>
      <xdr:nvPicPr>
        <xdr:cNvPr id="3805" name="Picture 3804" descr="Insight Picture 3804">
          <a:extLst>
            <a:ext uri="{FF2B5EF4-FFF2-40B4-BE49-F238E27FC236}">
              <a16:creationId xmlns:a16="http://schemas.microsoft.com/office/drawing/2014/main" id="{92847C1A-450D-0708-5B1B-6CEE1321A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2"/>
        <a:stretch>
          <a:fillRect/>
        </a:stretch>
      </xdr:blipFill>
      <xdr:spPr>
        <a:xfrm>
          <a:off x="475297" y="1719226583"/>
          <a:ext cx="1685925" cy="750094"/>
        </a:xfrm>
        <a:prstGeom prst="rect">
          <a:avLst/>
        </a:prstGeom>
      </xdr:spPr>
    </xdr:pic>
    <xdr:clientData/>
  </xdr:twoCellAnchor>
  <xdr:twoCellAnchor editAs="oneCell">
    <xdr:from>
      <xdr:col>0</xdr:col>
      <xdr:colOff>486013</xdr:colOff>
      <xdr:row>1903</xdr:row>
      <xdr:rowOff>61754</xdr:rowOff>
    </xdr:from>
    <xdr:to>
      <xdr:col>0</xdr:col>
      <xdr:colOff>2150507</xdr:colOff>
      <xdr:row>1903</xdr:row>
      <xdr:rowOff>883285</xdr:rowOff>
    </xdr:to>
    <xdr:pic>
      <xdr:nvPicPr>
        <xdr:cNvPr id="3807" name="Picture 3806" descr="Insight Picture 3806">
          <a:extLst>
            <a:ext uri="{FF2B5EF4-FFF2-40B4-BE49-F238E27FC236}">
              <a16:creationId xmlns:a16="http://schemas.microsoft.com/office/drawing/2014/main" id="{85DD9054-2C32-A8D4-53BA-C4F75983D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3"/>
        <a:stretch>
          <a:fillRect/>
        </a:stretch>
      </xdr:blipFill>
      <xdr:spPr>
        <a:xfrm>
          <a:off x="486013" y="1720101494"/>
          <a:ext cx="1664494" cy="821531"/>
        </a:xfrm>
        <a:prstGeom prst="rect">
          <a:avLst/>
        </a:prstGeom>
      </xdr:spPr>
    </xdr:pic>
    <xdr:clientData/>
  </xdr:twoCellAnchor>
  <xdr:twoCellAnchor editAs="oneCell">
    <xdr:from>
      <xdr:col>0</xdr:col>
      <xdr:colOff>775335</xdr:colOff>
      <xdr:row>1904</xdr:row>
      <xdr:rowOff>62230</xdr:rowOff>
    </xdr:from>
    <xdr:to>
      <xdr:col>0</xdr:col>
      <xdr:colOff>1861185</xdr:colOff>
      <xdr:row>1904</xdr:row>
      <xdr:rowOff>898049</xdr:rowOff>
    </xdr:to>
    <xdr:pic>
      <xdr:nvPicPr>
        <xdr:cNvPr id="3809" name="Picture 3808" descr="Insight Picture 3808">
          <a:extLst>
            <a:ext uri="{FF2B5EF4-FFF2-40B4-BE49-F238E27FC236}">
              <a16:creationId xmlns:a16="http://schemas.microsoft.com/office/drawing/2014/main" id="{8BEB2DDF-2734-A746-88A8-8919B30FF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4"/>
        <a:stretch>
          <a:fillRect/>
        </a:stretch>
      </xdr:blipFill>
      <xdr:spPr>
        <a:xfrm>
          <a:off x="775335" y="1721046850"/>
          <a:ext cx="1085850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675322</xdr:colOff>
      <xdr:row>1905</xdr:row>
      <xdr:rowOff>62151</xdr:rowOff>
    </xdr:from>
    <xdr:to>
      <xdr:col>0</xdr:col>
      <xdr:colOff>1961197</xdr:colOff>
      <xdr:row>1905</xdr:row>
      <xdr:rowOff>897970</xdr:rowOff>
    </xdr:to>
    <xdr:pic>
      <xdr:nvPicPr>
        <xdr:cNvPr id="3811" name="Picture 3810" descr="Insight Picture 3810">
          <a:extLst>
            <a:ext uri="{FF2B5EF4-FFF2-40B4-BE49-F238E27FC236}">
              <a16:creationId xmlns:a16="http://schemas.microsoft.com/office/drawing/2014/main" id="{6D687509-3A96-55F2-BC89-FFA903D01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5"/>
        <a:stretch>
          <a:fillRect/>
        </a:stretch>
      </xdr:blipFill>
      <xdr:spPr>
        <a:xfrm>
          <a:off x="675322" y="1722006891"/>
          <a:ext cx="1285875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775335</xdr:colOff>
      <xdr:row>1906</xdr:row>
      <xdr:rowOff>63857</xdr:rowOff>
    </xdr:from>
    <xdr:to>
      <xdr:col>0</xdr:col>
      <xdr:colOff>1861185</xdr:colOff>
      <xdr:row>1906</xdr:row>
      <xdr:rowOff>949682</xdr:rowOff>
    </xdr:to>
    <xdr:pic>
      <xdr:nvPicPr>
        <xdr:cNvPr id="3813" name="Picture 3812" descr="Insight Picture 3812">
          <a:extLst>
            <a:ext uri="{FF2B5EF4-FFF2-40B4-BE49-F238E27FC236}">
              <a16:creationId xmlns:a16="http://schemas.microsoft.com/office/drawing/2014/main" id="{A502DFF2-9C49-AA7F-0D2E-9B5649E20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6"/>
        <a:stretch>
          <a:fillRect/>
        </a:stretch>
      </xdr:blipFill>
      <xdr:spPr>
        <a:xfrm>
          <a:off x="775335" y="1722968717"/>
          <a:ext cx="1085850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782478</xdr:colOff>
      <xdr:row>1907</xdr:row>
      <xdr:rowOff>62230</xdr:rowOff>
    </xdr:from>
    <xdr:to>
      <xdr:col>0</xdr:col>
      <xdr:colOff>1854041</xdr:colOff>
      <xdr:row>1907</xdr:row>
      <xdr:rowOff>898049</xdr:rowOff>
    </xdr:to>
    <xdr:pic>
      <xdr:nvPicPr>
        <xdr:cNvPr id="3815" name="Picture 3814" descr="Insight Picture 3814">
          <a:extLst>
            <a:ext uri="{FF2B5EF4-FFF2-40B4-BE49-F238E27FC236}">
              <a16:creationId xmlns:a16="http://schemas.microsoft.com/office/drawing/2014/main" id="{0E6BCBC8-0DC3-BB97-4D8D-1C07E26D4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7"/>
        <a:stretch>
          <a:fillRect/>
        </a:stretch>
      </xdr:blipFill>
      <xdr:spPr>
        <a:xfrm>
          <a:off x="782478" y="1723980550"/>
          <a:ext cx="1071563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653891</xdr:colOff>
      <xdr:row>1908</xdr:row>
      <xdr:rowOff>63540</xdr:rowOff>
    </xdr:from>
    <xdr:to>
      <xdr:col>0</xdr:col>
      <xdr:colOff>1982629</xdr:colOff>
      <xdr:row>1908</xdr:row>
      <xdr:rowOff>942221</xdr:rowOff>
    </xdr:to>
    <xdr:pic>
      <xdr:nvPicPr>
        <xdr:cNvPr id="3817" name="Picture 3816" descr="Insight Picture 3816">
          <a:extLst>
            <a:ext uri="{FF2B5EF4-FFF2-40B4-BE49-F238E27FC236}">
              <a16:creationId xmlns:a16="http://schemas.microsoft.com/office/drawing/2014/main" id="{86A42FE8-F286-0D84-CC1C-0180A2C72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8"/>
        <a:stretch>
          <a:fillRect/>
        </a:stretch>
      </xdr:blipFill>
      <xdr:spPr>
        <a:xfrm>
          <a:off x="653891" y="1724941980"/>
          <a:ext cx="1328738" cy="878681"/>
        </a:xfrm>
        <a:prstGeom prst="rect">
          <a:avLst/>
        </a:prstGeom>
      </xdr:spPr>
    </xdr:pic>
    <xdr:clientData/>
  </xdr:twoCellAnchor>
  <xdr:twoCellAnchor editAs="oneCell">
    <xdr:from>
      <xdr:col>0</xdr:col>
      <xdr:colOff>825341</xdr:colOff>
      <xdr:row>1909</xdr:row>
      <xdr:rowOff>61198</xdr:rowOff>
    </xdr:from>
    <xdr:to>
      <xdr:col>0</xdr:col>
      <xdr:colOff>1811179</xdr:colOff>
      <xdr:row>1909</xdr:row>
      <xdr:rowOff>982742</xdr:rowOff>
    </xdr:to>
    <xdr:pic>
      <xdr:nvPicPr>
        <xdr:cNvPr id="3819" name="Picture 3818" descr="Insight Picture 3818">
          <a:extLst>
            <a:ext uri="{FF2B5EF4-FFF2-40B4-BE49-F238E27FC236}">
              <a16:creationId xmlns:a16="http://schemas.microsoft.com/office/drawing/2014/main" id="{9F9B51D7-DB09-F5BD-5F48-730D386B1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9"/>
        <a:stretch>
          <a:fillRect/>
        </a:stretch>
      </xdr:blipFill>
      <xdr:spPr>
        <a:xfrm>
          <a:off x="825341" y="1725945478"/>
          <a:ext cx="985838" cy="921544"/>
        </a:xfrm>
        <a:prstGeom prst="rect">
          <a:avLst/>
        </a:prstGeom>
      </xdr:spPr>
    </xdr:pic>
    <xdr:clientData/>
  </xdr:twoCellAnchor>
  <xdr:twoCellAnchor editAs="oneCell">
    <xdr:from>
      <xdr:col>0</xdr:col>
      <xdr:colOff>714613</xdr:colOff>
      <xdr:row>1910</xdr:row>
      <xdr:rowOff>61238</xdr:rowOff>
    </xdr:from>
    <xdr:to>
      <xdr:col>0</xdr:col>
      <xdr:colOff>1921907</xdr:colOff>
      <xdr:row>1910</xdr:row>
      <xdr:rowOff>982782</xdr:rowOff>
    </xdr:to>
    <xdr:pic>
      <xdr:nvPicPr>
        <xdr:cNvPr id="3821" name="Picture 3820" descr="Insight Picture 3820">
          <a:extLst>
            <a:ext uri="{FF2B5EF4-FFF2-40B4-BE49-F238E27FC236}">
              <a16:creationId xmlns:a16="http://schemas.microsoft.com/office/drawing/2014/main" id="{1F941F28-2530-AC42-FBFE-569EA8AAE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0"/>
        <a:stretch>
          <a:fillRect/>
        </a:stretch>
      </xdr:blipFill>
      <xdr:spPr>
        <a:xfrm>
          <a:off x="714613" y="1726989458"/>
          <a:ext cx="1207294" cy="921544"/>
        </a:xfrm>
        <a:prstGeom prst="rect">
          <a:avLst/>
        </a:prstGeom>
      </xdr:spPr>
    </xdr:pic>
    <xdr:clientData/>
  </xdr:twoCellAnchor>
  <xdr:twoCellAnchor editAs="oneCell">
    <xdr:from>
      <xdr:col>0</xdr:col>
      <xdr:colOff>757475</xdr:colOff>
      <xdr:row>1911</xdr:row>
      <xdr:rowOff>63063</xdr:rowOff>
    </xdr:from>
    <xdr:to>
      <xdr:col>0</xdr:col>
      <xdr:colOff>1879044</xdr:colOff>
      <xdr:row>1911</xdr:row>
      <xdr:rowOff>813157</xdr:rowOff>
    </xdr:to>
    <xdr:pic>
      <xdr:nvPicPr>
        <xdr:cNvPr id="3823" name="Picture 3822" descr="Insight Picture 3822">
          <a:extLst>
            <a:ext uri="{FF2B5EF4-FFF2-40B4-BE49-F238E27FC236}">
              <a16:creationId xmlns:a16="http://schemas.microsoft.com/office/drawing/2014/main" id="{FEE41A71-DCC5-B42F-4D99-DF0BFCE5D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1"/>
        <a:stretch>
          <a:fillRect/>
        </a:stretch>
      </xdr:blipFill>
      <xdr:spPr>
        <a:xfrm>
          <a:off x="757475" y="1728035223"/>
          <a:ext cx="1121569" cy="750094"/>
        </a:xfrm>
        <a:prstGeom prst="rect">
          <a:avLst/>
        </a:prstGeom>
      </xdr:spPr>
    </xdr:pic>
    <xdr:clientData/>
  </xdr:twoCellAnchor>
  <xdr:twoCellAnchor editAs="oneCell">
    <xdr:from>
      <xdr:col>0</xdr:col>
      <xdr:colOff>714613</xdr:colOff>
      <xdr:row>1912</xdr:row>
      <xdr:rowOff>63659</xdr:rowOff>
    </xdr:from>
    <xdr:to>
      <xdr:col>0</xdr:col>
      <xdr:colOff>1921907</xdr:colOff>
      <xdr:row>1912</xdr:row>
      <xdr:rowOff>828040</xdr:rowOff>
    </xdr:to>
    <xdr:pic>
      <xdr:nvPicPr>
        <xdr:cNvPr id="3825" name="Picture 3824" descr="Insight Picture 3824">
          <a:extLst>
            <a:ext uri="{FF2B5EF4-FFF2-40B4-BE49-F238E27FC236}">
              <a16:creationId xmlns:a16="http://schemas.microsoft.com/office/drawing/2014/main" id="{1E99E535-6B7D-1EC4-2AB0-4870496B6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2"/>
        <a:stretch>
          <a:fillRect/>
        </a:stretch>
      </xdr:blipFill>
      <xdr:spPr>
        <a:xfrm>
          <a:off x="714613" y="1728912119"/>
          <a:ext cx="1207294" cy="764381"/>
        </a:xfrm>
        <a:prstGeom prst="rect">
          <a:avLst/>
        </a:prstGeom>
      </xdr:spPr>
    </xdr:pic>
    <xdr:clientData/>
  </xdr:twoCellAnchor>
  <xdr:twoCellAnchor editAs="oneCell">
    <xdr:from>
      <xdr:col>0</xdr:col>
      <xdr:colOff>689610</xdr:colOff>
      <xdr:row>1913</xdr:row>
      <xdr:rowOff>63500</xdr:rowOff>
    </xdr:from>
    <xdr:to>
      <xdr:col>0</xdr:col>
      <xdr:colOff>1946910</xdr:colOff>
      <xdr:row>1913</xdr:row>
      <xdr:rowOff>827881</xdr:rowOff>
    </xdr:to>
    <xdr:pic>
      <xdr:nvPicPr>
        <xdr:cNvPr id="3827" name="Picture 3826" descr="Insight Picture 3826">
          <a:extLst>
            <a:ext uri="{FF2B5EF4-FFF2-40B4-BE49-F238E27FC236}">
              <a16:creationId xmlns:a16="http://schemas.microsoft.com/office/drawing/2014/main" id="{3B93B9D1-90BF-8646-9839-ACF66BB65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3"/>
        <a:stretch>
          <a:fillRect/>
        </a:stretch>
      </xdr:blipFill>
      <xdr:spPr>
        <a:xfrm>
          <a:off x="689610" y="1729803500"/>
          <a:ext cx="1257300" cy="764381"/>
        </a:xfrm>
        <a:prstGeom prst="rect">
          <a:avLst/>
        </a:prstGeom>
      </xdr:spPr>
    </xdr:pic>
    <xdr:clientData/>
  </xdr:twoCellAnchor>
  <xdr:twoCellAnchor editAs="oneCell">
    <xdr:from>
      <xdr:col>0</xdr:col>
      <xdr:colOff>482441</xdr:colOff>
      <xdr:row>1914</xdr:row>
      <xdr:rowOff>61158</xdr:rowOff>
    </xdr:from>
    <xdr:to>
      <xdr:col>0</xdr:col>
      <xdr:colOff>2154079</xdr:colOff>
      <xdr:row>1914</xdr:row>
      <xdr:rowOff>754102</xdr:rowOff>
    </xdr:to>
    <xdr:pic>
      <xdr:nvPicPr>
        <xdr:cNvPr id="3829" name="Picture 3828" descr="Insight Picture 3828">
          <a:extLst>
            <a:ext uri="{FF2B5EF4-FFF2-40B4-BE49-F238E27FC236}">
              <a16:creationId xmlns:a16="http://schemas.microsoft.com/office/drawing/2014/main" id="{D6984B05-05E0-0166-CAC0-72E931ECE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4"/>
        <a:stretch>
          <a:fillRect/>
        </a:stretch>
      </xdr:blipFill>
      <xdr:spPr>
        <a:xfrm>
          <a:off x="482441" y="1730692698"/>
          <a:ext cx="1671638" cy="692944"/>
        </a:xfrm>
        <a:prstGeom prst="rect">
          <a:avLst/>
        </a:prstGeom>
      </xdr:spPr>
    </xdr:pic>
    <xdr:clientData/>
  </xdr:twoCellAnchor>
  <xdr:twoCellAnchor editAs="oneCell">
    <xdr:from>
      <xdr:col>0</xdr:col>
      <xdr:colOff>461010</xdr:colOff>
      <xdr:row>1915</xdr:row>
      <xdr:rowOff>61000</xdr:rowOff>
    </xdr:from>
    <xdr:to>
      <xdr:col>0</xdr:col>
      <xdr:colOff>2175510</xdr:colOff>
      <xdr:row>1915</xdr:row>
      <xdr:rowOff>746800</xdr:rowOff>
    </xdr:to>
    <xdr:pic>
      <xdr:nvPicPr>
        <xdr:cNvPr id="3831" name="Picture 3830" descr="Insight Picture 3830">
          <a:extLst>
            <a:ext uri="{FF2B5EF4-FFF2-40B4-BE49-F238E27FC236}">
              <a16:creationId xmlns:a16="http://schemas.microsoft.com/office/drawing/2014/main" id="{5B6904EA-71C0-CB4E-9558-514A01058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5"/>
        <a:stretch>
          <a:fillRect/>
        </a:stretch>
      </xdr:blipFill>
      <xdr:spPr>
        <a:xfrm>
          <a:off x="461010" y="1731507880"/>
          <a:ext cx="171450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360997</xdr:colOff>
      <xdr:row>1916</xdr:row>
      <xdr:rowOff>62309</xdr:rowOff>
    </xdr:from>
    <xdr:to>
      <xdr:col>0</xdr:col>
      <xdr:colOff>2275522</xdr:colOff>
      <xdr:row>1916</xdr:row>
      <xdr:rowOff>562372</xdr:rowOff>
    </xdr:to>
    <xdr:pic>
      <xdr:nvPicPr>
        <xdr:cNvPr id="3833" name="Picture 3832" descr="Insight Picture 3832">
          <a:extLst>
            <a:ext uri="{FF2B5EF4-FFF2-40B4-BE49-F238E27FC236}">
              <a16:creationId xmlns:a16="http://schemas.microsoft.com/office/drawing/2014/main" id="{8D1C2455-2855-2D88-38F5-33B136DBC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6"/>
        <a:stretch>
          <a:fillRect/>
        </a:stretch>
      </xdr:blipFill>
      <xdr:spPr>
        <a:xfrm>
          <a:off x="360997" y="1732316909"/>
          <a:ext cx="1914525" cy="500063"/>
        </a:xfrm>
        <a:prstGeom prst="rect">
          <a:avLst/>
        </a:prstGeom>
      </xdr:spPr>
    </xdr:pic>
    <xdr:clientData/>
  </xdr:twoCellAnchor>
  <xdr:twoCellAnchor editAs="oneCell">
    <xdr:from>
      <xdr:col>0</xdr:col>
      <xdr:colOff>671750</xdr:colOff>
      <xdr:row>1917</xdr:row>
      <xdr:rowOff>62151</xdr:rowOff>
    </xdr:from>
    <xdr:to>
      <xdr:col>0</xdr:col>
      <xdr:colOff>1964769</xdr:colOff>
      <xdr:row>1917</xdr:row>
      <xdr:rowOff>897970</xdr:rowOff>
    </xdr:to>
    <xdr:pic>
      <xdr:nvPicPr>
        <xdr:cNvPr id="3835" name="Picture 3834" descr="Insight Picture 3834">
          <a:extLst>
            <a:ext uri="{FF2B5EF4-FFF2-40B4-BE49-F238E27FC236}">
              <a16:creationId xmlns:a16="http://schemas.microsoft.com/office/drawing/2014/main" id="{BFE1BA39-884A-1C6E-4504-E95B0FE4E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7"/>
        <a:stretch>
          <a:fillRect/>
        </a:stretch>
      </xdr:blipFill>
      <xdr:spPr>
        <a:xfrm>
          <a:off x="671750" y="1732941591"/>
          <a:ext cx="1293019" cy="835819"/>
        </a:xfrm>
        <a:prstGeom prst="rect">
          <a:avLst/>
        </a:prstGeom>
      </xdr:spPr>
    </xdr:pic>
    <xdr:clientData/>
  </xdr:twoCellAnchor>
  <xdr:twoCellAnchor editAs="oneCell">
    <xdr:from>
      <xdr:col>0</xdr:col>
      <xdr:colOff>982503</xdr:colOff>
      <xdr:row>1918</xdr:row>
      <xdr:rowOff>63659</xdr:rowOff>
    </xdr:from>
    <xdr:to>
      <xdr:col>0</xdr:col>
      <xdr:colOff>1654016</xdr:colOff>
      <xdr:row>1918</xdr:row>
      <xdr:rowOff>1285240</xdr:rowOff>
    </xdr:to>
    <xdr:pic>
      <xdr:nvPicPr>
        <xdr:cNvPr id="3837" name="Picture 3836" descr="Insight Picture 3836">
          <a:extLst>
            <a:ext uri="{FF2B5EF4-FFF2-40B4-BE49-F238E27FC236}">
              <a16:creationId xmlns:a16="http://schemas.microsoft.com/office/drawing/2014/main" id="{6B8ACCCF-18D1-0333-A911-152A230DB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xfrm>
          <a:off x="982503" y="1733903219"/>
          <a:ext cx="671513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675322</xdr:colOff>
      <xdr:row>1919</xdr:row>
      <xdr:rowOff>60920</xdr:rowOff>
    </xdr:from>
    <xdr:to>
      <xdr:col>0</xdr:col>
      <xdr:colOff>1961197</xdr:colOff>
      <xdr:row>1919</xdr:row>
      <xdr:rowOff>1089620</xdr:rowOff>
    </xdr:to>
    <xdr:pic>
      <xdr:nvPicPr>
        <xdr:cNvPr id="3839" name="Picture 3838" descr="Insight Picture 3838">
          <a:extLst>
            <a:ext uri="{FF2B5EF4-FFF2-40B4-BE49-F238E27FC236}">
              <a16:creationId xmlns:a16="http://schemas.microsoft.com/office/drawing/2014/main" id="{0D9ADFF0-697E-4ADA-4C55-BBE7B583C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9"/>
        <a:stretch>
          <a:fillRect/>
        </a:stretch>
      </xdr:blipFill>
      <xdr:spPr>
        <a:xfrm>
          <a:off x="675322" y="1735249220"/>
          <a:ext cx="1285875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636032</xdr:colOff>
      <xdr:row>1920</xdr:row>
      <xdr:rowOff>61238</xdr:rowOff>
    </xdr:from>
    <xdr:to>
      <xdr:col>0</xdr:col>
      <xdr:colOff>2000488</xdr:colOff>
      <xdr:row>1920</xdr:row>
      <xdr:rowOff>868482</xdr:rowOff>
    </xdr:to>
    <xdr:pic>
      <xdr:nvPicPr>
        <xdr:cNvPr id="3841" name="Picture 3840" descr="Insight Picture 3840">
          <a:extLst>
            <a:ext uri="{FF2B5EF4-FFF2-40B4-BE49-F238E27FC236}">
              <a16:creationId xmlns:a16="http://schemas.microsoft.com/office/drawing/2014/main" id="{98993F28-9D21-E0B3-B136-20AB7C915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0"/>
        <a:stretch>
          <a:fillRect/>
        </a:stretch>
      </xdr:blipFill>
      <xdr:spPr>
        <a:xfrm>
          <a:off x="636032" y="1736400158"/>
          <a:ext cx="1364456" cy="807244"/>
        </a:xfrm>
        <a:prstGeom prst="rect">
          <a:avLst/>
        </a:prstGeom>
      </xdr:spPr>
    </xdr:pic>
    <xdr:clientData/>
  </xdr:twoCellAnchor>
  <xdr:twoCellAnchor editAs="oneCell">
    <xdr:from>
      <xdr:col>0</xdr:col>
      <xdr:colOff>757475</xdr:colOff>
      <xdr:row>1921</xdr:row>
      <xdr:rowOff>63857</xdr:rowOff>
    </xdr:from>
    <xdr:to>
      <xdr:col>0</xdr:col>
      <xdr:colOff>1879044</xdr:colOff>
      <xdr:row>1921</xdr:row>
      <xdr:rowOff>835382</xdr:rowOff>
    </xdr:to>
    <xdr:pic>
      <xdr:nvPicPr>
        <xdr:cNvPr id="3843" name="Picture 3842" descr="Insight Picture 3842">
          <a:extLst>
            <a:ext uri="{FF2B5EF4-FFF2-40B4-BE49-F238E27FC236}">
              <a16:creationId xmlns:a16="http://schemas.microsoft.com/office/drawing/2014/main" id="{FE481366-8C8B-6151-5E28-7AD1731E5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1"/>
        <a:stretch>
          <a:fillRect/>
        </a:stretch>
      </xdr:blipFill>
      <xdr:spPr>
        <a:xfrm>
          <a:off x="757475" y="1737332417"/>
          <a:ext cx="1121569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825341</xdr:colOff>
      <xdr:row>1922</xdr:row>
      <xdr:rowOff>61635</xdr:rowOff>
    </xdr:from>
    <xdr:to>
      <xdr:col>0</xdr:col>
      <xdr:colOff>1811179</xdr:colOff>
      <xdr:row>1922</xdr:row>
      <xdr:rowOff>1226066</xdr:rowOff>
    </xdr:to>
    <xdr:pic>
      <xdr:nvPicPr>
        <xdr:cNvPr id="3845" name="Picture 3844" descr="Insight Picture 3844">
          <a:extLst>
            <a:ext uri="{FF2B5EF4-FFF2-40B4-BE49-F238E27FC236}">
              <a16:creationId xmlns:a16="http://schemas.microsoft.com/office/drawing/2014/main" id="{1008428C-D2A8-D0A5-8F19-3801FDD2E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2"/>
        <a:stretch>
          <a:fillRect/>
        </a:stretch>
      </xdr:blipFill>
      <xdr:spPr>
        <a:xfrm>
          <a:off x="825341" y="1738229355"/>
          <a:ext cx="985838" cy="1164431"/>
        </a:xfrm>
        <a:prstGeom prst="rect">
          <a:avLst/>
        </a:prstGeom>
      </xdr:spPr>
    </xdr:pic>
    <xdr:clientData/>
  </xdr:twoCellAnchor>
  <xdr:twoCellAnchor editAs="oneCell">
    <xdr:from>
      <xdr:col>0</xdr:col>
      <xdr:colOff>764620</xdr:colOff>
      <xdr:row>1923</xdr:row>
      <xdr:rowOff>61714</xdr:rowOff>
    </xdr:from>
    <xdr:to>
      <xdr:col>0</xdr:col>
      <xdr:colOff>1871901</xdr:colOff>
      <xdr:row>1923</xdr:row>
      <xdr:rowOff>768945</xdr:rowOff>
    </xdr:to>
    <xdr:pic>
      <xdr:nvPicPr>
        <xdr:cNvPr id="3847" name="Picture 3846" descr="Insight Picture 3846">
          <a:extLst>
            <a:ext uri="{FF2B5EF4-FFF2-40B4-BE49-F238E27FC236}">
              <a16:creationId xmlns:a16="http://schemas.microsoft.com/office/drawing/2014/main" id="{682915F1-D13B-C1E7-A0DC-79AABC8B1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3"/>
        <a:stretch>
          <a:fillRect/>
        </a:stretch>
      </xdr:blipFill>
      <xdr:spPr>
        <a:xfrm>
          <a:off x="764620" y="1739517214"/>
          <a:ext cx="1107281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657463</xdr:colOff>
      <xdr:row>1924</xdr:row>
      <xdr:rowOff>61397</xdr:rowOff>
    </xdr:from>
    <xdr:to>
      <xdr:col>0</xdr:col>
      <xdr:colOff>1979057</xdr:colOff>
      <xdr:row>1924</xdr:row>
      <xdr:rowOff>1104385</xdr:rowOff>
    </xdr:to>
    <xdr:pic>
      <xdr:nvPicPr>
        <xdr:cNvPr id="3849" name="Picture 3848" descr="Insight Picture 3848">
          <a:extLst>
            <a:ext uri="{FF2B5EF4-FFF2-40B4-BE49-F238E27FC236}">
              <a16:creationId xmlns:a16="http://schemas.microsoft.com/office/drawing/2014/main" id="{9883B457-0F73-0941-D4CF-2C3AB67A0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4"/>
        <a:stretch>
          <a:fillRect/>
        </a:stretch>
      </xdr:blipFill>
      <xdr:spPr>
        <a:xfrm>
          <a:off x="657463" y="1740347477"/>
          <a:ext cx="1321594" cy="1042988"/>
        </a:xfrm>
        <a:prstGeom prst="rect">
          <a:avLst/>
        </a:prstGeom>
      </xdr:spPr>
    </xdr:pic>
    <xdr:clientData/>
  </xdr:twoCellAnchor>
  <xdr:twoCellAnchor editAs="oneCell">
    <xdr:from>
      <xdr:col>0</xdr:col>
      <xdr:colOff>832485</xdr:colOff>
      <xdr:row>1925</xdr:row>
      <xdr:rowOff>63143</xdr:rowOff>
    </xdr:from>
    <xdr:to>
      <xdr:col>0</xdr:col>
      <xdr:colOff>1804035</xdr:colOff>
      <xdr:row>1925</xdr:row>
      <xdr:rowOff>1041837</xdr:rowOff>
    </xdr:to>
    <xdr:pic>
      <xdr:nvPicPr>
        <xdr:cNvPr id="3851" name="Picture 3850" descr="Insight Picture 3850">
          <a:extLst>
            <a:ext uri="{FF2B5EF4-FFF2-40B4-BE49-F238E27FC236}">
              <a16:creationId xmlns:a16="http://schemas.microsoft.com/office/drawing/2014/main" id="{3E969612-C370-60C6-07C4-45A1A6EE4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5"/>
        <a:stretch>
          <a:fillRect/>
        </a:stretch>
      </xdr:blipFill>
      <xdr:spPr>
        <a:xfrm>
          <a:off x="832485" y="1741515083"/>
          <a:ext cx="971550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836057</xdr:colOff>
      <xdr:row>1926</xdr:row>
      <xdr:rowOff>61158</xdr:rowOff>
    </xdr:from>
    <xdr:to>
      <xdr:col>0</xdr:col>
      <xdr:colOff>1800463</xdr:colOff>
      <xdr:row>1926</xdr:row>
      <xdr:rowOff>1211302</xdr:rowOff>
    </xdr:to>
    <xdr:pic>
      <xdr:nvPicPr>
        <xdr:cNvPr id="3853" name="Picture 3852" descr="Insight Picture 3852">
          <a:extLst>
            <a:ext uri="{FF2B5EF4-FFF2-40B4-BE49-F238E27FC236}">
              <a16:creationId xmlns:a16="http://schemas.microsoft.com/office/drawing/2014/main" id="{0CF70405-249A-1BC7-B1B2-435E012B8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6"/>
        <a:stretch>
          <a:fillRect/>
        </a:stretch>
      </xdr:blipFill>
      <xdr:spPr>
        <a:xfrm>
          <a:off x="836057" y="1742617998"/>
          <a:ext cx="964406" cy="1150144"/>
        </a:xfrm>
        <a:prstGeom prst="rect">
          <a:avLst/>
        </a:prstGeom>
      </xdr:spPr>
    </xdr:pic>
    <xdr:clientData/>
  </xdr:twoCellAnchor>
  <xdr:twoCellAnchor editAs="oneCell">
    <xdr:from>
      <xdr:col>0</xdr:col>
      <xdr:colOff>818198</xdr:colOff>
      <xdr:row>1927</xdr:row>
      <xdr:rowOff>60206</xdr:rowOff>
    </xdr:from>
    <xdr:to>
      <xdr:col>0</xdr:col>
      <xdr:colOff>1818323</xdr:colOff>
      <xdr:row>1927</xdr:row>
      <xdr:rowOff>724575</xdr:rowOff>
    </xdr:to>
    <xdr:pic>
      <xdr:nvPicPr>
        <xdr:cNvPr id="3855" name="Picture 3854" descr="Insight Picture 3854">
          <a:extLst>
            <a:ext uri="{FF2B5EF4-FFF2-40B4-BE49-F238E27FC236}">
              <a16:creationId xmlns:a16="http://schemas.microsoft.com/office/drawing/2014/main" id="{3DDC1905-7F64-DCA9-29C8-495AD937A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7"/>
        <a:stretch>
          <a:fillRect/>
        </a:stretch>
      </xdr:blipFill>
      <xdr:spPr>
        <a:xfrm>
          <a:off x="818198" y="1743889586"/>
          <a:ext cx="1000125" cy="664369"/>
        </a:xfrm>
        <a:prstGeom prst="rect">
          <a:avLst/>
        </a:prstGeom>
      </xdr:spPr>
    </xdr:pic>
    <xdr:clientData/>
  </xdr:twoCellAnchor>
  <xdr:twoCellAnchor editAs="oneCell">
    <xdr:from>
      <xdr:col>0</xdr:col>
      <xdr:colOff>818198</xdr:colOff>
      <xdr:row>1928</xdr:row>
      <xdr:rowOff>60166</xdr:rowOff>
    </xdr:from>
    <xdr:to>
      <xdr:col>0</xdr:col>
      <xdr:colOff>1818323</xdr:colOff>
      <xdr:row>1928</xdr:row>
      <xdr:rowOff>724535</xdr:rowOff>
    </xdr:to>
    <xdr:pic>
      <xdr:nvPicPr>
        <xdr:cNvPr id="3857" name="Picture 3856" descr="Insight Picture 3856">
          <a:extLst>
            <a:ext uri="{FF2B5EF4-FFF2-40B4-BE49-F238E27FC236}">
              <a16:creationId xmlns:a16="http://schemas.microsoft.com/office/drawing/2014/main" id="{C2435644-A8F9-9E59-D6C9-7EB06DFDE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8"/>
        <a:stretch>
          <a:fillRect/>
        </a:stretch>
      </xdr:blipFill>
      <xdr:spPr>
        <a:xfrm>
          <a:off x="818198" y="1744674406"/>
          <a:ext cx="1000125" cy="664369"/>
        </a:xfrm>
        <a:prstGeom prst="rect">
          <a:avLst/>
        </a:prstGeom>
      </xdr:spPr>
    </xdr:pic>
    <xdr:clientData/>
  </xdr:twoCellAnchor>
  <xdr:twoCellAnchor editAs="oneCell">
    <xdr:from>
      <xdr:col>0</xdr:col>
      <xdr:colOff>903923</xdr:colOff>
      <xdr:row>1929</xdr:row>
      <xdr:rowOff>61714</xdr:rowOff>
    </xdr:from>
    <xdr:to>
      <xdr:col>0</xdr:col>
      <xdr:colOff>1732598</xdr:colOff>
      <xdr:row>1929</xdr:row>
      <xdr:rowOff>768945</xdr:rowOff>
    </xdr:to>
    <xdr:pic>
      <xdr:nvPicPr>
        <xdr:cNvPr id="3859" name="Picture 3858" descr="Insight Picture 3858">
          <a:extLst>
            <a:ext uri="{FF2B5EF4-FFF2-40B4-BE49-F238E27FC236}">
              <a16:creationId xmlns:a16="http://schemas.microsoft.com/office/drawing/2014/main" id="{B2CB328A-DD8C-50D1-2974-57FE778B8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9"/>
        <a:stretch>
          <a:fillRect/>
        </a:stretch>
      </xdr:blipFill>
      <xdr:spPr>
        <a:xfrm>
          <a:off x="903923" y="1745460814"/>
          <a:ext cx="828675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657463</xdr:colOff>
      <xdr:row>1930</xdr:row>
      <xdr:rowOff>60801</xdr:rowOff>
    </xdr:from>
    <xdr:to>
      <xdr:col>0</xdr:col>
      <xdr:colOff>1979057</xdr:colOff>
      <xdr:row>1930</xdr:row>
      <xdr:rowOff>625157</xdr:rowOff>
    </xdr:to>
    <xdr:pic>
      <xdr:nvPicPr>
        <xdr:cNvPr id="3861" name="Picture 3860" descr="Insight Picture 3860">
          <a:extLst>
            <a:ext uri="{FF2B5EF4-FFF2-40B4-BE49-F238E27FC236}">
              <a16:creationId xmlns:a16="http://schemas.microsoft.com/office/drawing/2014/main" id="{4BF89653-33BD-C7DA-01E1-2ACF417F5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0"/>
        <a:stretch>
          <a:fillRect/>
        </a:stretch>
      </xdr:blipFill>
      <xdr:spPr>
        <a:xfrm>
          <a:off x="657463" y="1746290481"/>
          <a:ext cx="1321594" cy="564356"/>
        </a:xfrm>
        <a:prstGeom prst="rect">
          <a:avLst/>
        </a:prstGeom>
      </xdr:spPr>
    </xdr:pic>
    <xdr:clientData/>
  </xdr:twoCellAnchor>
  <xdr:twoCellAnchor editAs="oneCell">
    <xdr:from>
      <xdr:col>0</xdr:col>
      <xdr:colOff>678895</xdr:colOff>
      <xdr:row>1931</xdr:row>
      <xdr:rowOff>61397</xdr:rowOff>
    </xdr:from>
    <xdr:to>
      <xdr:col>0</xdr:col>
      <xdr:colOff>1957626</xdr:colOff>
      <xdr:row>1931</xdr:row>
      <xdr:rowOff>647185</xdr:rowOff>
    </xdr:to>
    <xdr:pic>
      <xdr:nvPicPr>
        <xdr:cNvPr id="3863" name="Picture 3862" descr="Insight Picture 3862">
          <a:extLst>
            <a:ext uri="{FF2B5EF4-FFF2-40B4-BE49-F238E27FC236}">
              <a16:creationId xmlns:a16="http://schemas.microsoft.com/office/drawing/2014/main" id="{99EF02FA-E314-4166-1F1C-4FD4D3788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1"/>
        <a:stretch>
          <a:fillRect/>
        </a:stretch>
      </xdr:blipFill>
      <xdr:spPr>
        <a:xfrm>
          <a:off x="678895" y="1746976877"/>
          <a:ext cx="1278731" cy="585788"/>
        </a:xfrm>
        <a:prstGeom prst="rect">
          <a:avLst/>
        </a:prstGeom>
      </xdr:spPr>
    </xdr:pic>
    <xdr:clientData/>
  </xdr:twoCellAnchor>
  <xdr:twoCellAnchor editAs="oneCell">
    <xdr:from>
      <xdr:col>0</xdr:col>
      <xdr:colOff>1021795</xdr:colOff>
      <xdr:row>1932</xdr:row>
      <xdr:rowOff>63540</xdr:rowOff>
    </xdr:from>
    <xdr:to>
      <xdr:col>0</xdr:col>
      <xdr:colOff>1614726</xdr:colOff>
      <xdr:row>1932</xdr:row>
      <xdr:rowOff>1285121</xdr:rowOff>
    </xdr:to>
    <xdr:pic>
      <xdr:nvPicPr>
        <xdr:cNvPr id="3865" name="Picture 3864" descr="Insight Picture 3864">
          <a:extLst>
            <a:ext uri="{FF2B5EF4-FFF2-40B4-BE49-F238E27FC236}">
              <a16:creationId xmlns:a16="http://schemas.microsoft.com/office/drawing/2014/main" id="{F2257731-59D5-8672-B2E3-8183D4BFC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2"/>
        <a:stretch>
          <a:fillRect/>
        </a:stretch>
      </xdr:blipFill>
      <xdr:spPr>
        <a:xfrm>
          <a:off x="1021795" y="1747687680"/>
          <a:ext cx="592931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903923</xdr:colOff>
      <xdr:row>1933</xdr:row>
      <xdr:rowOff>60206</xdr:rowOff>
    </xdr:from>
    <xdr:to>
      <xdr:col>0</xdr:col>
      <xdr:colOff>1732598</xdr:colOff>
      <xdr:row>1933</xdr:row>
      <xdr:rowOff>724575</xdr:rowOff>
    </xdr:to>
    <xdr:pic>
      <xdr:nvPicPr>
        <xdr:cNvPr id="3867" name="Picture 3866" descr="Insight Picture 3866">
          <a:extLst>
            <a:ext uri="{FF2B5EF4-FFF2-40B4-BE49-F238E27FC236}">
              <a16:creationId xmlns:a16="http://schemas.microsoft.com/office/drawing/2014/main" id="{91DADCC1-E390-F1C7-DAF8-D4E2AD2F9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xfrm>
          <a:off x="903923" y="1749033086"/>
          <a:ext cx="828675" cy="664369"/>
        </a:xfrm>
        <a:prstGeom prst="rect">
          <a:avLst/>
        </a:prstGeom>
      </xdr:spPr>
    </xdr:pic>
    <xdr:clientData/>
  </xdr:twoCellAnchor>
  <xdr:twoCellAnchor editAs="oneCell">
    <xdr:from>
      <xdr:col>0</xdr:col>
      <xdr:colOff>903923</xdr:colOff>
      <xdr:row>1934</xdr:row>
      <xdr:rowOff>63143</xdr:rowOff>
    </xdr:from>
    <xdr:to>
      <xdr:col>0</xdr:col>
      <xdr:colOff>1732598</xdr:colOff>
      <xdr:row>1934</xdr:row>
      <xdr:rowOff>927537</xdr:rowOff>
    </xdr:to>
    <xdr:pic>
      <xdr:nvPicPr>
        <xdr:cNvPr id="3869" name="Picture 3868" descr="Insight Picture 3868">
          <a:extLst>
            <a:ext uri="{FF2B5EF4-FFF2-40B4-BE49-F238E27FC236}">
              <a16:creationId xmlns:a16="http://schemas.microsoft.com/office/drawing/2014/main" id="{42D74D9A-770A-5D7A-719E-C4276D2D9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4"/>
        <a:stretch>
          <a:fillRect/>
        </a:stretch>
      </xdr:blipFill>
      <xdr:spPr>
        <a:xfrm>
          <a:off x="903923" y="1749820883"/>
          <a:ext cx="828675" cy="864394"/>
        </a:xfrm>
        <a:prstGeom prst="rect">
          <a:avLst/>
        </a:prstGeom>
      </xdr:spPr>
    </xdr:pic>
    <xdr:clientData/>
  </xdr:twoCellAnchor>
  <xdr:twoCellAnchor editAs="oneCell">
    <xdr:from>
      <xdr:col>0</xdr:col>
      <xdr:colOff>843200</xdr:colOff>
      <xdr:row>1935</xdr:row>
      <xdr:rowOff>62548</xdr:rowOff>
    </xdr:from>
    <xdr:to>
      <xdr:col>0</xdr:col>
      <xdr:colOff>1793319</xdr:colOff>
      <xdr:row>1935</xdr:row>
      <xdr:rowOff>1255554</xdr:rowOff>
    </xdr:to>
    <xdr:pic>
      <xdr:nvPicPr>
        <xdr:cNvPr id="3871" name="Picture 3870" descr="Insight Picture 3870">
          <a:extLst>
            <a:ext uri="{FF2B5EF4-FFF2-40B4-BE49-F238E27FC236}">
              <a16:creationId xmlns:a16="http://schemas.microsoft.com/office/drawing/2014/main" id="{4880C4CB-8AA5-7840-66F0-5AE649BA0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5"/>
        <a:stretch>
          <a:fillRect/>
        </a:stretch>
      </xdr:blipFill>
      <xdr:spPr>
        <a:xfrm>
          <a:off x="843200" y="1750810888"/>
          <a:ext cx="950119" cy="1193006"/>
        </a:xfrm>
        <a:prstGeom prst="rect">
          <a:avLst/>
        </a:prstGeom>
      </xdr:spPr>
    </xdr:pic>
    <xdr:clientData/>
  </xdr:twoCellAnchor>
  <xdr:twoCellAnchor editAs="oneCell">
    <xdr:from>
      <xdr:col>0</xdr:col>
      <xdr:colOff>732472</xdr:colOff>
      <xdr:row>1936</xdr:row>
      <xdr:rowOff>63500</xdr:rowOff>
    </xdr:from>
    <xdr:to>
      <xdr:col>0</xdr:col>
      <xdr:colOff>1904047</xdr:colOff>
      <xdr:row>1936</xdr:row>
      <xdr:rowOff>1285081</xdr:rowOff>
    </xdr:to>
    <xdr:pic>
      <xdr:nvPicPr>
        <xdr:cNvPr id="3873" name="Picture 3872" descr="Insight Picture 3872">
          <a:extLst>
            <a:ext uri="{FF2B5EF4-FFF2-40B4-BE49-F238E27FC236}">
              <a16:creationId xmlns:a16="http://schemas.microsoft.com/office/drawing/2014/main" id="{70854135-D6AD-41F9-2C32-C86AED792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6"/>
        <a:stretch>
          <a:fillRect/>
        </a:stretch>
      </xdr:blipFill>
      <xdr:spPr>
        <a:xfrm>
          <a:off x="732472" y="1752130100"/>
          <a:ext cx="1171575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578882</xdr:colOff>
      <xdr:row>1937</xdr:row>
      <xdr:rowOff>61158</xdr:rowOff>
    </xdr:from>
    <xdr:to>
      <xdr:col>0</xdr:col>
      <xdr:colOff>2057638</xdr:colOff>
      <xdr:row>1937</xdr:row>
      <xdr:rowOff>1211302</xdr:rowOff>
    </xdr:to>
    <xdr:pic>
      <xdr:nvPicPr>
        <xdr:cNvPr id="3875" name="Picture 3874" descr="Insight Picture 3874">
          <a:extLst>
            <a:ext uri="{FF2B5EF4-FFF2-40B4-BE49-F238E27FC236}">
              <a16:creationId xmlns:a16="http://schemas.microsoft.com/office/drawing/2014/main" id="{C9E5D72B-213A-D258-347A-00DA76CAE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7"/>
        <a:stretch>
          <a:fillRect/>
        </a:stretch>
      </xdr:blipFill>
      <xdr:spPr>
        <a:xfrm>
          <a:off x="578882" y="1753476498"/>
          <a:ext cx="1478756" cy="1150144"/>
        </a:xfrm>
        <a:prstGeom prst="rect">
          <a:avLst/>
        </a:prstGeom>
      </xdr:spPr>
    </xdr:pic>
    <xdr:clientData/>
  </xdr:twoCellAnchor>
  <xdr:twoCellAnchor editAs="oneCell">
    <xdr:from>
      <xdr:col>0</xdr:col>
      <xdr:colOff>714613</xdr:colOff>
      <xdr:row>1938</xdr:row>
      <xdr:rowOff>63778</xdr:rowOff>
    </xdr:from>
    <xdr:to>
      <xdr:col>0</xdr:col>
      <xdr:colOff>1921907</xdr:colOff>
      <xdr:row>1938</xdr:row>
      <xdr:rowOff>606703</xdr:rowOff>
    </xdr:to>
    <xdr:pic>
      <xdr:nvPicPr>
        <xdr:cNvPr id="3877" name="Picture 3876" descr="Insight Picture 3876">
          <a:extLst>
            <a:ext uri="{FF2B5EF4-FFF2-40B4-BE49-F238E27FC236}">
              <a16:creationId xmlns:a16="http://schemas.microsoft.com/office/drawing/2014/main" id="{F5543668-DFE2-58A6-381C-849E880D6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8"/>
        <a:stretch>
          <a:fillRect/>
        </a:stretch>
      </xdr:blipFill>
      <xdr:spPr>
        <a:xfrm>
          <a:off x="714613" y="1754751658"/>
          <a:ext cx="1207294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714613</xdr:colOff>
      <xdr:row>1939</xdr:row>
      <xdr:rowOff>63540</xdr:rowOff>
    </xdr:from>
    <xdr:to>
      <xdr:col>0</xdr:col>
      <xdr:colOff>1921907</xdr:colOff>
      <xdr:row>1939</xdr:row>
      <xdr:rowOff>713621</xdr:rowOff>
    </xdr:to>
    <xdr:pic>
      <xdr:nvPicPr>
        <xdr:cNvPr id="3879" name="Picture 3878" descr="Insight Picture 3878">
          <a:extLst>
            <a:ext uri="{FF2B5EF4-FFF2-40B4-BE49-F238E27FC236}">
              <a16:creationId xmlns:a16="http://schemas.microsoft.com/office/drawing/2014/main" id="{A83FFC19-1307-48AF-3922-C5A8092CF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9"/>
        <a:stretch>
          <a:fillRect/>
        </a:stretch>
      </xdr:blipFill>
      <xdr:spPr>
        <a:xfrm>
          <a:off x="714613" y="1755421980"/>
          <a:ext cx="1207294" cy="650081"/>
        </a:xfrm>
        <a:prstGeom prst="rect">
          <a:avLst/>
        </a:prstGeom>
      </xdr:spPr>
    </xdr:pic>
    <xdr:clientData/>
  </xdr:twoCellAnchor>
  <xdr:twoCellAnchor editAs="oneCell">
    <xdr:from>
      <xdr:col>0</xdr:col>
      <xdr:colOff>836057</xdr:colOff>
      <xdr:row>1940</xdr:row>
      <xdr:rowOff>61198</xdr:rowOff>
    </xdr:from>
    <xdr:to>
      <xdr:col>0</xdr:col>
      <xdr:colOff>1800463</xdr:colOff>
      <xdr:row>1940</xdr:row>
      <xdr:rowOff>1211342</xdr:rowOff>
    </xdr:to>
    <xdr:pic>
      <xdr:nvPicPr>
        <xdr:cNvPr id="3881" name="Picture 3880" descr="Insight Picture 3880">
          <a:extLst>
            <a:ext uri="{FF2B5EF4-FFF2-40B4-BE49-F238E27FC236}">
              <a16:creationId xmlns:a16="http://schemas.microsoft.com/office/drawing/2014/main" id="{A9FC2E4F-1097-FD90-6F7C-5D514ABCA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0"/>
        <a:stretch>
          <a:fillRect/>
        </a:stretch>
      </xdr:blipFill>
      <xdr:spPr>
        <a:xfrm>
          <a:off x="836057" y="1756196878"/>
          <a:ext cx="964406" cy="1150144"/>
        </a:xfrm>
        <a:prstGeom prst="rect">
          <a:avLst/>
        </a:prstGeom>
      </xdr:spPr>
    </xdr:pic>
    <xdr:clientData/>
  </xdr:twoCellAnchor>
  <xdr:twoCellAnchor editAs="oneCell">
    <xdr:from>
      <xdr:col>0</xdr:col>
      <xdr:colOff>561022</xdr:colOff>
      <xdr:row>1941</xdr:row>
      <xdr:rowOff>61833</xdr:rowOff>
    </xdr:from>
    <xdr:to>
      <xdr:col>0</xdr:col>
      <xdr:colOff>2075497</xdr:colOff>
      <xdr:row>1941</xdr:row>
      <xdr:rowOff>890508</xdr:rowOff>
    </xdr:to>
    <xdr:pic>
      <xdr:nvPicPr>
        <xdr:cNvPr id="3883" name="Picture 3882" descr="Insight Picture 3882">
          <a:extLst>
            <a:ext uri="{FF2B5EF4-FFF2-40B4-BE49-F238E27FC236}">
              <a16:creationId xmlns:a16="http://schemas.microsoft.com/office/drawing/2014/main" id="{AC98C013-A5A1-A4BB-2725-30EC7381E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1"/>
        <a:stretch>
          <a:fillRect/>
        </a:stretch>
      </xdr:blipFill>
      <xdr:spPr>
        <a:xfrm>
          <a:off x="561022" y="1757470053"/>
          <a:ext cx="1514475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582453</xdr:colOff>
      <xdr:row>1942</xdr:row>
      <xdr:rowOff>61039</xdr:rowOff>
    </xdr:from>
    <xdr:to>
      <xdr:col>0</xdr:col>
      <xdr:colOff>2054066</xdr:colOff>
      <xdr:row>1942</xdr:row>
      <xdr:rowOff>975439</xdr:rowOff>
    </xdr:to>
    <xdr:pic>
      <xdr:nvPicPr>
        <xdr:cNvPr id="3885" name="Picture 3884" descr="Insight Picture 3884">
          <a:extLst>
            <a:ext uri="{FF2B5EF4-FFF2-40B4-BE49-F238E27FC236}">
              <a16:creationId xmlns:a16="http://schemas.microsoft.com/office/drawing/2014/main" id="{07F27FB3-E104-F73B-8054-C8757A9B0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2"/>
        <a:stretch>
          <a:fillRect/>
        </a:stretch>
      </xdr:blipFill>
      <xdr:spPr>
        <a:xfrm>
          <a:off x="582453" y="1758421759"/>
          <a:ext cx="1471613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753903</xdr:colOff>
      <xdr:row>1943</xdr:row>
      <xdr:rowOff>60166</xdr:rowOff>
    </xdr:from>
    <xdr:to>
      <xdr:col>0</xdr:col>
      <xdr:colOff>1882616</xdr:colOff>
      <xdr:row>1943</xdr:row>
      <xdr:rowOff>1181735</xdr:rowOff>
    </xdr:to>
    <xdr:pic>
      <xdr:nvPicPr>
        <xdr:cNvPr id="3887" name="Picture 3886" descr="Insight Picture 3886">
          <a:extLst>
            <a:ext uri="{FF2B5EF4-FFF2-40B4-BE49-F238E27FC236}">
              <a16:creationId xmlns:a16="http://schemas.microsoft.com/office/drawing/2014/main" id="{0F45FC66-7028-6620-DC6F-7E0BB1EC1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3"/>
        <a:stretch>
          <a:fillRect/>
        </a:stretch>
      </xdr:blipFill>
      <xdr:spPr>
        <a:xfrm>
          <a:off x="753903" y="1759457206"/>
          <a:ext cx="1128713" cy="1121569"/>
        </a:xfrm>
        <a:prstGeom prst="rect">
          <a:avLst/>
        </a:prstGeom>
      </xdr:spPr>
    </xdr:pic>
    <xdr:clientData/>
  </xdr:twoCellAnchor>
  <xdr:twoCellAnchor editAs="oneCell">
    <xdr:from>
      <xdr:col>0</xdr:col>
      <xdr:colOff>807482</xdr:colOff>
      <xdr:row>1944</xdr:row>
      <xdr:rowOff>63500</xdr:rowOff>
    </xdr:from>
    <xdr:to>
      <xdr:col>0</xdr:col>
      <xdr:colOff>1829038</xdr:colOff>
      <xdr:row>1944</xdr:row>
      <xdr:rowOff>1285081</xdr:rowOff>
    </xdr:to>
    <xdr:pic>
      <xdr:nvPicPr>
        <xdr:cNvPr id="3889" name="Picture 3888" descr="Insight Picture 3888">
          <a:extLst>
            <a:ext uri="{FF2B5EF4-FFF2-40B4-BE49-F238E27FC236}">
              <a16:creationId xmlns:a16="http://schemas.microsoft.com/office/drawing/2014/main" id="{20D1C1A4-148B-F953-3DDA-2F3861C1E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4"/>
        <a:stretch>
          <a:fillRect/>
        </a:stretch>
      </xdr:blipFill>
      <xdr:spPr>
        <a:xfrm>
          <a:off x="807482" y="1760702600"/>
          <a:ext cx="1021556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743188</xdr:colOff>
      <xdr:row>1945</xdr:row>
      <xdr:rowOff>61158</xdr:rowOff>
    </xdr:from>
    <xdr:to>
      <xdr:col>0</xdr:col>
      <xdr:colOff>1893332</xdr:colOff>
      <xdr:row>1945</xdr:row>
      <xdr:rowOff>1211302</xdr:rowOff>
    </xdr:to>
    <xdr:pic>
      <xdr:nvPicPr>
        <xdr:cNvPr id="3891" name="Picture 3890" descr="Insight Picture 3890">
          <a:extLst>
            <a:ext uri="{FF2B5EF4-FFF2-40B4-BE49-F238E27FC236}">
              <a16:creationId xmlns:a16="http://schemas.microsoft.com/office/drawing/2014/main" id="{88160DAE-C2FA-2A58-EA5F-41B60645A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5"/>
        <a:stretch>
          <a:fillRect/>
        </a:stretch>
      </xdr:blipFill>
      <xdr:spPr>
        <a:xfrm>
          <a:off x="743188" y="1762048998"/>
          <a:ext cx="1150144" cy="1150144"/>
        </a:xfrm>
        <a:prstGeom prst="rect">
          <a:avLst/>
        </a:prstGeom>
      </xdr:spPr>
    </xdr:pic>
    <xdr:clientData/>
  </xdr:twoCellAnchor>
  <xdr:twoCellAnchor editAs="oneCell">
    <xdr:from>
      <xdr:col>0</xdr:col>
      <xdr:colOff>818198</xdr:colOff>
      <xdr:row>1946</xdr:row>
      <xdr:rowOff>62786</xdr:rowOff>
    </xdr:from>
    <xdr:to>
      <xdr:col>0</xdr:col>
      <xdr:colOff>1818323</xdr:colOff>
      <xdr:row>1946</xdr:row>
      <xdr:rowOff>1034336</xdr:rowOff>
    </xdr:to>
    <xdr:pic>
      <xdr:nvPicPr>
        <xdr:cNvPr id="3893" name="Picture 3892" descr="Insight Picture 3892">
          <a:extLst>
            <a:ext uri="{FF2B5EF4-FFF2-40B4-BE49-F238E27FC236}">
              <a16:creationId xmlns:a16="http://schemas.microsoft.com/office/drawing/2014/main" id="{5D8B3214-A060-8CA0-7DA5-9D203DC12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6"/>
        <a:stretch>
          <a:fillRect/>
        </a:stretch>
      </xdr:blipFill>
      <xdr:spPr>
        <a:xfrm>
          <a:off x="818198" y="1763323166"/>
          <a:ext cx="1000125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803910</xdr:colOff>
      <xdr:row>1947</xdr:row>
      <xdr:rowOff>60484</xdr:rowOff>
    </xdr:from>
    <xdr:to>
      <xdr:col>0</xdr:col>
      <xdr:colOff>1832610</xdr:colOff>
      <xdr:row>1947</xdr:row>
      <xdr:rowOff>960597</xdr:rowOff>
    </xdr:to>
    <xdr:pic>
      <xdr:nvPicPr>
        <xdr:cNvPr id="3895" name="Picture 3894" descr="Insight Picture 3894">
          <a:extLst>
            <a:ext uri="{FF2B5EF4-FFF2-40B4-BE49-F238E27FC236}">
              <a16:creationId xmlns:a16="http://schemas.microsoft.com/office/drawing/2014/main" id="{402FE1F7-22DC-B348-DE4D-4A7A575CB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7"/>
        <a:stretch>
          <a:fillRect/>
        </a:stretch>
      </xdr:blipFill>
      <xdr:spPr>
        <a:xfrm>
          <a:off x="803910" y="1764418144"/>
          <a:ext cx="1028700" cy="900113"/>
        </a:xfrm>
        <a:prstGeom prst="rect">
          <a:avLst/>
        </a:prstGeom>
      </xdr:spPr>
    </xdr:pic>
    <xdr:clientData/>
  </xdr:twoCellAnchor>
  <xdr:twoCellAnchor editAs="oneCell">
    <xdr:from>
      <xdr:col>0</xdr:col>
      <xdr:colOff>761047</xdr:colOff>
      <xdr:row>1948</xdr:row>
      <xdr:rowOff>60166</xdr:rowOff>
    </xdr:from>
    <xdr:to>
      <xdr:col>0</xdr:col>
      <xdr:colOff>1875472</xdr:colOff>
      <xdr:row>1948</xdr:row>
      <xdr:rowOff>838835</xdr:rowOff>
    </xdr:to>
    <xdr:pic>
      <xdr:nvPicPr>
        <xdr:cNvPr id="3897" name="Picture 3896" descr="Insight Picture 3896">
          <a:extLst>
            <a:ext uri="{FF2B5EF4-FFF2-40B4-BE49-F238E27FC236}">
              <a16:creationId xmlns:a16="http://schemas.microsoft.com/office/drawing/2014/main" id="{87C49B7E-FC96-904A-C2BB-7FD99CE75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8"/>
        <a:stretch>
          <a:fillRect/>
        </a:stretch>
      </xdr:blipFill>
      <xdr:spPr>
        <a:xfrm>
          <a:off x="761047" y="1765438906"/>
          <a:ext cx="1114425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775335</xdr:colOff>
      <xdr:row>1949</xdr:row>
      <xdr:rowOff>63500</xdr:rowOff>
    </xdr:from>
    <xdr:to>
      <xdr:col>0</xdr:col>
      <xdr:colOff>1861185</xdr:colOff>
      <xdr:row>1949</xdr:row>
      <xdr:rowOff>1285081</xdr:rowOff>
    </xdr:to>
    <xdr:pic>
      <xdr:nvPicPr>
        <xdr:cNvPr id="3899" name="Picture 3898" descr="Insight Picture 3898">
          <a:extLst>
            <a:ext uri="{FF2B5EF4-FFF2-40B4-BE49-F238E27FC236}">
              <a16:creationId xmlns:a16="http://schemas.microsoft.com/office/drawing/2014/main" id="{5788E068-E568-9AF2-9131-77842DE73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9"/>
        <a:stretch>
          <a:fillRect/>
        </a:stretch>
      </xdr:blipFill>
      <xdr:spPr>
        <a:xfrm>
          <a:off x="775335" y="1766341400"/>
          <a:ext cx="1085850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918210</xdr:colOff>
      <xdr:row>1950</xdr:row>
      <xdr:rowOff>63540</xdr:rowOff>
    </xdr:from>
    <xdr:to>
      <xdr:col>0</xdr:col>
      <xdr:colOff>1718310</xdr:colOff>
      <xdr:row>1950</xdr:row>
      <xdr:rowOff>1285121</xdr:rowOff>
    </xdr:to>
    <xdr:pic>
      <xdr:nvPicPr>
        <xdr:cNvPr id="3901" name="Picture 3900" descr="Insight Picture 3900">
          <a:extLst>
            <a:ext uri="{FF2B5EF4-FFF2-40B4-BE49-F238E27FC236}">
              <a16:creationId xmlns:a16="http://schemas.microsoft.com/office/drawing/2014/main" id="{E1897C24-8406-11A8-85AB-015E08971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0"/>
        <a:stretch>
          <a:fillRect/>
        </a:stretch>
      </xdr:blipFill>
      <xdr:spPr>
        <a:xfrm>
          <a:off x="918210" y="1767690180"/>
          <a:ext cx="800100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807482</xdr:colOff>
      <xdr:row>1951</xdr:row>
      <xdr:rowOff>62786</xdr:rowOff>
    </xdr:from>
    <xdr:to>
      <xdr:col>0</xdr:col>
      <xdr:colOff>1829038</xdr:colOff>
      <xdr:row>1951</xdr:row>
      <xdr:rowOff>1262936</xdr:rowOff>
    </xdr:to>
    <xdr:pic>
      <xdr:nvPicPr>
        <xdr:cNvPr id="3903" name="Picture 3902" descr="Insight Picture 3902">
          <a:extLst>
            <a:ext uri="{FF2B5EF4-FFF2-40B4-BE49-F238E27FC236}">
              <a16:creationId xmlns:a16="http://schemas.microsoft.com/office/drawing/2014/main" id="{53413EC1-8FAD-2716-711E-15D1EC65C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1"/>
        <a:stretch>
          <a:fillRect/>
        </a:stretch>
      </xdr:blipFill>
      <xdr:spPr>
        <a:xfrm>
          <a:off x="807482" y="1769038166"/>
          <a:ext cx="1021556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889635</xdr:colOff>
      <xdr:row>1952</xdr:row>
      <xdr:rowOff>63659</xdr:rowOff>
    </xdr:from>
    <xdr:to>
      <xdr:col>0</xdr:col>
      <xdr:colOff>1746885</xdr:colOff>
      <xdr:row>1952</xdr:row>
      <xdr:rowOff>1285240</xdr:rowOff>
    </xdr:to>
    <xdr:pic>
      <xdr:nvPicPr>
        <xdr:cNvPr id="3905" name="Picture 3904" descr="Insight Picture 3904">
          <a:extLst>
            <a:ext uri="{FF2B5EF4-FFF2-40B4-BE49-F238E27FC236}">
              <a16:creationId xmlns:a16="http://schemas.microsoft.com/office/drawing/2014/main" id="{53AA7621-C89E-0B30-4CBA-3D20CF610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2"/>
        <a:stretch>
          <a:fillRect/>
        </a:stretch>
      </xdr:blipFill>
      <xdr:spPr>
        <a:xfrm>
          <a:off x="889635" y="1770364919"/>
          <a:ext cx="857250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732472</xdr:colOff>
      <xdr:row>1953</xdr:row>
      <xdr:rowOff>62706</xdr:rowOff>
    </xdr:from>
    <xdr:to>
      <xdr:col>0</xdr:col>
      <xdr:colOff>1904047</xdr:colOff>
      <xdr:row>1953</xdr:row>
      <xdr:rowOff>798512</xdr:rowOff>
    </xdr:to>
    <xdr:pic>
      <xdr:nvPicPr>
        <xdr:cNvPr id="3907" name="Picture 3906" descr="Insight Picture 3906">
          <a:extLst>
            <a:ext uri="{FF2B5EF4-FFF2-40B4-BE49-F238E27FC236}">
              <a16:creationId xmlns:a16="http://schemas.microsoft.com/office/drawing/2014/main" id="{B39D8478-CBD8-48AC-4B57-14CDF64A0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3"/>
        <a:stretch>
          <a:fillRect/>
        </a:stretch>
      </xdr:blipFill>
      <xdr:spPr>
        <a:xfrm>
          <a:off x="732472" y="1771712706"/>
          <a:ext cx="1171575" cy="735806"/>
        </a:xfrm>
        <a:prstGeom prst="rect">
          <a:avLst/>
        </a:prstGeom>
      </xdr:spPr>
    </xdr:pic>
    <xdr:clientData/>
  </xdr:twoCellAnchor>
  <xdr:twoCellAnchor editAs="oneCell">
    <xdr:from>
      <xdr:col>0</xdr:col>
      <xdr:colOff>600313</xdr:colOff>
      <xdr:row>1954</xdr:row>
      <xdr:rowOff>62071</xdr:rowOff>
    </xdr:from>
    <xdr:to>
      <xdr:col>0</xdr:col>
      <xdr:colOff>2036207</xdr:colOff>
      <xdr:row>1954</xdr:row>
      <xdr:rowOff>669290</xdr:rowOff>
    </xdr:to>
    <xdr:pic>
      <xdr:nvPicPr>
        <xdr:cNvPr id="3909" name="Picture 3908" descr="Insight Picture 3908">
          <a:extLst>
            <a:ext uri="{FF2B5EF4-FFF2-40B4-BE49-F238E27FC236}">
              <a16:creationId xmlns:a16="http://schemas.microsoft.com/office/drawing/2014/main" id="{5E292A14-F339-34D7-AF5F-B7E7ECCEB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4"/>
        <a:stretch>
          <a:fillRect/>
        </a:stretch>
      </xdr:blipFill>
      <xdr:spPr>
        <a:xfrm>
          <a:off x="600313" y="1772573131"/>
          <a:ext cx="1435894" cy="607219"/>
        </a:xfrm>
        <a:prstGeom prst="rect">
          <a:avLst/>
        </a:prstGeom>
      </xdr:spPr>
    </xdr:pic>
    <xdr:clientData/>
  </xdr:twoCellAnchor>
  <xdr:twoCellAnchor editAs="oneCell">
    <xdr:from>
      <xdr:col>0</xdr:col>
      <xdr:colOff>843200</xdr:colOff>
      <xdr:row>1955</xdr:row>
      <xdr:rowOff>63579</xdr:rowOff>
    </xdr:from>
    <xdr:to>
      <xdr:col>0</xdr:col>
      <xdr:colOff>1793319</xdr:colOff>
      <xdr:row>1955</xdr:row>
      <xdr:rowOff>1285160</xdr:rowOff>
    </xdr:to>
    <xdr:pic>
      <xdr:nvPicPr>
        <xdr:cNvPr id="3911" name="Picture 3910" descr="Insight Picture 3910">
          <a:extLst>
            <a:ext uri="{FF2B5EF4-FFF2-40B4-BE49-F238E27FC236}">
              <a16:creationId xmlns:a16="http://schemas.microsoft.com/office/drawing/2014/main" id="{985C4CA2-E37B-ECBE-9BAB-02BD706A7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5"/>
        <a:stretch>
          <a:fillRect/>
        </a:stretch>
      </xdr:blipFill>
      <xdr:spPr>
        <a:xfrm>
          <a:off x="843200" y="1773306159"/>
          <a:ext cx="950119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818198</xdr:colOff>
      <xdr:row>1956</xdr:row>
      <xdr:rowOff>61833</xdr:rowOff>
    </xdr:from>
    <xdr:to>
      <xdr:col>0</xdr:col>
      <xdr:colOff>1818323</xdr:colOff>
      <xdr:row>1956</xdr:row>
      <xdr:rowOff>1233408</xdr:rowOff>
    </xdr:to>
    <xdr:pic>
      <xdr:nvPicPr>
        <xdr:cNvPr id="3913" name="Picture 3912" descr="Insight Picture 3912">
          <a:extLst>
            <a:ext uri="{FF2B5EF4-FFF2-40B4-BE49-F238E27FC236}">
              <a16:creationId xmlns:a16="http://schemas.microsoft.com/office/drawing/2014/main" id="{C6AAB9DC-D86F-A2FA-D973-05217747C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6"/>
        <a:stretch>
          <a:fillRect/>
        </a:stretch>
      </xdr:blipFill>
      <xdr:spPr>
        <a:xfrm>
          <a:off x="818198" y="1774653153"/>
          <a:ext cx="1000125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600313</xdr:colOff>
      <xdr:row>1957</xdr:row>
      <xdr:rowOff>60643</xdr:rowOff>
    </xdr:from>
    <xdr:to>
      <xdr:col>0</xdr:col>
      <xdr:colOff>2036207</xdr:colOff>
      <xdr:row>1957</xdr:row>
      <xdr:rowOff>624999</xdr:rowOff>
    </xdr:to>
    <xdr:pic>
      <xdr:nvPicPr>
        <xdr:cNvPr id="3915" name="Picture 3914" descr="Insight Picture 3914">
          <a:extLst>
            <a:ext uri="{FF2B5EF4-FFF2-40B4-BE49-F238E27FC236}">
              <a16:creationId xmlns:a16="http://schemas.microsoft.com/office/drawing/2014/main" id="{27AFAD6C-DEB5-3D04-0EB2-8398B5F71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7"/>
        <a:stretch>
          <a:fillRect/>
        </a:stretch>
      </xdr:blipFill>
      <xdr:spPr>
        <a:xfrm>
          <a:off x="600313" y="1775947363"/>
          <a:ext cx="1435894" cy="564356"/>
        </a:xfrm>
        <a:prstGeom prst="rect">
          <a:avLst/>
        </a:prstGeom>
      </xdr:spPr>
    </xdr:pic>
    <xdr:clientData/>
  </xdr:twoCellAnchor>
  <xdr:twoCellAnchor editAs="oneCell">
    <xdr:from>
      <xdr:col>0</xdr:col>
      <xdr:colOff>775335</xdr:colOff>
      <xdr:row>1958</xdr:row>
      <xdr:rowOff>60246</xdr:rowOff>
    </xdr:from>
    <xdr:to>
      <xdr:col>0</xdr:col>
      <xdr:colOff>1861185</xdr:colOff>
      <xdr:row>1958</xdr:row>
      <xdr:rowOff>838915</xdr:rowOff>
    </xdr:to>
    <xdr:pic>
      <xdr:nvPicPr>
        <xdr:cNvPr id="3917" name="Picture 3916" descr="Insight Picture 3916">
          <a:extLst>
            <a:ext uri="{FF2B5EF4-FFF2-40B4-BE49-F238E27FC236}">
              <a16:creationId xmlns:a16="http://schemas.microsoft.com/office/drawing/2014/main" id="{2777F4BD-B06A-C6CB-7195-7610FB392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8"/>
        <a:stretch>
          <a:fillRect/>
        </a:stretch>
      </xdr:blipFill>
      <xdr:spPr>
        <a:xfrm>
          <a:off x="775335" y="1776632766"/>
          <a:ext cx="1085850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707470</xdr:colOff>
      <xdr:row>1959</xdr:row>
      <xdr:rowOff>63381</xdr:rowOff>
    </xdr:from>
    <xdr:to>
      <xdr:col>0</xdr:col>
      <xdr:colOff>1929051</xdr:colOff>
      <xdr:row>1959</xdr:row>
      <xdr:rowOff>1163519</xdr:rowOff>
    </xdr:to>
    <xdr:pic>
      <xdr:nvPicPr>
        <xdr:cNvPr id="3919" name="Picture 3918" descr="Insight Picture 3918">
          <a:extLst>
            <a:ext uri="{FF2B5EF4-FFF2-40B4-BE49-F238E27FC236}">
              <a16:creationId xmlns:a16="http://schemas.microsoft.com/office/drawing/2014/main" id="{6AFE9162-6F90-68D1-4EF2-8D78FAC48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9"/>
        <a:stretch>
          <a:fillRect/>
        </a:stretch>
      </xdr:blipFill>
      <xdr:spPr>
        <a:xfrm>
          <a:off x="707470" y="1777535061"/>
          <a:ext cx="1221581" cy="1100138"/>
        </a:xfrm>
        <a:prstGeom prst="rect">
          <a:avLst/>
        </a:prstGeom>
      </xdr:spPr>
    </xdr:pic>
    <xdr:clientData/>
  </xdr:twoCellAnchor>
  <xdr:twoCellAnchor editAs="oneCell">
    <xdr:from>
      <xdr:col>0</xdr:col>
      <xdr:colOff>607457</xdr:colOff>
      <xdr:row>1960</xdr:row>
      <xdr:rowOff>60920</xdr:rowOff>
    </xdr:from>
    <xdr:to>
      <xdr:col>0</xdr:col>
      <xdr:colOff>2029063</xdr:colOff>
      <xdr:row>1960</xdr:row>
      <xdr:rowOff>975320</xdr:rowOff>
    </xdr:to>
    <xdr:pic>
      <xdr:nvPicPr>
        <xdr:cNvPr id="3921" name="Picture 3920" descr="Insight Picture 3920">
          <a:extLst>
            <a:ext uri="{FF2B5EF4-FFF2-40B4-BE49-F238E27FC236}">
              <a16:creationId xmlns:a16="http://schemas.microsoft.com/office/drawing/2014/main" id="{2683BCB7-0E5F-E237-169E-C79FA5EA6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0"/>
        <a:stretch>
          <a:fillRect/>
        </a:stretch>
      </xdr:blipFill>
      <xdr:spPr>
        <a:xfrm>
          <a:off x="607457" y="1778759420"/>
          <a:ext cx="1421606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739616</xdr:colOff>
      <xdr:row>1961</xdr:row>
      <xdr:rowOff>61436</xdr:rowOff>
    </xdr:from>
    <xdr:to>
      <xdr:col>0</xdr:col>
      <xdr:colOff>1896904</xdr:colOff>
      <xdr:row>1961</xdr:row>
      <xdr:rowOff>990124</xdr:rowOff>
    </xdr:to>
    <xdr:pic>
      <xdr:nvPicPr>
        <xdr:cNvPr id="3923" name="Picture 3922" descr="Insight Picture 3922">
          <a:extLst>
            <a:ext uri="{FF2B5EF4-FFF2-40B4-BE49-F238E27FC236}">
              <a16:creationId xmlns:a16="http://schemas.microsoft.com/office/drawing/2014/main" id="{139C6618-7F2F-DF03-833F-7A9DD5C6E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1"/>
        <a:stretch>
          <a:fillRect/>
        </a:stretch>
      </xdr:blipFill>
      <xdr:spPr>
        <a:xfrm>
          <a:off x="739616" y="1779796256"/>
          <a:ext cx="1157288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614600</xdr:colOff>
      <xdr:row>1962</xdr:row>
      <xdr:rowOff>63778</xdr:rowOff>
    </xdr:from>
    <xdr:to>
      <xdr:col>0</xdr:col>
      <xdr:colOff>2021919</xdr:colOff>
      <xdr:row>1962</xdr:row>
      <xdr:rowOff>606703</xdr:rowOff>
    </xdr:to>
    <xdr:pic>
      <xdr:nvPicPr>
        <xdr:cNvPr id="3925" name="Picture 3924" descr="Insight Picture 3924">
          <a:extLst>
            <a:ext uri="{FF2B5EF4-FFF2-40B4-BE49-F238E27FC236}">
              <a16:creationId xmlns:a16="http://schemas.microsoft.com/office/drawing/2014/main" id="{F1E800D2-1A6B-DF92-5F4B-9C7AC2819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2"/>
        <a:stretch>
          <a:fillRect/>
        </a:stretch>
      </xdr:blipFill>
      <xdr:spPr>
        <a:xfrm>
          <a:off x="614600" y="1780850158"/>
          <a:ext cx="1407319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528875</xdr:colOff>
      <xdr:row>1963</xdr:row>
      <xdr:rowOff>63143</xdr:rowOff>
    </xdr:from>
    <xdr:to>
      <xdr:col>0</xdr:col>
      <xdr:colOff>2107644</xdr:colOff>
      <xdr:row>1963</xdr:row>
      <xdr:rowOff>1041837</xdr:rowOff>
    </xdr:to>
    <xdr:pic>
      <xdr:nvPicPr>
        <xdr:cNvPr id="3927" name="Picture 3926" descr="Insight Picture 3926">
          <a:extLst>
            <a:ext uri="{FF2B5EF4-FFF2-40B4-BE49-F238E27FC236}">
              <a16:creationId xmlns:a16="http://schemas.microsoft.com/office/drawing/2014/main" id="{7691171F-0824-5E06-E93B-934D62783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3"/>
        <a:stretch>
          <a:fillRect/>
        </a:stretch>
      </xdr:blipFill>
      <xdr:spPr>
        <a:xfrm>
          <a:off x="528875" y="1781520083"/>
          <a:ext cx="1578769" cy="978694"/>
        </a:xfrm>
        <a:prstGeom prst="rect">
          <a:avLst/>
        </a:prstGeom>
      </xdr:spPr>
    </xdr:pic>
    <xdr:clientData/>
  </xdr:twoCellAnchor>
  <xdr:twoCellAnchor editAs="oneCell">
    <xdr:from>
      <xdr:col>0</xdr:col>
      <xdr:colOff>711041</xdr:colOff>
      <xdr:row>1964</xdr:row>
      <xdr:rowOff>61158</xdr:rowOff>
    </xdr:from>
    <xdr:to>
      <xdr:col>0</xdr:col>
      <xdr:colOff>1925479</xdr:colOff>
      <xdr:row>1964</xdr:row>
      <xdr:rowOff>754102</xdr:rowOff>
    </xdr:to>
    <xdr:pic>
      <xdr:nvPicPr>
        <xdr:cNvPr id="3929" name="Picture 3928" descr="Insight Picture 3928">
          <a:extLst>
            <a:ext uri="{FF2B5EF4-FFF2-40B4-BE49-F238E27FC236}">
              <a16:creationId xmlns:a16="http://schemas.microsoft.com/office/drawing/2014/main" id="{DEAFEE01-DC62-D28A-A984-3E56CC759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4"/>
        <a:stretch>
          <a:fillRect/>
        </a:stretch>
      </xdr:blipFill>
      <xdr:spPr>
        <a:xfrm>
          <a:off x="711041" y="1782622998"/>
          <a:ext cx="1214438" cy="692944"/>
        </a:xfrm>
        <a:prstGeom prst="rect">
          <a:avLst/>
        </a:prstGeom>
      </xdr:spPr>
    </xdr:pic>
    <xdr:clientData/>
  </xdr:twoCellAnchor>
  <xdr:twoCellAnchor editAs="oneCell">
    <xdr:from>
      <xdr:col>0</xdr:col>
      <xdr:colOff>861060</xdr:colOff>
      <xdr:row>1965</xdr:row>
      <xdr:rowOff>63579</xdr:rowOff>
    </xdr:from>
    <xdr:to>
      <xdr:col>0</xdr:col>
      <xdr:colOff>1775460</xdr:colOff>
      <xdr:row>1965</xdr:row>
      <xdr:rowOff>1285160</xdr:rowOff>
    </xdr:to>
    <xdr:pic>
      <xdr:nvPicPr>
        <xdr:cNvPr id="3931" name="Picture 3930" descr="Insight Picture 3930">
          <a:extLst>
            <a:ext uri="{FF2B5EF4-FFF2-40B4-BE49-F238E27FC236}">
              <a16:creationId xmlns:a16="http://schemas.microsoft.com/office/drawing/2014/main" id="{1BD6DC52-6519-359E-38D7-663F36D2C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5"/>
        <a:stretch>
          <a:fillRect/>
        </a:stretch>
      </xdr:blipFill>
      <xdr:spPr>
        <a:xfrm>
          <a:off x="861060" y="1783440759"/>
          <a:ext cx="914400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786050</xdr:colOff>
      <xdr:row>1966</xdr:row>
      <xdr:rowOff>61833</xdr:rowOff>
    </xdr:from>
    <xdr:to>
      <xdr:col>0</xdr:col>
      <xdr:colOff>1850469</xdr:colOff>
      <xdr:row>1966</xdr:row>
      <xdr:rowOff>890508</xdr:rowOff>
    </xdr:to>
    <xdr:pic>
      <xdr:nvPicPr>
        <xdr:cNvPr id="3933" name="Picture 3932" descr="Insight Picture 3932">
          <a:extLst>
            <a:ext uri="{FF2B5EF4-FFF2-40B4-BE49-F238E27FC236}">
              <a16:creationId xmlns:a16="http://schemas.microsoft.com/office/drawing/2014/main" id="{D0FAC7D1-FF45-0569-F4F2-E4ACF8ECF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6"/>
        <a:stretch>
          <a:fillRect/>
        </a:stretch>
      </xdr:blipFill>
      <xdr:spPr>
        <a:xfrm>
          <a:off x="786050" y="1784787753"/>
          <a:ext cx="1064419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757475</xdr:colOff>
      <xdr:row>1967</xdr:row>
      <xdr:rowOff>61833</xdr:rowOff>
    </xdr:from>
    <xdr:to>
      <xdr:col>0</xdr:col>
      <xdr:colOff>1879044</xdr:colOff>
      <xdr:row>1967</xdr:row>
      <xdr:rowOff>890508</xdr:rowOff>
    </xdr:to>
    <xdr:pic>
      <xdr:nvPicPr>
        <xdr:cNvPr id="3935" name="Picture 3934" descr="Insight Picture 3934">
          <a:extLst>
            <a:ext uri="{FF2B5EF4-FFF2-40B4-BE49-F238E27FC236}">
              <a16:creationId xmlns:a16="http://schemas.microsoft.com/office/drawing/2014/main" id="{F468C1E7-88BA-B0D6-B95C-3C94C5CE4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7"/>
        <a:stretch>
          <a:fillRect/>
        </a:stretch>
      </xdr:blipFill>
      <xdr:spPr>
        <a:xfrm>
          <a:off x="757475" y="1785740253"/>
          <a:ext cx="1121569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925353</xdr:colOff>
      <xdr:row>1968</xdr:row>
      <xdr:rowOff>60643</xdr:rowOff>
    </xdr:from>
    <xdr:to>
      <xdr:col>0</xdr:col>
      <xdr:colOff>1711166</xdr:colOff>
      <xdr:row>1968</xdr:row>
      <xdr:rowOff>967899</xdr:rowOff>
    </xdr:to>
    <xdr:pic>
      <xdr:nvPicPr>
        <xdr:cNvPr id="3937" name="Picture 3936" descr="Insight Picture 3936">
          <a:extLst>
            <a:ext uri="{FF2B5EF4-FFF2-40B4-BE49-F238E27FC236}">
              <a16:creationId xmlns:a16="http://schemas.microsoft.com/office/drawing/2014/main" id="{001C5423-B70A-CD70-2AA7-7C5A5A870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8"/>
        <a:stretch>
          <a:fillRect/>
        </a:stretch>
      </xdr:blipFill>
      <xdr:spPr>
        <a:xfrm>
          <a:off x="925353" y="1786691563"/>
          <a:ext cx="785813" cy="907256"/>
        </a:xfrm>
        <a:prstGeom prst="rect">
          <a:avLst/>
        </a:prstGeom>
      </xdr:spPr>
    </xdr:pic>
    <xdr:clientData/>
  </xdr:twoCellAnchor>
  <xdr:twoCellAnchor editAs="oneCell">
    <xdr:from>
      <xdr:col>0</xdr:col>
      <xdr:colOff>761047</xdr:colOff>
      <xdr:row>1969</xdr:row>
      <xdr:rowOff>60643</xdr:rowOff>
    </xdr:from>
    <xdr:to>
      <xdr:col>0</xdr:col>
      <xdr:colOff>1875472</xdr:colOff>
      <xdr:row>1969</xdr:row>
      <xdr:rowOff>967899</xdr:rowOff>
    </xdr:to>
    <xdr:pic>
      <xdr:nvPicPr>
        <xdr:cNvPr id="3939" name="Picture 3938" descr="Insight Picture 3938">
          <a:extLst>
            <a:ext uri="{FF2B5EF4-FFF2-40B4-BE49-F238E27FC236}">
              <a16:creationId xmlns:a16="http://schemas.microsoft.com/office/drawing/2014/main" id="{437D0272-B50F-E531-0BC2-07F8D712B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9"/>
        <a:stretch>
          <a:fillRect/>
        </a:stretch>
      </xdr:blipFill>
      <xdr:spPr>
        <a:xfrm>
          <a:off x="761047" y="1787720263"/>
          <a:ext cx="1114425" cy="907256"/>
        </a:xfrm>
        <a:prstGeom prst="rect">
          <a:avLst/>
        </a:prstGeom>
      </xdr:spPr>
    </xdr:pic>
    <xdr:clientData/>
  </xdr:twoCellAnchor>
  <xdr:twoCellAnchor editAs="oneCell">
    <xdr:from>
      <xdr:col>0</xdr:col>
      <xdr:colOff>864632</xdr:colOff>
      <xdr:row>1970</xdr:row>
      <xdr:rowOff>63619</xdr:rowOff>
    </xdr:from>
    <xdr:to>
      <xdr:col>0</xdr:col>
      <xdr:colOff>1771888</xdr:colOff>
      <xdr:row>1970</xdr:row>
      <xdr:rowOff>1285200</xdr:rowOff>
    </xdr:to>
    <xdr:pic>
      <xdr:nvPicPr>
        <xdr:cNvPr id="3941" name="Picture 3940" descr="Insight Picture 3940">
          <a:extLst>
            <a:ext uri="{FF2B5EF4-FFF2-40B4-BE49-F238E27FC236}">
              <a16:creationId xmlns:a16="http://schemas.microsoft.com/office/drawing/2014/main" id="{6C699543-C5C8-4683-D380-E207FBA96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0"/>
        <a:stretch>
          <a:fillRect/>
        </a:stretch>
      </xdr:blipFill>
      <xdr:spPr>
        <a:xfrm>
          <a:off x="864632" y="1788751939"/>
          <a:ext cx="907256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889635</xdr:colOff>
      <xdr:row>1971</xdr:row>
      <xdr:rowOff>63659</xdr:rowOff>
    </xdr:from>
    <xdr:to>
      <xdr:col>0</xdr:col>
      <xdr:colOff>1746885</xdr:colOff>
      <xdr:row>1971</xdr:row>
      <xdr:rowOff>1285240</xdr:rowOff>
    </xdr:to>
    <xdr:pic>
      <xdr:nvPicPr>
        <xdr:cNvPr id="3943" name="Picture 3942" descr="Insight Picture 3942">
          <a:extLst>
            <a:ext uri="{FF2B5EF4-FFF2-40B4-BE49-F238E27FC236}">
              <a16:creationId xmlns:a16="http://schemas.microsoft.com/office/drawing/2014/main" id="{7CA34230-F434-C8C3-1B94-C5D5174DD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1"/>
        <a:stretch>
          <a:fillRect/>
        </a:stretch>
      </xdr:blipFill>
      <xdr:spPr>
        <a:xfrm>
          <a:off x="889635" y="1790100719"/>
          <a:ext cx="857250" cy="1221581"/>
        </a:xfrm>
        <a:prstGeom prst="rect">
          <a:avLst/>
        </a:prstGeom>
      </xdr:spPr>
    </xdr:pic>
    <xdr:clientData/>
  </xdr:twoCellAnchor>
  <xdr:twoCellAnchor editAs="oneCell">
    <xdr:from>
      <xdr:col>0</xdr:col>
      <xdr:colOff>782478</xdr:colOff>
      <xdr:row>1972</xdr:row>
      <xdr:rowOff>60325</xdr:rowOff>
    </xdr:from>
    <xdr:to>
      <xdr:col>0</xdr:col>
      <xdr:colOff>1854041</xdr:colOff>
      <xdr:row>1972</xdr:row>
      <xdr:rowOff>838994</xdr:rowOff>
    </xdr:to>
    <xdr:pic>
      <xdr:nvPicPr>
        <xdr:cNvPr id="3945" name="Picture 3944" descr="Insight Picture 3944">
          <a:extLst>
            <a:ext uri="{FF2B5EF4-FFF2-40B4-BE49-F238E27FC236}">
              <a16:creationId xmlns:a16="http://schemas.microsoft.com/office/drawing/2014/main" id="{A02DEB80-600C-86DA-5CB2-C40310A3A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2"/>
        <a:stretch>
          <a:fillRect/>
        </a:stretch>
      </xdr:blipFill>
      <xdr:spPr>
        <a:xfrm>
          <a:off x="782478" y="1791446125"/>
          <a:ext cx="1071563" cy="778669"/>
        </a:xfrm>
        <a:prstGeom prst="rect">
          <a:avLst/>
        </a:prstGeom>
      </xdr:spPr>
    </xdr:pic>
    <xdr:clientData/>
  </xdr:twoCellAnchor>
  <xdr:twoCellAnchor editAs="oneCell">
    <xdr:from>
      <xdr:col>0</xdr:col>
      <xdr:colOff>753903</xdr:colOff>
      <xdr:row>1973</xdr:row>
      <xdr:rowOff>61873</xdr:rowOff>
    </xdr:from>
    <xdr:to>
      <xdr:col>0</xdr:col>
      <xdr:colOff>1882616</xdr:colOff>
      <xdr:row>1973</xdr:row>
      <xdr:rowOff>890548</xdr:rowOff>
    </xdr:to>
    <xdr:pic>
      <xdr:nvPicPr>
        <xdr:cNvPr id="3947" name="Picture 3946" descr="Insight Picture 3946">
          <a:extLst>
            <a:ext uri="{FF2B5EF4-FFF2-40B4-BE49-F238E27FC236}">
              <a16:creationId xmlns:a16="http://schemas.microsoft.com/office/drawing/2014/main" id="{BD8BA245-BDD6-2F91-25DF-313BE7EBC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3"/>
        <a:stretch>
          <a:fillRect/>
        </a:stretch>
      </xdr:blipFill>
      <xdr:spPr>
        <a:xfrm>
          <a:off x="753903" y="1792346833"/>
          <a:ext cx="1128713" cy="828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80B2A-BA54-4E14-ACFB-F6F23E813B68}">
  <dimension ref="A1:I1974"/>
  <sheetViews>
    <sheetView tabSelected="1" workbookViewId="0"/>
  </sheetViews>
  <sheetFormatPr defaultRowHeight="18"/>
  <cols>
    <col min="1" max="1" width="34.59765625" customWidth="1"/>
    <col min="2" max="2" width="13.09765625" bestFit="1" customWidth="1"/>
    <col min="4" max="4" width="19.19921875" bestFit="1" customWidth="1"/>
    <col min="5" max="5" width="21.3984375" bestFit="1" customWidth="1"/>
  </cols>
  <sheetData>
    <row r="1" spans="1:9">
      <c r="A1" t="s">
        <v>0</v>
      </c>
      <c r="B1" t="s">
        <v>1</v>
      </c>
      <c r="C1" t="s">
        <v>2</v>
      </c>
      <c r="D1" t="s">
        <v>4900</v>
      </c>
      <c r="E1" t="s">
        <v>4901</v>
      </c>
      <c r="F1" t="s">
        <v>4</v>
      </c>
      <c r="G1" t="s">
        <v>6</v>
      </c>
      <c r="H1" t="s">
        <v>7</v>
      </c>
      <c r="I1" t="s">
        <v>8</v>
      </c>
    </row>
    <row r="2" spans="1:9" ht="75.75" customHeight="1">
      <c r="A2" s="1" t="str">
        <f>"Chemistry 50"</f>
        <v>Chemistry 50</v>
      </c>
      <c r="B2" t="s">
        <v>20</v>
      </c>
      <c r="C2" t="s">
        <v>3</v>
      </c>
      <c r="D2" s="2">
        <v>7900</v>
      </c>
      <c r="E2" s="2">
        <v>5530</v>
      </c>
      <c r="F2" t="s">
        <v>5</v>
      </c>
      <c r="G2" t="s">
        <v>21</v>
      </c>
      <c r="H2" t="s">
        <v>22</v>
      </c>
      <c r="I2">
        <v>241.21567999999999</v>
      </c>
    </row>
    <row r="3" spans="1:9" ht="92.1" customHeight="1">
      <c r="A3" s="1" t="str">
        <f>"Chemistry 77"</f>
        <v>Chemistry 77</v>
      </c>
      <c r="B3" t="s">
        <v>29</v>
      </c>
      <c r="C3" t="s">
        <v>3</v>
      </c>
      <c r="D3" s="2">
        <v>8800</v>
      </c>
      <c r="E3" s="2">
        <v>6160</v>
      </c>
      <c r="F3" t="s">
        <v>5</v>
      </c>
      <c r="G3" t="s">
        <v>30</v>
      </c>
      <c r="H3" t="s">
        <v>14</v>
      </c>
      <c r="I3">
        <v>339.36198000000002</v>
      </c>
    </row>
    <row r="4" spans="1:9" ht="87" customHeight="1">
      <c r="A4" s="1" t="str">
        <f>"Chemistry 90"</f>
        <v>Chemistry 90</v>
      </c>
      <c r="B4" t="s">
        <v>34</v>
      </c>
      <c r="C4" t="s">
        <v>3</v>
      </c>
      <c r="D4" s="2">
        <v>7900</v>
      </c>
      <c r="E4" s="2">
        <v>5530</v>
      </c>
      <c r="F4" t="s">
        <v>5</v>
      </c>
      <c r="G4" t="s">
        <v>35</v>
      </c>
      <c r="H4" t="s">
        <v>18</v>
      </c>
      <c r="I4">
        <v>215.17840000000001</v>
      </c>
    </row>
    <row r="5" spans="1:9" ht="85.35" customHeight="1">
      <c r="A5" s="1" t="str">
        <f>"Chemistry 98"</f>
        <v>Chemistry 98</v>
      </c>
      <c r="B5" t="s">
        <v>40</v>
      </c>
      <c r="C5" t="s">
        <v>3</v>
      </c>
      <c r="D5" s="2">
        <v>7900</v>
      </c>
      <c r="E5" s="2">
        <v>5530</v>
      </c>
      <c r="F5" t="s">
        <v>5</v>
      </c>
      <c r="G5" t="s">
        <v>41</v>
      </c>
      <c r="H5" t="s">
        <v>15</v>
      </c>
      <c r="I5">
        <v>325.33539999999999</v>
      </c>
    </row>
    <row r="6" spans="1:9" ht="92.1" customHeight="1">
      <c r="A6" s="1" t="str">
        <f>"Chemistry 102"</f>
        <v>Chemistry 102</v>
      </c>
      <c r="B6" t="s">
        <v>42</v>
      </c>
      <c r="C6" t="s">
        <v>3</v>
      </c>
      <c r="D6" s="2">
        <v>8800</v>
      </c>
      <c r="E6" s="2">
        <v>6160</v>
      </c>
      <c r="F6" t="s">
        <v>5</v>
      </c>
      <c r="G6" t="s">
        <v>43</v>
      </c>
      <c r="H6" t="s">
        <v>24</v>
      </c>
      <c r="I6">
        <v>326.32015999999999</v>
      </c>
    </row>
    <row r="7" spans="1:9" ht="75.3" customHeight="1">
      <c r="A7" s="1" t="str">
        <f>"Chemistry 104"</f>
        <v>Chemistry 104</v>
      </c>
      <c r="B7" t="s">
        <v>44</v>
      </c>
      <c r="C7" t="s">
        <v>3</v>
      </c>
      <c r="D7" s="2">
        <v>7900</v>
      </c>
      <c r="E7" s="2">
        <v>5530</v>
      </c>
      <c r="F7" t="s">
        <v>5</v>
      </c>
      <c r="G7" t="s">
        <v>45</v>
      </c>
      <c r="H7" t="s">
        <v>46</v>
      </c>
      <c r="I7">
        <v>268.28408000000002</v>
      </c>
    </row>
    <row r="8" spans="1:9" ht="92.1" customHeight="1">
      <c r="A8" s="1" t="str">
        <f>"Chemistry 105"</f>
        <v>Chemistry 105</v>
      </c>
      <c r="B8" t="s">
        <v>47</v>
      </c>
      <c r="C8" t="s">
        <v>3</v>
      </c>
      <c r="D8" s="2">
        <v>8800</v>
      </c>
      <c r="E8" s="2">
        <v>6160</v>
      </c>
      <c r="F8" t="s">
        <v>5</v>
      </c>
      <c r="G8" t="s">
        <v>48</v>
      </c>
      <c r="H8" t="s">
        <v>49</v>
      </c>
      <c r="I8">
        <v>308.32969000000003</v>
      </c>
    </row>
    <row r="9" spans="1:9" ht="92.1" customHeight="1">
      <c r="A9" s="1" t="str">
        <f>"Chemistry 106"</f>
        <v>Chemistry 106</v>
      </c>
      <c r="B9" t="s">
        <v>50</v>
      </c>
      <c r="C9" t="s">
        <v>3</v>
      </c>
      <c r="D9" s="2">
        <v>8800</v>
      </c>
      <c r="E9" s="2">
        <v>6160</v>
      </c>
      <c r="F9" t="s">
        <v>5</v>
      </c>
      <c r="G9" t="s">
        <v>51</v>
      </c>
      <c r="H9" t="s">
        <v>49</v>
      </c>
      <c r="I9">
        <v>308.32969000000003</v>
      </c>
    </row>
    <row r="10" spans="1:9" ht="61.8" customHeight="1">
      <c r="A10" s="1" t="str">
        <f>"Chemistry 111"</f>
        <v>Chemistry 111</v>
      </c>
      <c r="B10" t="s">
        <v>52</v>
      </c>
      <c r="C10" t="s">
        <v>3</v>
      </c>
      <c r="D10" s="2">
        <v>9700</v>
      </c>
      <c r="E10" s="2">
        <v>6790</v>
      </c>
      <c r="F10" t="s">
        <v>5</v>
      </c>
      <c r="G10" t="s">
        <v>53</v>
      </c>
      <c r="H10" t="s">
        <v>54</v>
      </c>
      <c r="I10">
        <v>209.26324</v>
      </c>
    </row>
    <row r="11" spans="1:9" ht="65.099999999999994" customHeight="1">
      <c r="A11" s="1" t="str">
        <f>"Chemistry 114"</f>
        <v>Chemistry 114</v>
      </c>
      <c r="B11" t="s">
        <v>55</v>
      </c>
      <c r="C11" t="s">
        <v>3</v>
      </c>
      <c r="D11" s="2">
        <v>11400</v>
      </c>
      <c r="E11" s="2">
        <v>7979.9999999999991</v>
      </c>
      <c r="F11" t="s">
        <v>5</v>
      </c>
      <c r="G11" t="s">
        <v>56</v>
      </c>
      <c r="H11" t="s">
        <v>57</v>
      </c>
      <c r="I11">
        <v>295.35248000000001</v>
      </c>
    </row>
    <row r="12" spans="1:9" ht="71.25" customHeight="1">
      <c r="A12" s="1" t="str">
        <f>"Chemistry 125"</f>
        <v>Chemistry 125</v>
      </c>
      <c r="B12" t="s">
        <v>59</v>
      </c>
      <c r="C12" t="s">
        <v>3</v>
      </c>
      <c r="D12" s="2">
        <v>11400</v>
      </c>
      <c r="E12" s="2">
        <v>7979.9999999999991</v>
      </c>
      <c r="F12" t="s">
        <v>5</v>
      </c>
      <c r="G12" t="s">
        <v>60</v>
      </c>
      <c r="H12" t="s">
        <v>33</v>
      </c>
      <c r="I12">
        <v>309.37905999999998</v>
      </c>
    </row>
    <row r="13" spans="1:9" ht="61.8" customHeight="1">
      <c r="A13" s="1" t="str">
        <f>"Chemistry 126"</f>
        <v>Chemistry 126</v>
      </c>
      <c r="B13" t="s">
        <v>61</v>
      </c>
      <c r="C13" t="s">
        <v>3</v>
      </c>
      <c r="D13" s="2">
        <v>8800</v>
      </c>
      <c r="E13" s="2">
        <v>6160</v>
      </c>
      <c r="F13" t="s">
        <v>5</v>
      </c>
      <c r="G13" t="s">
        <v>62</v>
      </c>
      <c r="H13" t="s">
        <v>63</v>
      </c>
      <c r="I13">
        <v>196.22141999999999</v>
      </c>
    </row>
    <row r="14" spans="1:9" ht="71.25" customHeight="1">
      <c r="A14" s="1" t="str">
        <f>"Chemistry 131"</f>
        <v>Chemistry 131</v>
      </c>
      <c r="B14" t="s">
        <v>65</v>
      </c>
      <c r="C14" t="s">
        <v>3</v>
      </c>
      <c r="D14" s="2">
        <v>7900</v>
      </c>
      <c r="E14" s="2">
        <v>5530</v>
      </c>
      <c r="F14" t="s">
        <v>5</v>
      </c>
      <c r="G14" t="s">
        <v>66</v>
      </c>
      <c r="H14" t="s">
        <v>67</v>
      </c>
      <c r="I14">
        <v>209.25994</v>
      </c>
    </row>
    <row r="15" spans="1:9" ht="67.95" customHeight="1">
      <c r="A15" s="1" t="str">
        <f>"Chemistry 133"</f>
        <v>Chemistry 133</v>
      </c>
      <c r="B15" t="s">
        <v>68</v>
      </c>
      <c r="C15" t="s">
        <v>3</v>
      </c>
      <c r="D15" s="2">
        <v>7900</v>
      </c>
      <c r="E15" s="2">
        <v>5530</v>
      </c>
      <c r="F15" t="s">
        <v>5</v>
      </c>
      <c r="G15" t="s">
        <v>69</v>
      </c>
      <c r="H15" t="s">
        <v>70</v>
      </c>
      <c r="I15">
        <v>195.23336</v>
      </c>
    </row>
    <row r="16" spans="1:9" ht="67.95" customHeight="1">
      <c r="A16" s="1" t="str">
        <f>"Chemistry 134"</f>
        <v>Chemistry 134</v>
      </c>
      <c r="B16" t="s">
        <v>71</v>
      </c>
      <c r="C16" t="s">
        <v>3</v>
      </c>
      <c r="D16" s="2">
        <v>7900</v>
      </c>
      <c r="E16" s="2">
        <v>5530</v>
      </c>
      <c r="F16" t="s">
        <v>5</v>
      </c>
      <c r="G16" t="s">
        <v>72</v>
      </c>
      <c r="H16" t="s">
        <v>73</v>
      </c>
      <c r="I16">
        <v>185.19548</v>
      </c>
    </row>
    <row r="17" spans="1:9" ht="84.75" customHeight="1">
      <c r="A17" s="1" t="str">
        <f>"Chemistry 138"</f>
        <v>Chemistry 138</v>
      </c>
      <c r="B17" t="s">
        <v>74</v>
      </c>
      <c r="C17" t="s">
        <v>3</v>
      </c>
      <c r="D17" s="2">
        <v>8800</v>
      </c>
      <c r="E17" s="2">
        <v>6160</v>
      </c>
      <c r="F17" t="s">
        <v>5</v>
      </c>
      <c r="G17" t="s">
        <v>75</v>
      </c>
      <c r="H17" t="s">
        <v>15</v>
      </c>
      <c r="I17">
        <v>325.33539999999999</v>
      </c>
    </row>
    <row r="18" spans="1:9" ht="101.7" customHeight="1">
      <c r="A18" s="1" t="str">
        <f>"Chemistry 139"</f>
        <v>Chemistry 139</v>
      </c>
      <c r="B18" t="s">
        <v>76</v>
      </c>
      <c r="C18" t="s">
        <v>3</v>
      </c>
      <c r="D18" s="2">
        <v>8800</v>
      </c>
      <c r="E18" s="2">
        <v>6160</v>
      </c>
      <c r="F18" t="s">
        <v>5</v>
      </c>
      <c r="G18" t="s">
        <v>77</v>
      </c>
      <c r="H18" t="s">
        <v>24</v>
      </c>
      <c r="I18">
        <v>326.32015999999999</v>
      </c>
    </row>
    <row r="19" spans="1:9" ht="101.7" customHeight="1">
      <c r="A19" s="1" t="str">
        <f>"Chemistry 140"</f>
        <v>Chemistry 140</v>
      </c>
      <c r="B19" t="s">
        <v>78</v>
      </c>
      <c r="C19" t="s">
        <v>3</v>
      </c>
      <c r="D19" s="2">
        <v>8800</v>
      </c>
      <c r="E19" s="2">
        <v>6160</v>
      </c>
      <c r="F19" t="s">
        <v>5</v>
      </c>
      <c r="G19" t="s">
        <v>79</v>
      </c>
      <c r="H19" t="s">
        <v>24</v>
      </c>
      <c r="I19">
        <v>326.32015999999999</v>
      </c>
    </row>
    <row r="20" spans="1:9" ht="87.6" customHeight="1">
      <c r="A20" s="1" t="str">
        <f>"Chemistry 149"</f>
        <v>Chemistry 149</v>
      </c>
      <c r="B20" t="s">
        <v>80</v>
      </c>
      <c r="C20" t="s">
        <v>3</v>
      </c>
      <c r="D20" s="2">
        <v>8800</v>
      </c>
      <c r="E20" s="2">
        <v>6160</v>
      </c>
      <c r="F20" t="s">
        <v>5</v>
      </c>
      <c r="G20" t="s">
        <v>81</v>
      </c>
      <c r="H20" t="s">
        <v>28</v>
      </c>
      <c r="I20">
        <v>340.34674000000001</v>
      </c>
    </row>
    <row r="21" spans="1:9" ht="92.1" customHeight="1">
      <c r="A21" s="1" t="str">
        <f>"Chemistry 150"</f>
        <v>Chemistry 150</v>
      </c>
      <c r="B21" t="s">
        <v>82</v>
      </c>
      <c r="C21" t="s">
        <v>3</v>
      </c>
      <c r="D21" s="2">
        <v>8800</v>
      </c>
      <c r="E21" s="2">
        <v>6160</v>
      </c>
      <c r="F21" t="s">
        <v>5</v>
      </c>
      <c r="G21" t="s">
        <v>83</v>
      </c>
      <c r="H21" t="s">
        <v>24</v>
      </c>
      <c r="I21">
        <v>326.32015999999999</v>
      </c>
    </row>
    <row r="22" spans="1:9" ht="92.1" customHeight="1">
      <c r="A22" s="1" t="str">
        <f>"Chemistry 151"</f>
        <v>Chemistry 151</v>
      </c>
      <c r="B22" t="s">
        <v>84</v>
      </c>
      <c r="C22" t="s">
        <v>3</v>
      </c>
      <c r="D22" s="2">
        <v>8800</v>
      </c>
      <c r="E22" s="2">
        <v>6160</v>
      </c>
      <c r="F22" t="s">
        <v>5</v>
      </c>
      <c r="G22" t="s">
        <v>85</v>
      </c>
      <c r="H22" t="s">
        <v>24</v>
      </c>
      <c r="I22">
        <v>326.32015999999999</v>
      </c>
    </row>
    <row r="23" spans="1:9" ht="92.1" customHeight="1">
      <c r="A23" s="1" t="str">
        <f>"Chemistry 152"</f>
        <v>Chemistry 152</v>
      </c>
      <c r="B23" t="s">
        <v>86</v>
      </c>
      <c r="C23" t="s">
        <v>3</v>
      </c>
      <c r="D23" s="2">
        <v>8800</v>
      </c>
      <c r="E23" s="2">
        <v>6160</v>
      </c>
      <c r="F23" t="s">
        <v>5</v>
      </c>
      <c r="G23" t="s">
        <v>87</v>
      </c>
      <c r="H23" t="s">
        <v>46</v>
      </c>
      <c r="I23">
        <v>268.28408000000002</v>
      </c>
    </row>
    <row r="24" spans="1:9" ht="88.2" customHeight="1">
      <c r="A24" s="1" t="str">
        <f>"Chemistry 153"</f>
        <v>Chemistry 153</v>
      </c>
      <c r="B24" t="s">
        <v>88</v>
      </c>
      <c r="C24" t="s">
        <v>3</v>
      </c>
      <c r="D24" s="2">
        <v>7900</v>
      </c>
      <c r="E24" s="2">
        <v>5530</v>
      </c>
      <c r="F24" t="s">
        <v>5</v>
      </c>
      <c r="G24" t="s">
        <v>89</v>
      </c>
      <c r="H24" t="s">
        <v>23</v>
      </c>
      <c r="I24">
        <v>199.179</v>
      </c>
    </row>
    <row r="25" spans="1:9" ht="87" customHeight="1">
      <c r="A25" s="1" t="str">
        <f>"Chemistry 156"</f>
        <v>Chemistry 156</v>
      </c>
      <c r="B25" t="s">
        <v>90</v>
      </c>
      <c r="C25" t="s">
        <v>3</v>
      </c>
      <c r="D25" s="2">
        <v>7900</v>
      </c>
      <c r="E25" s="2">
        <v>5530</v>
      </c>
      <c r="F25" t="s">
        <v>5</v>
      </c>
      <c r="G25" t="s">
        <v>91</v>
      </c>
      <c r="H25" t="s">
        <v>25</v>
      </c>
      <c r="I25">
        <v>227.23215999999999</v>
      </c>
    </row>
    <row r="26" spans="1:9" ht="87" customHeight="1">
      <c r="A26" s="1" t="str">
        <f>"Chemistry 157"</f>
        <v>Chemistry 157</v>
      </c>
      <c r="B26" t="s">
        <v>92</v>
      </c>
      <c r="C26" t="s">
        <v>3</v>
      </c>
      <c r="D26" s="2">
        <v>7900</v>
      </c>
      <c r="E26" s="2">
        <v>5530</v>
      </c>
      <c r="F26" t="s">
        <v>5</v>
      </c>
      <c r="G26" t="s">
        <v>93</v>
      </c>
      <c r="H26" t="s">
        <v>22</v>
      </c>
      <c r="I26">
        <v>241.21567999999999</v>
      </c>
    </row>
    <row r="27" spans="1:9" ht="71.849999999999994" customHeight="1">
      <c r="A27" s="1" t="str">
        <f>"Chemistry 158"</f>
        <v>Chemistry 158</v>
      </c>
      <c r="B27" t="s">
        <v>94</v>
      </c>
      <c r="C27" t="s">
        <v>3</v>
      </c>
      <c r="D27" s="2">
        <v>10500</v>
      </c>
      <c r="E27" s="2">
        <v>7349.9999999999991</v>
      </c>
      <c r="F27" t="s">
        <v>5</v>
      </c>
      <c r="G27" t="s">
        <v>95</v>
      </c>
      <c r="H27" t="s">
        <v>58</v>
      </c>
      <c r="I27">
        <v>292.37666000000002</v>
      </c>
    </row>
    <row r="28" spans="1:9" ht="77.55" customHeight="1">
      <c r="A28" s="1" t="str">
        <f>"Chemistry 159"</f>
        <v>Chemistry 159</v>
      </c>
      <c r="B28" t="s">
        <v>96</v>
      </c>
      <c r="C28" t="s">
        <v>3</v>
      </c>
      <c r="D28" s="2">
        <v>11400</v>
      </c>
      <c r="E28" s="2">
        <v>7979.9999999999991</v>
      </c>
      <c r="F28" t="s">
        <v>5</v>
      </c>
      <c r="G28" t="s">
        <v>97</v>
      </c>
      <c r="H28" t="s">
        <v>98</v>
      </c>
      <c r="I28">
        <v>278.35007999999999</v>
      </c>
    </row>
    <row r="29" spans="1:9" ht="71.25" customHeight="1">
      <c r="A29" s="1" t="str">
        <f>"Chemistry 166"</f>
        <v>Chemistry 166</v>
      </c>
      <c r="B29" t="s">
        <v>102</v>
      </c>
      <c r="C29" t="s">
        <v>3</v>
      </c>
      <c r="D29" s="2">
        <v>9700</v>
      </c>
      <c r="E29" s="2">
        <v>6790</v>
      </c>
      <c r="F29" t="s">
        <v>5</v>
      </c>
      <c r="G29" t="s">
        <v>103</v>
      </c>
      <c r="H29" t="s">
        <v>104</v>
      </c>
      <c r="I29">
        <v>224.27457999999999</v>
      </c>
    </row>
    <row r="30" spans="1:9" ht="78.599999999999994" customHeight="1">
      <c r="A30" s="1" t="str">
        <f>"Chemistry 167"</f>
        <v>Chemistry 167</v>
      </c>
      <c r="B30" t="s">
        <v>105</v>
      </c>
      <c r="C30" t="s">
        <v>3</v>
      </c>
      <c r="D30" s="2">
        <v>8800</v>
      </c>
      <c r="E30" s="2">
        <v>6160</v>
      </c>
      <c r="F30" t="s">
        <v>5</v>
      </c>
      <c r="G30" t="s">
        <v>106</v>
      </c>
      <c r="H30" t="s">
        <v>64</v>
      </c>
      <c r="I30">
        <v>194.24860000000001</v>
      </c>
    </row>
    <row r="31" spans="1:9" ht="71.849999999999994" customHeight="1">
      <c r="A31" s="1" t="str">
        <f>"Chemistry 171"</f>
        <v>Chemistry 171</v>
      </c>
      <c r="B31" t="s">
        <v>107</v>
      </c>
      <c r="C31" t="s">
        <v>3</v>
      </c>
      <c r="D31" s="2">
        <v>11400</v>
      </c>
      <c r="E31" s="2">
        <v>7979.9999999999991</v>
      </c>
      <c r="F31" t="s">
        <v>5</v>
      </c>
      <c r="G31" t="s">
        <v>108</v>
      </c>
      <c r="H31" t="s">
        <v>33</v>
      </c>
      <c r="I31">
        <v>309.37905999999998</v>
      </c>
    </row>
    <row r="32" spans="1:9" ht="77.55" customHeight="1">
      <c r="A32" s="1" t="str">
        <f>"Chemistry 177"</f>
        <v>Chemistry 177</v>
      </c>
      <c r="B32" t="s">
        <v>109</v>
      </c>
      <c r="C32" t="s">
        <v>3</v>
      </c>
      <c r="D32" s="2">
        <v>11400</v>
      </c>
      <c r="E32" s="2">
        <v>7979.9999999999991</v>
      </c>
      <c r="F32" t="s">
        <v>5</v>
      </c>
      <c r="G32" t="s">
        <v>110</v>
      </c>
      <c r="H32" t="s">
        <v>98</v>
      </c>
      <c r="I32">
        <v>278.35007999999999</v>
      </c>
    </row>
    <row r="33" spans="1:9" ht="77.55" customHeight="1">
      <c r="A33" s="1" t="str">
        <f>"Chemistry 178"</f>
        <v>Chemistry 178</v>
      </c>
      <c r="B33" t="s">
        <v>111</v>
      </c>
      <c r="C33" t="s">
        <v>3</v>
      </c>
      <c r="D33" s="2">
        <v>11400</v>
      </c>
      <c r="E33" s="2">
        <v>7979.9999999999991</v>
      </c>
      <c r="F33" t="s">
        <v>5</v>
      </c>
      <c r="G33" t="s">
        <v>112</v>
      </c>
      <c r="H33" t="s">
        <v>113</v>
      </c>
      <c r="I33">
        <v>306.40323999999998</v>
      </c>
    </row>
    <row r="34" spans="1:9" ht="67.95" customHeight="1">
      <c r="A34" s="1" t="str">
        <f>"Chemistry 192"</f>
        <v>Chemistry 192</v>
      </c>
      <c r="B34" t="s">
        <v>116</v>
      </c>
      <c r="C34" t="s">
        <v>3</v>
      </c>
      <c r="D34" s="2">
        <v>7900</v>
      </c>
      <c r="E34" s="2">
        <v>5530</v>
      </c>
      <c r="F34" t="s">
        <v>5</v>
      </c>
      <c r="G34" t="s">
        <v>117</v>
      </c>
      <c r="H34" t="s">
        <v>118</v>
      </c>
      <c r="I34">
        <v>183.22265999999999</v>
      </c>
    </row>
    <row r="35" spans="1:9" ht="67.95" customHeight="1">
      <c r="A35" s="1" t="str">
        <f>"Chemistry 194"</f>
        <v>Chemistry 194</v>
      </c>
      <c r="B35" t="s">
        <v>119</v>
      </c>
      <c r="C35" t="s">
        <v>3</v>
      </c>
      <c r="D35" s="2">
        <v>9700</v>
      </c>
      <c r="E35" s="2">
        <v>6790</v>
      </c>
      <c r="F35" t="s">
        <v>5</v>
      </c>
      <c r="G35" t="s">
        <v>120</v>
      </c>
      <c r="H35" t="s">
        <v>121</v>
      </c>
      <c r="I35">
        <v>211.23276000000001</v>
      </c>
    </row>
    <row r="36" spans="1:9" ht="55.5" customHeight="1">
      <c r="A36" s="1" t="str">
        <f>"Chemistry 195"</f>
        <v>Chemistry 195</v>
      </c>
      <c r="B36" t="s">
        <v>122</v>
      </c>
      <c r="C36" t="s">
        <v>3</v>
      </c>
      <c r="D36" s="2">
        <v>7900</v>
      </c>
      <c r="E36" s="2">
        <v>5530</v>
      </c>
      <c r="F36" t="s">
        <v>5</v>
      </c>
      <c r="G36" t="s">
        <v>123</v>
      </c>
      <c r="H36" t="s">
        <v>73</v>
      </c>
      <c r="I36">
        <v>185.19548</v>
      </c>
    </row>
    <row r="37" spans="1:9" ht="55.5" customHeight="1">
      <c r="A37" s="1" t="str">
        <f>"Chemistry 198"</f>
        <v>Chemistry 198</v>
      </c>
      <c r="B37" t="s">
        <v>124</v>
      </c>
      <c r="C37" t="s">
        <v>3</v>
      </c>
      <c r="D37" s="2">
        <v>7900</v>
      </c>
      <c r="E37" s="2">
        <v>5530</v>
      </c>
      <c r="F37" t="s">
        <v>5</v>
      </c>
      <c r="G37" t="s">
        <v>125</v>
      </c>
      <c r="H37" t="s">
        <v>70</v>
      </c>
      <c r="I37">
        <v>195.23336</v>
      </c>
    </row>
    <row r="38" spans="1:9" ht="71.25" customHeight="1">
      <c r="A38" s="1" t="str">
        <f>"Chemistry 199"</f>
        <v>Chemistry 199</v>
      </c>
      <c r="B38" t="s">
        <v>126</v>
      </c>
      <c r="C38" t="s">
        <v>3</v>
      </c>
      <c r="D38" s="2">
        <v>7900</v>
      </c>
      <c r="E38" s="2">
        <v>5530</v>
      </c>
      <c r="F38" t="s">
        <v>5</v>
      </c>
      <c r="G38" t="s">
        <v>127</v>
      </c>
      <c r="H38" t="s">
        <v>67</v>
      </c>
      <c r="I38">
        <v>209.25994</v>
      </c>
    </row>
    <row r="39" spans="1:9" ht="51.6" customHeight="1">
      <c r="A39" s="1" t="str">
        <f>"Chemistry 203"</f>
        <v>Chemistry 203</v>
      </c>
      <c r="B39" t="s">
        <v>130</v>
      </c>
      <c r="C39" t="s">
        <v>128</v>
      </c>
      <c r="D39" s="2">
        <v>8800</v>
      </c>
      <c r="E39" s="2">
        <v>6160</v>
      </c>
      <c r="F39" t="s">
        <v>5</v>
      </c>
      <c r="G39" t="s">
        <v>131</v>
      </c>
      <c r="H39" t="s">
        <v>132</v>
      </c>
      <c r="I39">
        <v>258.7047</v>
      </c>
    </row>
    <row r="40" spans="1:9" ht="55.05" customHeight="1">
      <c r="A40" s="1" t="str">
        <f>"Chemistry 206"</f>
        <v>Chemistry 206</v>
      </c>
      <c r="B40" t="s">
        <v>134</v>
      </c>
      <c r="C40" t="s">
        <v>128</v>
      </c>
      <c r="D40" s="2">
        <v>8800</v>
      </c>
      <c r="E40" s="2">
        <v>6160</v>
      </c>
      <c r="F40" t="s">
        <v>5</v>
      </c>
      <c r="G40" t="s">
        <v>135</v>
      </c>
      <c r="H40" t="s">
        <v>133</v>
      </c>
      <c r="I40">
        <v>244.67812000000001</v>
      </c>
    </row>
    <row r="41" spans="1:9" ht="75.3" customHeight="1">
      <c r="A41" s="1" t="str">
        <f>"Chemistry 210"</f>
        <v>Chemistry 210</v>
      </c>
      <c r="B41" t="s">
        <v>136</v>
      </c>
      <c r="C41" t="s">
        <v>128</v>
      </c>
      <c r="D41" s="2">
        <v>8800</v>
      </c>
      <c r="E41" s="2">
        <v>6160</v>
      </c>
      <c r="F41" t="s">
        <v>5</v>
      </c>
      <c r="G41" t="s">
        <v>137</v>
      </c>
      <c r="H41" t="s">
        <v>129</v>
      </c>
      <c r="I41">
        <v>275.70710000000003</v>
      </c>
    </row>
    <row r="42" spans="1:9" ht="75.75" customHeight="1">
      <c r="A42" s="1" t="str">
        <f>"Chemistry 211"</f>
        <v>Chemistry 211</v>
      </c>
      <c r="B42" t="s">
        <v>138</v>
      </c>
      <c r="C42" t="s">
        <v>128</v>
      </c>
      <c r="D42" s="2">
        <v>8800</v>
      </c>
      <c r="E42" s="2">
        <v>6160</v>
      </c>
      <c r="F42" t="s">
        <v>5</v>
      </c>
      <c r="G42" t="s">
        <v>139</v>
      </c>
      <c r="H42" t="s">
        <v>140</v>
      </c>
      <c r="I42">
        <v>261.68052</v>
      </c>
    </row>
    <row r="43" spans="1:9" ht="85.35" customHeight="1">
      <c r="A43" s="1" t="str">
        <f>"Chemistry 212"</f>
        <v>Chemistry 212</v>
      </c>
      <c r="B43" t="s">
        <v>141</v>
      </c>
      <c r="C43" t="s">
        <v>128</v>
      </c>
      <c r="D43" s="2">
        <v>8800</v>
      </c>
      <c r="E43" s="2">
        <v>6160</v>
      </c>
      <c r="F43" t="s">
        <v>5</v>
      </c>
      <c r="G43" t="s">
        <v>142</v>
      </c>
      <c r="H43" t="s">
        <v>140</v>
      </c>
      <c r="I43">
        <v>261.68052</v>
      </c>
    </row>
    <row r="44" spans="1:9" ht="85.35" customHeight="1">
      <c r="A44" s="1" t="str">
        <f>"Chemistry 213"</f>
        <v>Chemistry 213</v>
      </c>
      <c r="B44" t="s">
        <v>143</v>
      </c>
      <c r="C44" t="s">
        <v>128</v>
      </c>
      <c r="D44" s="2">
        <v>8800</v>
      </c>
      <c r="E44" s="2">
        <v>6160</v>
      </c>
      <c r="F44" t="s">
        <v>5</v>
      </c>
      <c r="G44" t="s">
        <v>144</v>
      </c>
      <c r="H44" t="s">
        <v>140</v>
      </c>
      <c r="I44">
        <v>261.68052</v>
      </c>
    </row>
    <row r="45" spans="1:9" ht="75.75" customHeight="1">
      <c r="A45" s="1" t="str">
        <f>"Chemistry 214"</f>
        <v>Chemistry 214</v>
      </c>
      <c r="B45" t="s">
        <v>145</v>
      </c>
      <c r="C45" t="s">
        <v>128</v>
      </c>
      <c r="D45" s="2">
        <v>8800</v>
      </c>
      <c r="E45" s="2">
        <v>6160</v>
      </c>
      <c r="F45" t="s">
        <v>5</v>
      </c>
      <c r="G45" t="s">
        <v>146</v>
      </c>
      <c r="H45" t="s">
        <v>147</v>
      </c>
      <c r="I45">
        <v>289.73367999999999</v>
      </c>
    </row>
    <row r="46" spans="1:9" ht="75.3" customHeight="1">
      <c r="A46" s="1" t="str">
        <f>"Chemistry 215"</f>
        <v>Chemistry 215</v>
      </c>
      <c r="B46" t="s">
        <v>148</v>
      </c>
      <c r="C46" t="s">
        <v>128</v>
      </c>
      <c r="D46" s="2">
        <v>8800</v>
      </c>
      <c r="E46" s="2">
        <v>6160</v>
      </c>
      <c r="F46" t="s">
        <v>5</v>
      </c>
      <c r="G46" t="s">
        <v>149</v>
      </c>
      <c r="H46" t="s">
        <v>129</v>
      </c>
      <c r="I46">
        <v>275.70710000000003</v>
      </c>
    </row>
    <row r="47" spans="1:9" ht="79.2" customHeight="1">
      <c r="A47" s="1" t="str">
        <f>"Chemistry 218"</f>
        <v>Chemistry 218</v>
      </c>
      <c r="B47" t="s">
        <v>150</v>
      </c>
      <c r="C47" t="s">
        <v>128</v>
      </c>
      <c r="D47" s="2">
        <v>8800</v>
      </c>
      <c r="E47" s="2">
        <v>6160</v>
      </c>
      <c r="F47" t="s">
        <v>5</v>
      </c>
      <c r="G47" t="s">
        <v>151</v>
      </c>
      <c r="H47" t="s">
        <v>129</v>
      </c>
      <c r="I47">
        <v>275.70710000000003</v>
      </c>
    </row>
    <row r="48" spans="1:9" ht="75.3" customHeight="1">
      <c r="A48" s="1" t="str">
        <f>"Chemistry 219"</f>
        <v>Chemistry 219</v>
      </c>
      <c r="B48" t="s">
        <v>152</v>
      </c>
      <c r="C48" t="s">
        <v>128</v>
      </c>
      <c r="D48" s="2">
        <v>8800</v>
      </c>
      <c r="E48" s="2">
        <v>6160</v>
      </c>
      <c r="F48" t="s">
        <v>5</v>
      </c>
      <c r="G48" t="s">
        <v>153</v>
      </c>
      <c r="H48" t="s">
        <v>140</v>
      </c>
      <c r="I48">
        <v>261.68052</v>
      </c>
    </row>
    <row r="49" spans="1:9" ht="75.75" customHeight="1">
      <c r="A49" s="1" t="str">
        <f>"Chemistry 225"</f>
        <v>Chemistry 225</v>
      </c>
      <c r="B49" t="s">
        <v>154</v>
      </c>
      <c r="C49" t="s">
        <v>128</v>
      </c>
      <c r="D49" s="2">
        <v>8800</v>
      </c>
      <c r="E49" s="2">
        <v>6160</v>
      </c>
      <c r="F49" t="s">
        <v>5</v>
      </c>
      <c r="G49" t="s">
        <v>155</v>
      </c>
      <c r="H49" t="s">
        <v>133</v>
      </c>
      <c r="I49">
        <v>244.67812000000001</v>
      </c>
    </row>
    <row r="50" spans="1:9" ht="77.55" customHeight="1">
      <c r="A50" s="1" t="str">
        <f>"Chemistry 229"</f>
        <v>Chemistry 229</v>
      </c>
      <c r="B50" t="s">
        <v>156</v>
      </c>
      <c r="C50" t="s">
        <v>3</v>
      </c>
      <c r="D50" s="2">
        <v>7900</v>
      </c>
      <c r="E50" s="2">
        <v>5530</v>
      </c>
      <c r="F50" t="s">
        <v>5</v>
      </c>
      <c r="G50" t="s">
        <v>157</v>
      </c>
      <c r="H50" t="s">
        <v>25</v>
      </c>
      <c r="I50">
        <v>227.23215999999999</v>
      </c>
    </row>
    <row r="51" spans="1:9" ht="75.75" customHeight="1">
      <c r="A51" s="1" t="str">
        <f>"Chemistry 230"</f>
        <v>Chemistry 230</v>
      </c>
      <c r="B51" t="s">
        <v>158</v>
      </c>
      <c r="C51" t="s">
        <v>3</v>
      </c>
      <c r="D51" s="2">
        <v>6200</v>
      </c>
      <c r="E51" s="2">
        <v>4340</v>
      </c>
      <c r="F51" t="s">
        <v>5</v>
      </c>
      <c r="G51" t="s">
        <v>159</v>
      </c>
      <c r="H51" t="s">
        <v>160</v>
      </c>
      <c r="I51">
        <v>181.18852999999999</v>
      </c>
    </row>
    <row r="52" spans="1:9" ht="75.75" customHeight="1">
      <c r="A52" s="1" t="str">
        <f>"Chemistry 231"</f>
        <v>Chemistry 231</v>
      </c>
      <c r="B52" t="s">
        <v>161</v>
      </c>
      <c r="C52" t="s">
        <v>3</v>
      </c>
      <c r="D52" s="2">
        <v>6200</v>
      </c>
      <c r="E52" s="2">
        <v>4340</v>
      </c>
      <c r="F52" t="s">
        <v>5</v>
      </c>
      <c r="G52" t="s">
        <v>162</v>
      </c>
      <c r="H52" t="s">
        <v>26</v>
      </c>
      <c r="I52">
        <v>209.24170000000001</v>
      </c>
    </row>
    <row r="53" spans="1:9" ht="75.3" customHeight="1">
      <c r="A53" s="1" t="str">
        <f>"Chemistry 232"</f>
        <v>Chemistry 232</v>
      </c>
      <c r="B53" t="s">
        <v>163</v>
      </c>
      <c r="C53" t="s">
        <v>3</v>
      </c>
      <c r="D53" s="2">
        <v>7900</v>
      </c>
      <c r="E53" s="2">
        <v>5530</v>
      </c>
      <c r="F53" t="s">
        <v>5</v>
      </c>
      <c r="G53" t="s">
        <v>164</v>
      </c>
      <c r="H53" t="s">
        <v>165</v>
      </c>
      <c r="I53">
        <v>223.22522000000001</v>
      </c>
    </row>
    <row r="54" spans="1:9" ht="55.5" customHeight="1">
      <c r="A54" s="1" t="str">
        <f>"Chemistry 236"</f>
        <v>Chemistry 236</v>
      </c>
      <c r="B54" t="s">
        <v>167</v>
      </c>
      <c r="C54" t="s">
        <v>3</v>
      </c>
      <c r="D54" s="2">
        <v>10500</v>
      </c>
      <c r="E54" s="2">
        <v>7349.9999999999991</v>
      </c>
      <c r="F54" t="s">
        <v>5</v>
      </c>
      <c r="G54" t="s">
        <v>168</v>
      </c>
      <c r="H54" t="s">
        <v>114</v>
      </c>
      <c r="I54">
        <v>207.27217999999999</v>
      </c>
    </row>
    <row r="55" spans="1:9" ht="68.55" customHeight="1">
      <c r="A55" s="1" t="str">
        <f>"Chemistry 239"</f>
        <v>Chemistry 239</v>
      </c>
      <c r="B55" t="s">
        <v>170</v>
      </c>
      <c r="C55" t="s">
        <v>3</v>
      </c>
      <c r="D55" s="2">
        <v>8800</v>
      </c>
      <c r="E55" s="2">
        <v>6160</v>
      </c>
      <c r="F55" t="s">
        <v>5</v>
      </c>
      <c r="G55" t="s">
        <v>171</v>
      </c>
      <c r="H55" t="s">
        <v>172</v>
      </c>
      <c r="I55">
        <v>178.23096000000001</v>
      </c>
    </row>
    <row r="56" spans="1:9" ht="78.599999999999994" customHeight="1">
      <c r="A56" s="1" t="str">
        <f>"Chemistry 245"</f>
        <v>Chemistry 245</v>
      </c>
      <c r="B56" t="s">
        <v>173</v>
      </c>
      <c r="C56" t="s">
        <v>3</v>
      </c>
      <c r="D56" s="2">
        <v>8800</v>
      </c>
      <c r="E56" s="2">
        <v>6160</v>
      </c>
      <c r="F56" t="s">
        <v>5</v>
      </c>
      <c r="G56" t="s">
        <v>174</v>
      </c>
      <c r="H56" t="s">
        <v>54</v>
      </c>
      <c r="I56">
        <v>209.26324</v>
      </c>
    </row>
    <row r="57" spans="1:9" ht="71.25" customHeight="1">
      <c r="A57" s="1" t="str">
        <f>"Chemistry 247"</f>
        <v>Chemistry 247</v>
      </c>
      <c r="B57" t="s">
        <v>175</v>
      </c>
      <c r="C57" t="s">
        <v>3</v>
      </c>
      <c r="D57" s="2">
        <v>8800</v>
      </c>
      <c r="E57" s="2">
        <v>6160</v>
      </c>
      <c r="F57" t="s">
        <v>5</v>
      </c>
      <c r="G57" t="s">
        <v>176</v>
      </c>
      <c r="H57" t="s">
        <v>63</v>
      </c>
      <c r="I57">
        <v>196.22141999999999</v>
      </c>
    </row>
    <row r="58" spans="1:9" ht="71.25" customHeight="1">
      <c r="A58" s="1" t="str">
        <f>"Chemistry 248"</f>
        <v>Chemistry 248</v>
      </c>
      <c r="B58" t="s">
        <v>177</v>
      </c>
      <c r="C58" t="s">
        <v>3</v>
      </c>
      <c r="D58" s="2">
        <v>8800</v>
      </c>
      <c r="E58" s="2">
        <v>6160</v>
      </c>
      <c r="F58" t="s">
        <v>5</v>
      </c>
      <c r="G58" t="s">
        <v>178</v>
      </c>
      <c r="H58" t="s">
        <v>104</v>
      </c>
      <c r="I58">
        <v>224.27457999999999</v>
      </c>
    </row>
    <row r="59" spans="1:9" ht="77.55" customHeight="1">
      <c r="A59" s="1" t="str">
        <f>"Chemistry 250"</f>
        <v>Chemistry 250</v>
      </c>
      <c r="B59" t="s">
        <v>179</v>
      </c>
      <c r="C59" t="s">
        <v>3</v>
      </c>
      <c r="D59" s="2">
        <v>11400</v>
      </c>
      <c r="E59" s="2">
        <v>7979.9999999999991</v>
      </c>
      <c r="F59" t="s">
        <v>5</v>
      </c>
      <c r="G59" t="s">
        <v>180</v>
      </c>
      <c r="H59" t="s">
        <v>98</v>
      </c>
      <c r="I59">
        <v>278.35007999999999</v>
      </c>
    </row>
    <row r="60" spans="1:9" ht="61.8" customHeight="1">
      <c r="A60" s="1" t="str">
        <f>"Chemistry 255"</f>
        <v>Chemistry 255</v>
      </c>
      <c r="B60" t="s">
        <v>182</v>
      </c>
      <c r="C60" t="s">
        <v>3</v>
      </c>
      <c r="D60" s="2">
        <v>10500</v>
      </c>
      <c r="E60" s="2">
        <v>7349.9999999999991</v>
      </c>
      <c r="F60" t="s">
        <v>5</v>
      </c>
      <c r="G60" t="s">
        <v>183</v>
      </c>
      <c r="H60" t="s">
        <v>184</v>
      </c>
      <c r="I60">
        <v>225.25934000000001</v>
      </c>
    </row>
    <row r="61" spans="1:9" ht="55.5" customHeight="1">
      <c r="A61" s="1" t="str">
        <f>"Chemistry 256"</f>
        <v>Chemistry 256</v>
      </c>
      <c r="B61" t="s">
        <v>185</v>
      </c>
      <c r="C61" t="s">
        <v>3</v>
      </c>
      <c r="D61" s="2">
        <v>9700</v>
      </c>
      <c r="E61" s="2">
        <v>6790</v>
      </c>
      <c r="F61" t="s">
        <v>5</v>
      </c>
      <c r="G61" t="s">
        <v>186</v>
      </c>
      <c r="H61" t="s">
        <v>73</v>
      </c>
      <c r="I61">
        <v>185.19548</v>
      </c>
    </row>
    <row r="62" spans="1:9" ht="71.25" customHeight="1">
      <c r="A62" s="1" t="str">
        <f>"Chemistry 260"</f>
        <v>Chemistry 260</v>
      </c>
      <c r="B62" t="s">
        <v>188</v>
      </c>
      <c r="C62" t="s">
        <v>3</v>
      </c>
      <c r="D62" s="2">
        <v>7900</v>
      </c>
      <c r="E62" s="2">
        <v>5530</v>
      </c>
      <c r="F62" t="s">
        <v>5</v>
      </c>
      <c r="G62" t="s">
        <v>189</v>
      </c>
      <c r="H62" t="s">
        <v>67</v>
      </c>
      <c r="I62">
        <v>209.25994</v>
      </c>
    </row>
    <row r="63" spans="1:9" ht="61.8" customHeight="1">
      <c r="A63" s="1" t="str">
        <f>"Chemistry 262"</f>
        <v>Chemistry 262</v>
      </c>
      <c r="B63" t="s">
        <v>190</v>
      </c>
      <c r="C63" t="s">
        <v>3</v>
      </c>
      <c r="D63" s="2">
        <v>10500</v>
      </c>
      <c r="E63" s="2">
        <v>7349.9999999999991</v>
      </c>
      <c r="F63" t="s">
        <v>5</v>
      </c>
      <c r="G63" t="s">
        <v>191</v>
      </c>
      <c r="H63" t="s">
        <v>121</v>
      </c>
      <c r="I63">
        <v>211.23276000000001</v>
      </c>
    </row>
    <row r="64" spans="1:9" ht="70.8" customHeight="1">
      <c r="A64" s="1" t="str">
        <f>"Chemistry 264"</f>
        <v>Chemistry 264</v>
      </c>
      <c r="B64" t="s">
        <v>193</v>
      </c>
      <c r="C64" t="s">
        <v>3</v>
      </c>
      <c r="D64" s="2">
        <v>11400</v>
      </c>
      <c r="E64" s="2">
        <v>7979.9999999999991</v>
      </c>
      <c r="F64" t="s">
        <v>5</v>
      </c>
      <c r="G64" t="s">
        <v>194</v>
      </c>
      <c r="H64" t="s">
        <v>192</v>
      </c>
      <c r="I64">
        <v>296.33724000000001</v>
      </c>
    </row>
    <row r="65" spans="1:9" ht="67.95" customHeight="1">
      <c r="A65" s="1" t="str">
        <f>"Chemistry 266"</f>
        <v>Chemistry 266</v>
      </c>
      <c r="B65" t="s">
        <v>195</v>
      </c>
      <c r="C65" t="s">
        <v>3</v>
      </c>
      <c r="D65" s="2">
        <v>7900</v>
      </c>
      <c r="E65" s="2">
        <v>5530</v>
      </c>
      <c r="F65" t="s">
        <v>5</v>
      </c>
      <c r="G65" t="s">
        <v>196</v>
      </c>
      <c r="H65" t="s">
        <v>187</v>
      </c>
      <c r="I65">
        <v>155.1695</v>
      </c>
    </row>
    <row r="66" spans="1:9" ht="71.25" customHeight="1">
      <c r="A66" s="1" t="str">
        <f>"Chemistry 267"</f>
        <v>Chemistry 267</v>
      </c>
      <c r="B66" t="s">
        <v>197</v>
      </c>
      <c r="C66" t="s">
        <v>3</v>
      </c>
      <c r="D66" s="2">
        <v>8800</v>
      </c>
      <c r="E66" s="2">
        <v>6160</v>
      </c>
      <c r="F66" t="s">
        <v>5</v>
      </c>
      <c r="G66" t="s">
        <v>198</v>
      </c>
      <c r="H66" t="s">
        <v>121</v>
      </c>
      <c r="I66">
        <v>211.23276000000001</v>
      </c>
    </row>
    <row r="67" spans="1:9" ht="88.2" customHeight="1">
      <c r="A67" s="1" t="str">
        <f>"Chemistry 270"</f>
        <v>Chemistry 270</v>
      </c>
      <c r="B67" t="s">
        <v>199</v>
      </c>
      <c r="C67" t="s">
        <v>3</v>
      </c>
      <c r="D67" s="2">
        <v>11400</v>
      </c>
      <c r="E67" s="2">
        <v>7979.9999999999991</v>
      </c>
      <c r="F67" t="s">
        <v>5</v>
      </c>
      <c r="G67" t="s">
        <v>200</v>
      </c>
      <c r="H67" t="s">
        <v>192</v>
      </c>
      <c r="I67">
        <v>296.33724000000001</v>
      </c>
    </row>
    <row r="68" spans="1:9" ht="55.5" customHeight="1">
      <c r="A68" s="1" t="str">
        <f>"Chemistry 273"</f>
        <v>Chemistry 273</v>
      </c>
      <c r="B68" t="s">
        <v>201</v>
      </c>
      <c r="C68" t="s">
        <v>3</v>
      </c>
      <c r="D68" s="2">
        <v>7900</v>
      </c>
      <c r="E68" s="2">
        <v>5530</v>
      </c>
      <c r="F68" t="s">
        <v>5</v>
      </c>
      <c r="G68" t="s">
        <v>202</v>
      </c>
      <c r="H68" t="s">
        <v>187</v>
      </c>
      <c r="I68">
        <v>155.1695</v>
      </c>
    </row>
    <row r="69" spans="1:9" ht="61.8" customHeight="1">
      <c r="A69" s="1" t="str">
        <f>"Chemistry 276"</f>
        <v>Chemistry 276</v>
      </c>
      <c r="B69" t="s">
        <v>203</v>
      </c>
      <c r="C69" t="s">
        <v>3</v>
      </c>
      <c r="D69" s="2">
        <v>7900</v>
      </c>
      <c r="E69" s="2">
        <v>5530</v>
      </c>
      <c r="F69" t="s">
        <v>5</v>
      </c>
      <c r="G69" t="s">
        <v>204</v>
      </c>
      <c r="H69" t="s">
        <v>115</v>
      </c>
      <c r="I69">
        <v>197.24923999999999</v>
      </c>
    </row>
    <row r="70" spans="1:9" ht="75.75" customHeight="1">
      <c r="A70" s="1" t="str">
        <f>"Chemistry 277"</f>
        <v>Chemistry 277</v>
      </c>
      <c r="B70" t="s">
        <v>205</v>
      </c>
      <c r="C70" t="s">
        <v>128</v>
      </c>
      <c r="D70" s="2">
        <v>8800</v>
      </c>
      <c r="E70" s="2">
        <v>6160</v>
      </c>
      <c r="F70" t="s">
        <v>5</v>
      </c>
      <c r="G70" t="s">
        <v>206</v>
      </c>
      <c r="H70" t="s">
        <v>207</v>
      </c>
      <c r="I70">
        <v>262.66528</v>
      </c>
    </row>
    <row r="71" spans="1:9" ht="75.75" customHeight="1">
      <c r="A71" s="1" t="str">
        <f>"Chemistry 278"</f>
        <v>Chemistry 278</v>
      </c>
      <c r="B71" t="s">
        <v>208</v>
      </c>
      <c r="C71" t="s">
        <v>128</v>
      </c>
      <c r="D71" s="2">
        <v>8800</v>
      </c>
      <c r="E71" s="2">
        <v>6160</v>
      </c>
      <c r="F71" t="s">
        <v>5</v>
      </c>
      <c r="G71" t="s">
        <v>209</v>
      </c>
      <c r="H71" t="s">
        <v>207</v>
      </c>
      <c r="I71">
        <v>262.66528</v>
      </c>
    </row>
    <row r="72" spans="1:9" ht="75.3" customHeight="1">
      <c r="A72" s="1" t="str">
        <f>"Chemistry 281"</f>
        <v>Chemistry 281</v>
      </c>
      <c r="B72" t="s">
        <v>210</v>
      </c>
      <c r="C72" t="s">
        <v>128</v>
      </c>
      <c r="D72" s="2">
        <v>8800</v>
      </c>
      <c r="E72" s="2">
        <v>6160</v>
      </c>
      <c r="F72" t="s">
        <v>5</v>
      </c>
      <c r="G72" t="s">
        <v>211</v>
      </c>
      <c r="H72" t="s">
        <v>212</v>
      </c>
      <c r="I72">
        <v>276.69186000000002</v>
      </c>
    </row>
    <row r="73" spans="1:9" ht="92.1" customHeight="1">
      <c r="A73" s="1" t="str">
        <f>"Chemistry 283"</f>
        <v>Chemistry 283</v>
      </c>
      <c r="B73" t="s">
        <v>213</v>
      </c>
      <c r="C73" t="s">
        <v>3</v>
      </c>
      <c r="D73" s="2">
        <v>8800</v>
      </c>
      <c r="E73" s="2">
        <v>6160</v>
      </c>
      <c r="F73" t="s">
        <v>5</v>
      </c>
      <c r="G73" t="s">
        <v>214</v>
      </c>
      <c r="H73" t="s">
        <v>215</v>
      </c>
      <c r="I73">
        <v>309.31774999999999</v>
      </c>
    </row>
    <row r="74" spans="1:9" ht="75.75" customHeight="1">
      <c r="A74" s="1" t="str">
        <f>"Chemistry 288"</f>
        <v>Chemistry 288</v>
      </c>
      <c r="B74" t="s">
        <v>217</v>
      </c>
      <c r="C74" t="s">
        <v>128</v>
      </c>
      <c r="D74" s="2">
        <v>8800</v>
      </c>
      <c r="E74" s="2">
        <v>6160</v>
      </c>
      <c r="F74" t="s">
        <v>5</v>
      </c>
      <c r="G74" t="s">
        <v>218</v>
      </c>
      <c r="H74" t="s">
        <v>219</v>
      </c>
      <c r="I74">
        <v>290.71843999999999</v>
      </c>
    </row>
    <row r="75" spans="1:9" ht="74.099999999999994" customHeight="1">
      <c r="A75" s="1" t="str">
        <f>"Chemistry 297"</f>
        <v>Chemistry 297</v>
      </c>
      <c r="B75" t="s">
        <v>221</v>
      </c>
      <c r="C75" t="s">
        <v>3</v>
      </c>
      <c r="D75" s="2">
        <v>11400</v>
      </c>
      <c r="E75" s="2">
        <v>7979.9999999999991</v>
      </c>
      <c r="F75" t="s">
        <v>5</v>
      </c>
      <c r="G75" t="s">
        <v>222</v>
      </c>
      <c r="H75" t="s">
        <v>223</v>
      </c>
      <c r="I75">
        <v>307.38799999999998</v>
      </c>
    </row>
    <row r="76" spans="1:9" ht="61.8" customHeight="1">
      <c r="A76" s="1" t="str">
        <f>"Chemistry 299"</f>
        <v>Chemistry 299</v>
      </c>
      <c r="B76" t="s">
        <v>224</v>
      </c>
      <c r="C76" t="s">
        <v>3</v>
      </c>
      <c r="D76" s="2">
        <v>8800</v>
      </c>
      <c r="E76" s="2">
        <v>6160</v>
      </c>
      <c r="F76" t="s">
        <v>5</v>
      </c>
      <c r="G76" t="s">
        <v>225</v>
      </c>
      <c r="H76" t="s">
        <v>226</v>
      </c>
      <c r="I76">
        <v>210.24799999999999</v>
      </c>
    </row>
    <row r="77" spans="1:9" ht="87" customHeight="1">
      <c r="A77" s="1" t="str">
        <f>"Chemistry 300"</f>
        <v>Chemistry 300</v>
      </c>
      <c r="B77" t="s">
        <v>227</v>
      </c>
      <c r="C77" t="s">
        <v>3</v>
      </c>
      <c r="D77" s="2">
        <v>7900</v>
      </c>
      <c r="E77" s="2">
        <v>5530</v>
      </c>
      <c r="F77" t="s">
        <v>5</v>
      </c>
      <c r="G77" t="s">
        <v>228</v>
      </c>
      <c r="H77" t="s">
        <v>22</v>
      </c>
      <c r="I77">
        <v>241.21567999999999</v>
      </c>
    </row>
    <row r="78" spans="1:9" ht="92.1" customHeight="1">
      <c r="A78" s="1" t="str">
        <f>"Chemistry 304"</f>
        <v>Chemistry 304</v>
      </c>
      <c r="B78" t="s">
        <v>229</v>
      </c>
      <c r="C78" t="s">
        <v>128</v>
      </c>
      <c r="D78" s="2">
        <v>8800</v>
      </c>
      <c r="E78" s="2">
        <v>6160</v>
      </c>
      <c r="F78" t="s">
        <v>5</v>
      </c>
      <c r="G78" t="s">
        <v>230</v>
      </c>
      <c r="H78" t="s">
        <v>147</v>
      </c>
      <c r="I78">
        <v>289.73367999999999</v>
      </c>
    </row>
    <row r="79" spans="1:9" ht="70.8" customHeight="1">
      <c r="A79" s="1" t="str">
        <f>"Chemistry 319"</f>
        <v>Chemistry 319</v>
      </c>
      <c r="B79" t="s">
        <v>231</v>
      </c>
      <c r="C79" t="s">
        <v>3</v>
      </c>
      <c r="D79" s="2">
        <v>10500</v>
      </c>
      <c r="E79" s="2">
        <v>7349.9999999999991</v>
      </c>
      <c r="F79" t="s">
        <v>5</v>
      </c>
      <c r="G79" t="s">
        <v>232</v>
      </c>
      <c r="H79" t="s">
        <v>181</v>
      </c>
      <c r="I79">
        <v>278.34676999999999</v>
      </c>
    </row>
    <row r="80" spans="1:9" ht="92.1" customHeight="1">
      <c r="A80" s="1" t="str">
        <f>"Chemistry 322"</f>
        <v>Chemistry 322</v>
      </c>
      <c r="B80" t="s">
        <v>233</v>
      </c>
      <c r="C80" t="s">
        <v>3</v>
      </c>
      <c r="D80" s="2">
        <v>9700</v>
      </c>
      <c r="E80" s="2">
        <v>6790</v>
      </c>
      <c r="F80" t="s">
        <v>5</v>
      </c>
      <c r="G80" t="s">
        <v>234</v>
      </c>
      <c r="H80" t="s">
        <v>216</v>
      </c>
      <c r="I80">
        <v>354.37331999999998</v>
      </c>
    </row>
    <row r="81" spans="1:9" ht="71.25" customHeight="1">
      <c r="A81" s="1" t="str">
        <f>"Chemistry 332"</f>
        <v>Chemistry 332</v>
      </c>
      <c r="B81" t="s">
        <v>236</v>
      </c>
      <c r="C81" t="s">
        <v>3</v>
      </c>
      <c r="D81" s="2">
        <v>7900</v>
      </c>
      <c r="E81" s="2">
        <v>5530</v>
      </c>
      <c r="F81" t="s">
        <v>5</v>
      </c>
      <c r="G81" t="s">
        <v>237</v>
      </c>
      <c r="H81" t="s">
        <v>70</v>
      </c>
      <c r="I81">
        <v>195.23336</v>
      </c>
    </row>
    <row r="82" spans="1:9" ht="71.25" customHeight="1">
      <c r="A82" s="1" t="str">
        <f>"Chemistry 334"</f>
        <v>Chemistry 334</v>
      </c>
      <c r="B82" t="s">
        <v>238</v>
      </c>
      <c r="C82" t="s">
        <v>3</v>
      </c>
      <c r="D82" s="2">
        <v>7900</v>
      </c>
      <c r="E82" s="2">
        <v>5530</v>
      </c>
      <c r="F82" t="s">
        <v>5</v>
      </c>
      <c r="G82" t="s">
        <v>239</v>
      </c>
      <c r="H82" t="s">
        <v>118</v>
      </c>
      <c r="I82">
        <v>183.22265999999999</v>
      </c>
    </row>
    <row r="83" spans="1:9" ht="75.3" customHeight="1">
      <c r="A83" s="1" t="str">
        <f>"Chemistry 344"</f>
        <v>Chemistry 344</v>
      </c>
      <c r="B83" t="s">
        <v>240</v>
      </c>
      <c r="C83" t="s">
        <v>3</v>
      </c>
      <c r="D83" s="2">
        <v>8800</v>
      </c>
      <c r="E83" s="2">
        <v>6160</v>
      </c>
      <c r="F83" t="s">
        <v>5</v>
      </c>
      <c r="G83" t="s">
        <v>241</v>
      </c>
      <c r="H83" t="s">
        <v>216</v>
      </c>
      <c r="I83">
        <v>354.37331999999998</v>
      </c>
    </row>
    <row r="84" spans="1:9" ht="87" customHeight="1">
      <c r="A84" s="1" t="str">
        <f>"Chemistry 347"</f>
        <v>Chemistry 347</v>
      </c>
      <c r="B84" t="s">
        <v>242</v>
      </c>
      <c r="C84" t="s">
        <v>3</v>
      </c>
      <c r="D84" s="2">
        <v>11400</v>
      </c>
      <c r="E84" s="2">
        <v>7979.9999999999991</v>
      </c>
      <c r="F84" t="s">
        <v>5</v>
      </c>
      <c r="G84" t="s">
        <v>243</v>
      </c>
      <c r="H84" t="s">
        <v>220</v>
      </c>
      <c r="I84">
        <v>293.36142000000001</v>
      </c>
    </row>
    <row r="85" spans="1:9" ht="87" customHeight="1">
      <c r="A85" s="1" t="str">
        <f>"Chemistry 358"</f>
        <v>Chemistry 358</v>
      </c>
      <c r="B85" t="s">
        <v>244</v>
      </c>
      <c r="C85" t="s">
        <v>128</v>
      </c>
      <c r="D85" s="2">
        <v>8800</v>
      </c>
      <c r="E85" s="2">
        <v>6160</v>
      </c>
      <c r="F85" t="s">
        <v>5</v>
      </c>
      <c r="G85" t="s">
        <v>245</v>
      </c>
      <c r="H85" t="s">
        <v>212</v>
      </c>
      <c r="I85">
        <v>276.69186000000002</v>
      </c>
    </row>
    <row r="86" spans="1:9" ht="71.25" customHeight="1">
      <c r="A86" s="1" t="str">
        <f>"Chemistry 367"</f>
        <v>Chemistry 367</v>
      </c>
      <c r="B86" t="s">
        <v>247</v>
      </c>
      <c r="C86" t="s">
        <v>3</v>
      </c>
      <c r="D86" s="2">
        <v>7900</v>
      </c>
      <c r="E86" s="2">
        <v>5530</v>
      </c>
      <c r="F86" t="s">
        <v>5</v>
      </c>
      <c r="G86" t="s">
        <v>248</v>
      </c>
      <c r="H86" t="s">
        <v>67</v>
      </c>
      <c r="I86">
        <v>209.25994</v>
      </c>
    </row>
    <row r="87" spans="1:9" ht="71.25" customHeight="1">
      <c r="A87" s="1" t="str">
        <f>"Chemistry 369"</f>
        <v>Chemistry 369</v>
      </c>
      <c r="B87" t="s">
        <v>249</v>
      </c>
      <c r="C87" t="s">
        <v>3</v>
      </c>
      <c r="D87" s="2">
        <v>9700</v>
      </c>
      <c r="E87" s="2">
        <v>6790</v>
      </c>
      <c r="F87" t="s">
        <v>5</v>
      </c>
      <c r="G87" t="s">
        <v>250</v>
      </c>
      <c r="H87" t="s">
        <v>121</v>
      </c>
      <c r="I87">
        <v>211.23276000000001</v>
      </c>
    </row>
    <row r="88" spans="1:9" ht="51" customHeight="1">
      <c r="A88" s="1" t="str">
        <f>"Chemistry 370"</f>
        <v>Chemistry 370</v>
      </c>
      <c r="B88" t="s">
        <v>251</v>
      </c>
      <c r="C88" t="s">
        <v>3</v>
      </c>
      <c r="D88" s="2">
        <v>10500</v>
      </c>
      <c r="E88" s="2">
        <v>7349.9999999999991</v>
      </c>
      <c r="F88" t="s">
        <v>5</v>
      </c>
      <c r="G88" t="s">
        <v>252</v>
      </c>
      <c r="H88" t="s">
        <v>253</v>
      </c>
      <c r="I88">
        <v>200.27798999999999</v>
      </c>
    </row>
    <row r="89" spans="1:9" ht="71.25" customHeight="1">
      <c r="A89" s="1" t="str">
        <f>"Chemistry 382"</f>
        <v>Chemistry 382</v>
      </c>
      <c r="B89" t="s">
        <v>262</v>
      </c>
      <c r="C89" t="s">
        <v>3</v>
      </c>
      <c r="D89" s="2">
        <v>8800</v>
      </c>
      <c r="E89" s="2">
        <v>6160</v>
      </c>
      <c r="F89" t="s">
        <v>5</v>
      </c>
      <c r="G89" t="s">
        <v>263</v>
      </c>
      <c r="H89" t="s">
        <v>264</v>
      </c>
      <c r="I89">
        <v>294.36442</v>
      </c>
    </row>
    <row r="90" spans="1:9" ht="82.05" customHeight="1">
      <c r="A90" s="1" t="str">
        <f>"Chemistry 383"</f>
        <v>Chemistry 383</v>
      </c>
      <c r="B90" t="s">
        <v>265</v>
      </c>
      <c r="C90" t="s">
        <v>3</v>
      </c>
      <c r="D90" s="2">
        <v>8800</v>
      </c>
      <c r="E90" s="2">
        <v>6160</v>
      </c>
      <c r="F90" t="s">
        <v>5</v>
      </c>
      <c r="G90" t="s">
        <v>266</v>
      </c>
      <c r="H90" t="s">
        <v>264</v>
      </c>
      <c r="I90">
        <v>294.36442</v>
      </c>
    </row>
    <row r="91" spans="1:9" ht="71.25" customHeight="1">
      <c r="A91" s="1" t="str">
        <f>"Chemistry 384"</f>
        <v>Chemistry 384</v>
      </c>
      <c r="B91" t="s">
        <v>267</v>
      </c>
      <c r="C91" t="s">
        <v>3</v>
      </c>
      <c r="D91" s="2">
        <v>8800</v>
      </c>
      <c r="E91" s="2">
        <v>6160</v>
      </c>
      <c r="F91" t="s">
        <v>5</v>
      </c>
      <c r="G91" t="s">
        <v>268</v>
      </c>
      <c r="H91" t="s">
        <v>264</v>
      </c>
      <c r="I91">
        <v>294.36442</v>
      </c>
    </row>
    <row r="92" spans="1:9" ht="41.55" customHeight="1">
      <c r="A92" s="1" t="str">
        <f>"Chemistry 385"</f>
        <v>Chemistry 385</v>
      </c>
      <c r="B92" t="s">
        <v>269</v>
      </c>
      <c r="C92" t="s">
        <v>270</v>
      </c>
      <c r="D92" s="2">
        <v>12300</v>
      </c>
      <c r="E92" s="2">
        <v>8610</v>
      </c>
      <c r="F92" t="s">
        <v>5</v>
      </c>
      <c r="G92" t="s">
        <v>271</v>
      </c>
      <c r="H92" t="s">
        <v>272</v>
      </c>
      <c r="I92">
        <v>173.08405999999999</v>
      </c>
    </row>
    <row r="93" spans="1:9" ht="52.2" customHeight="1">
      <c r="A93" s="1" t="str">
        <f>"Chemistry 386"</f>
        <v>Chemistry 386</v>
      </c>
      <c r="B93" t="s">
        <v>273</v>
      </c>
      <c r="C93" t="s">
        <v>270</v>
      </c>
      <c r="D93" s="2">
        <v>12300</v>
      </c>
      <c r="E93" s="2">
        <v>8610</v>
      </c>
      <c r="F93" t="s">
        <v>5</v>
      </c>
      <c r="G93" t="s">
        <v>274</v>
      </c>
      <c r="H93" t="s">
        <v>275</v>
      </c>
      <c r="I93">
        <v>267.17048</v>
      </c>
    </row>
    <row r="94" spans="1:9" ht="82.05" customHeight="1">
      <c r="A94" s="1" t="str">
        <f>"Chemistry 401"</f>
        <v>Chemistry 401</v>
      </c>
      <c r="B94" t="s">
        <v>276</v>
      </c>
      <c r="C94" t="s">
        <v>3</v>
      </c>
      <c r="D94" s="2">
        <v>8800</v>
      </c>
      <c r="E94" s="2">
        <v>6160</v>
      </c>
      <c r="F94" t="s">
        <v>5</v>
      </c>
      <c r="G94" t="s">
        <v>277</v>
      </c>
      <c r="H94" t="s">
        <v>264</v>
      </c>
      <c r="I94">
        <v>294.36442</v>
      </c>
    </row>
    <row r="95" spans="1:9" ht="52.2" customHeight="1">
      <c r="A95" s="1" t="str">
        <f>"Chemistry 404"</f>
        <v>Chemistry 404</v>
      </c>
      <c r="B95" t="s">
        <v>278</v>
      </c>
      <c r="C95" t="s">
        <v>270</v>
      </c>
      <c r="D95" s="2">
        <v>12300</v>
      </c>
      <c r="E95" s="2">
        <v>8610</v>
      </c>
      <c r="F95" t="s">
        <v>5</v>
      </c>
      <c r="G95" t="s">
        <v>279</v>
      </c>
      <c r="H95" t="s">
        <v>275</v>
      </c>
      <c r="I95">
        <v>267.17048</v>
      </c>
    </row>
    <row r="96" spans="1:9" ht="74.7" customHeight="1">
      <c r="A96" s="1" t="str">
        <f>"Chemistry 412"</f>
        <v>Chemistry 412</v>
      </c>
      <c r="B96" t="s">
        <v>282</v>
      </c>
      <c r="C96" t="s">
        <v>3</v>
      </c>
      <c r="D96" s="2">
        <v>8800</v>
      </c>
      <c r="E96" s="2">
        <v>6160</v>
      </c>
      <c r="F96" t="s">
        <v>5</v>
      </c>
      <c r="G96" t="s">
        <v>283</v>
      </c>
      <c r="H96" t="s">
        <v>284</v>
      </c>
      <c r="I96">
        <v>308.34793999999999</v>
      </c>
    </row>
    <row r="97" spans="1:9" ht="82.05" customHeight="1">
      <c r="A97" s="1" t="str">
        <f>"Chemistry 413"</f>
        <v>Chemistry 413</v>
      </c>
      <c r="B97" t="s">
        <v>285</v>
      </c>
      <c r="C97" t="s">
        <v>3</v>
      </c>
      <c r="D97" s="2">
        <v>8800</v>
      </c>
      <c r="E97" s="2">
        <v>6160</v>
      </c>
      <c r="F97" t="s">
        <v>5</v>
      </c>
      <c r="G97" t="s">
        <v>286</v>
      </c>
      <c r="H97" t="s">
        <v>284</v>
      </c>
      <c r="I97">
        <v>308.34793999999999</v>
      </c>
    </row>
    <row r="98" spans="1:9" ht="74.7" customHeight="1">
      <c r="A98" s="1" t="str">
        <f>"Chemistry 414"</f>
        <v>Chemistry 414</v>
      </c>
      <c r="B98" t="s">
        <v>287</v>
      </c>
      <c r="C98" t="s">
        <v>3</v>
      </c>
      <c r="D98" s="2">
        <v>8800</v>
      </c>
      <c r="E98" s="2">
        <v>6160</v>
      </c>
      <c r="F98" t="s">
        <v>5</v>
      </c>
      <c r="G98" t="s">
        <v>288</v>
      </c>
      <c r="H98" t="s">
        <v>284</v>
      </c>
      <c r="I98">
        <v>308.34793999999999</v>
      </c>
    </row>
    <row r="99" spans="1:9" ht="82.05" customHeight="1">
      <c r="A99" s="1" t="str">
        <f>"Chemistry 427"</f>
        <v>Chemistry 427</v>
      </c>
      <c r="B99" t="s">
        <v>290</v>
      </c>
      <c r="C99" t="s">
        <v>3</v>
      </c>
      <c r="D99" s="2">
        <v>8800</v>
      </c>
      <c r="E99" s="2">
        <v>6160</v>
      </c>
      <c r="F99" t="s">
        <v>5</v>
      </c>
      <c r="G99" t="s">
        <v>291</v>
      </c>
      <c r="H99" t="s">
        <v>284</v>
      </c>
      <c r="I99">
        <v>308.34793999999999</v>
      </c>
    </row>
    <row r="100" spans="1:9" ht="61.8" customHeight="1">
      <c r="A100" s="1" t="str">
        <f>"Chemistry 453"</f>
        <v>Chemistry 453</v>
      </c>
      <c r="B100" t="s">
        <v>302</v>
      </c>
      <c r="C100" t="s">
        <v>128</v>
      </c>
      <c r="D100" s="2">
        <v>9700</v>
      </c>
      <c r="E100" s="2">
        <v>6790</v>
      </c>
      <c r="F100" t="s">
        <v>5</v>
      </c>
      <c r="G100" t="s">
        <v>303</v>
      </c>
      <c r="H100" t="s">
        <v>301</v>
      </c>
      <c r="I100">
        <v>258.71964000000003</v>
      </c>
    </row>
    <row r="101" spans="1:9" ht="75.75" customHeight="1">
      <c r="A101" s="1" t="str">
        <f>"Chemistry 459"</f>
        <v>Chemistry 459</v>
      </c>
      <c r="B101" t="s">
        <v>306</v>
      </c>
      <c r="C101" t="s">
        <v>3</v>
      </c>
      <c r="D101" s="2">
        <v>8800</v>
      </c>
      <c r="E101" s="2">
        <v>6160</v>
      </c>
      <c r="F101" t="s">
        <v>5</v>
      </c>
      <c r="G101" t="s">
        <v>307</v>
      </c>
      <c r="H101" t="s">
        <v>294</v>
      </c>
      <c r="I101">
        <v>270.41088999999999</v>
      </c>
    </row>
    <row r="102" spans="1:9" ht="52.2" customHeight="1">
      <c r="A102" s="1" t="str">
        <f>"Chemistry 461"</f>
        <v>Chemistry 461</v>
      </c>
      <c r="B102" t="s">
        <v>308</v>
      </c>
      <c r="C102" t="s">
        <v>128</v>
      </c>
      <c r="D102" s="2">
        <v>9700</v>
      </c>
      <c r="E102" s="2">
        <v>6790</v>
      </c>
      <c r="F102" t="s">
        <v>5</v>
      </c>
      <c r="G102" t="s">
        <v>309</v>
      </c>
      <c r="H102" t="s">
        <v>310</v>
      </c>
      <c r="I102">
        <v>192.68638000000001</v>
      </c>
    </row>
    <row r="103" spans="1:9" ht="61.8" customHeight="1">
      <c r="A103" s="1" t="str">
        <f>"Chemistry 467"</f>
        <v>Chemistry 467</v>
      </c>
      <c r="B103" t="s">
        <v>314</v>
      </c>
      <c r="C103" t="s">
        <v>128</v>
      </c>
      <c r="D103" s="2">
        <v>9700</v>
      </c>
      <c r="E103" s="2">
        <v>6790</v>
      </c>
      <c r="F103" t="s">
        <v>5</v>
      </c>
      <c r="G103" t="s">
        <v>315</v>
      </c>
      <c r="H103" t="s">
        <v>316</v>
      </c>
      <c r="I103">
        <v>204.69708</v>
      </c>
    </row>
    <row r="104" spans="1:9" ht="65.099999999999994" customHeight="1">
      <c r="A104" s="1" t="str">
        <f>"Chemistry 475"</f>
        <v>Chemistry 475</v>
      </c>
      <c r="B104" t="s">
        <v>317</v>
      </c>
      <c r="C104" t="s">
        <v>128</v>
      </c>
      <c r="D104" s="2">
        <v>9700</v>
      </c>
      <c r="E104" s="2">
        <v>6790</v>
      </c>
      <c r="F104" t="s">
        <v>5</v>
      </c>
      <c r="G104" t="s">
        <v>318</v>
      </c>
      <c r="H104" t="s">
        <v>319</v>
      </c>
      <c r="I104">
        <v>319.62524000000002</v>
      </c>
    </row>
    <row r="105" spans="1:9" ht="72.45" customHeight="1">
      <c r="A105" s="1" t="str">
        <f>"Chemistry 477"</f>
        <v>Chemistry 477</v>
      </c>
      <c r="B105" t="s">
        <v>320</v>
      </c>
      <c r="C105" t="s">
        <v>128</v>
      </c>
      <c r="D105" s="2">
        <v>9700</v>
      </c>
      <c r="E105" s="2">
        <v>6790</v>
      </c>
      <c r="F105" t="s">
        <v>5</v>
      </c>
      <c r="G105" t="s">
        <v>321</v>
      </c>
      <c r="H105" t="s">
        <v>319</v>
      </c>
      <c r="I105">
        <v>319.62524000000002</v>
      </c>
    </row>
    <row r="106" spans="1:9" ht="75.3" customHeight="1">
      <c r="A106" s="1" t="str">
        <f>"Chemistry 495"</f>
        <v>Chemistry 495</v>
      </c>
      <c r="B106" t="s">
        <v>326</v>
      </c>
      <c r="C106" t="s">
        <v>3</v>
      </c>
      <c r="D106" s="2">
        <v>8800</v>
      </c>
      <c r="E106" s="2">
        <v>6160</v>
      </c>
      <c r="F106" t="s">
        <v>5</v>
      </c>
      <c r="G106" t="s">
        <v>327</v>
      </c>
      <c r="H106" t="s">
        <v>31</v>
      </c>
      <c r="I106">
        <v>335.3981</v>
      </c>
    </row>
    <row r="107" spans="1:9" ht="61.8" customHeight="1">
      <c r="A107" s="1" t="str">
        <f>"Chemistry 504"</f>
        <v>Chemistry 504</v>
      </c>
      <c r="B107" t="s">
        <v>330</v>
      </c>
      <c r="C107" t="s">
        <v>270</v>
      </c>
      <c r="D107" s="2">
        <v>9700</v>
      </c>
      <c r="E107" s="2">
        <v>6790</v>
      </c>
      <c r="F107" t="s">
        <v>5</v>
      </c>
      <c r="G107" t="s">
        <v>331</v>
      </c>
      <c r="H107" t="s">
        <v>329</v>
      </c>
      <c r="I107">
        <v>278.17817000000002</v>
      </c>
    </row>
    <row r="108" spans="1:9" ht="61.8" customHeight="1">
      <c r="A108" s="1" t="str">
        <f>"Chemistry 505"</f>
        <v>Chemistry 505</v>
      </c>
      <c r="B108" t="s">
        <v>332</v>
      </c>
      <c r="C108" t="s">
        <v>270</v>
      </c>
      <c r="D108" s="2">
        <v>9700</v>
      </c>
      <c r="E108" s="2">
        <v>6790</v>
      </c>
      <c r="F108" t="s">
        <v>5</v>
      </c>
      <c r="G108" t="s">
        <v>333</v>
      </c>
      <c r="H108" t="s">
        <v>329</v>
      </c>
      <c r="I108">
        <v>278.17817000000002</v>
      </c>
    </row>
    <row r="109" spans="1:9" ht="65.7" customHeight="1">
      <c r="A109" s="1" t="str">
        <f>"Chemistry 511"</f>
        <v>Chemistry 511</v>
      </c>
      <c r="B109" t="s">
        <v>336</v>
      </c>
      <c r="C109" t="s">
        <v>128</v>
      </c>
      <c r="D109" s="2">
        <v>9700</v>
      </c>
      <c r="E109" s="2">
        <v>6790</v>
      </c>
      <c r="F109" t="s">
        <v>5</v>
      </c>
      <c r="G109" t="s">
        <v>337</v>
      </c>
      <c r="H109" t="s">
        <v>338</v>
      </c>
      <c r="I109">
        <v>276.78287999999998</v>
      </c>
    </row>
    <row r="110" spans="1:9" ht="76.95" customHeight="1">
      <c r="A110" s="1" t="str">
        <f>"Chemistry 512"</f>
        <v>Chemistry 512</v>
      </c>
      <c r="B110" t="s">
        <v>339</v>
      </c>
      <c r="C110" t="s">
        <v>3</v>
      </c>
      <c r="D110" s="2">
        <v>8800</v>
      </c>
      <c r="E110" s="2">
        <v>6160</v>
      </c>
      <c r="F110" t="s">
        <v>5</v>
      </c>
      <c r="G110" t="s">
        <v>340</v>
      </c>
      <c r="H110" t="s">
        <v>341</v>
      </c>
      <c r="I110">
        <v>358.42822000000001</v>
      </c>
    </row>
    <row r="111" spans="1:9" ht="71.25" customHeight="1">
      <c r="A111" s="1" t="str">
        <f>"Chemistry 518"</f>
        <v>Chemistry 518</v>
      </c>
      <c r="B111" t="s">
        <v>343</v>
      </c>
      <c r="C111" t="s">
        <v>3</v>
      </c>
      <c r="D111" s="2">
        <v>8800</v>
      </c>
      <c r="E111" s="2">
        <v>6160</v>
      </c>
      <c r="F111" t="s">
        <v>5</v>
      </c>
      <c r="G111" t="s">
        <v>344</v>
      </c>
      <c r="H111" t="s">
        <v>259</v>
      </c>
      <c r="I111">
        <v>242.35773</v>
      </c>
    </row>
    <row r="112" spans="1:9" ht="52.2" customHeight="1">
      <c r="A112" s="1" t="str">
        <f>"Chemistry 519"</f>
        <v>Chemistry 519</v>
      </c>
      <c r="B112" t="s">
        <v>345</v>
      </c>
      <c r="C112" t="s">
        <v>270</v>
      </c>
      <c r="D112" s="2">
        <v>9700</v>
      </c>
      <c r="E112" s="2">
        <v>6790</v>
      </c>
      <c r="F112" t="s">
        <v>5</v>
      </c>
      <c r="G112" t="s">
        <v>346</v>
      </c>
      <c r="H112" t="s">
        <v>347</v>
      </c>
      <c r="I112">
        <v>215.16380000000001</v>
      </c>
    </row>
    <row r="113" spans="1:9" ht="58.35" customHeight="1">
      <c r="A113" s="1" t="str">
        <f>"Chemistry 520"</f>
        <v>Chemistry 520</v>
      </c>
      <c r="B113" t="s">
        <v>348</v>
      </c>
      <c r="C113" t="s">
        <v>270</v>
      </c>
      <c r="D113" s="2">
        <v>9700</v>
      </c>
      <c r="E113" s="2">
        <v>6790</v>
      </c>
      <c r="F113" t="s">
        <v>5</v>
      </c>
      <c r="G113" t="s">
        <v>349</v>
      </c>
      <c r="H113" t="s">
        <v>350</v>
      </c>
      <c r="I113">
        <v>264.19465000000002</v>
      </c>
    </row>
    <row r="114" spans="1:9" ht="77.55" customHeight="1">
      <c r="A114" s="1" t="str">
        <f>"Chemistry 525"</f>
        <v>Chemistry 525</v>
      </c>
      <c r="B114" t="s">
        <v>351</v>
      </c>
      <c r="C114" t="s">
        <v>3</v>
      </c>
      <c r="D114" s="2">
        <v>10500</v>
      </c>
      <c r="E114" s="2">
        <v>7349.9999999999991</v>
      </c>
      <c r="F114" t="s">
        <v>5</v>
      </c>
      <c r="G114" t="s">
        <v>352</v>
      </c>
      <c r="H114" t="s">
        <v>322</v>
      </c>
      <c r="I114">
        <v>334.41003999999998</v>
      </c>
    </row>
    <row r="115" spans="1:9" ht="52.2" customHeight="1">
      <c r="A115" s="1" t="str">
        <f>"Chemistry 527"</f>
        <v>Chemistry 527</v>
      </c>
      <c r="B115" t="s">
        <v>354</v>
      </c>
      <c r="C115" t="s">
        <v>128</v>
      </c>
      <c r="D115" s="2">
        <v>11400</v>
      </c>
      <c r="E115" s="2">
        <v>7979.9999999999991</v>
      </c>
      <c r="F115" t="s">
        <v>5</v>
      </c>
      <c r="G115" t="s">
        <v>355</v>
      </c>
      <c r="H115" t="s">
        <v>356</v>
      </c>
      <c r="I115">
        <v>207.70102</v>
      </c>
    </row>
    <row r="116" spans="1:9" ht="52.2" customHeight="1">
      <c r="A116" s="1" t="str">
        <f>"Chemistry 528"</f>
        <v>Chemistry 528</v>
      </c>
      <c r="B116" t="s">
        <v>357</v>
      </c>
      <c r="C116" t="s">
        <v>128</v>
      </c>
      <c r="D116" s="2">
        <v>11400</v>
      </c>
      <c r="E116" s="2">
        <v>7979.9999999999991</v>
      </c>
      <c r="F116" t="s">
        <v>5</v>
      </c>
      <c r="G116" t="s">
        <v>358</v>
      </c>
      <c r="H116" t="s">
        <v>359</v>
      </c>
      <c r="I116">
        <v>221.7276</v>
      </c>
    </row>
    <row r="117" spans="1:9" ht="52.2" customHeight="1">
      <c r="A117" s="1" t="str">
        <f>"Chemistry 529"</f>
        <v>Chemistry 529</v>
      </c>
      <c r="B117" t="s">
        <v>360</v>
      </c>
      <c r="C117" t="s">
        <v>128</v>
      </c>
      <c r="D117" s="2">
        <v>11400</v>
      </c>
      <c r="E117" s="2">
        <v>7979.9999999999991</v>
      </c>
      <c r="F117" t="s">
        <v>5</v>
      </c>
      <c r="G117" t="s">
        <v>361</v>
      </c>
      <c r="H117" t="s">
        <v>362</v>
      </c>
      <c r="I117">
        <v>247.76488000000001</v>
      </c>
    </row>
    <row r="118" spans="1:9" ht="52.2" customHeight="1">
      <c r="A118" s="1" t="str">
        <f>"Chemistry 531"</f>
        <v>Chemistry 531</v>
      </c>
      <c r="B118" t="s">
        <v>363</v>
      </c>
      <c r="C118" t="s">
        <v>128</v>
      </c>
      <c r="D118" s="2">
        <v>11400</v>
      </c>
      <c r="E118" s="2">
        <v>7979.9999999999991</v>
      </c>
      <c r="F118" t="s">
        <v>5</v>
      </c>
      <c r="G118" t="s">
        <v>364</v>
      </c>
      <c r="H118" t="s">
        <v>365</v>
      </c>
      <c r="I118">
        <v>255.74381</v>
      </c>
    </row>
    <row r="119" spans="1:9" ht="55.5" customHeight="1">
      <c r="A119" s="1" t="str">
        <f>"Chemistry 533"</f>
        <v>Chemistry 533</v>
      </c>
      <c r="B119" t="s">
        <v>367</v>
      </c>
      <c r="C119" t="s">
        <v>128</v>
      </c>
      <c r="D119" s="2">
        <v>11400</v>
      </c>
      <c r="E119" s="2">
        <v>7979.9999999999991</v>
      </c>
      <c r="F119" t="s">
        <v>5</v>
      </c>
      <c r="G119" t="s">
        <v>368</v>
      </c>
      <c r="H119" t="s">
        <v>366</v>
      </c>
      <c r="I119">
        <v>273.73428000000001</v>
      </c>
    </row>
    <row r="120" spans="1:9" ht="71.25" customHeight="1">
      <c r="A120" s="1" t="str">
        <f>"Chemistry 534"</f>
        <v>Chemistry 534</v>
      </c>
      <c r="B120" t="s">
        <v>369</v>
      </c>
      <c r="C120" t="s">
        <v>128</v>
      </c>
      <c r="D120" s="2">
        <v>11400</v>
      </c>
      <c r="E120" s="2">
        <v>7979.9999999999991</v>
      </c>
      <c r="F120" t="s">
        <v>5</v>
      </c>
      <c r="G120" t="s">
        <v>370</v>
      </c>
      <c r="H120" t="s">
        <v>371</v>
      </c>
      <c r="I120">
        <v>290.18887999999998</v>
      </c>
    </row>
    <row r="121" spans="1:9" ht="55.5" customHeight="1">
      <c r="A121" s="1" t="str">
        <f>"Chemistry 536"</f>
        <v>Chemistry 536</v>
      </c>
      <c r="B121" t="s">
        <v>372</v>
      </c>
      <c r="C121" t="s">
        <v>128</v>
      </c>
      <c r="D121" s="2">
        <v>11400</v>
      </c>
      <c r="E121" s="2">
        <v>7979.9999999999991</v>
      </c>
      <c r="F121" t="s">
        <v>5</v>
      </c>
      <c r="G121" t="s">
        <v>373</v>
      </c>
      <c r="H121" t="s">
        <v>374</v>
      </c>
      <c r="I121">
        <v>334.63988000000001</v>
      </c>
    </row>
    <row r="122" spans="1:9" ht="71.25" customHeight="1">
      <c r="A122" s="1" t="str">
        <f>"Chemistry 544"</f>
        <v>Chemistry 544</v>
      </c>
      <c r="B122" t="s">
        <v>376</v>
      </c>
      <c r="C122" t="s">
        <v>3</v>
      </c>
      <c r="D122" s="2">
        <v>10500</v>
      </c>
      <c r="E122" s="2">
        <v>7349.9999999999991</v>
      </c>
      <c r="F122" t="s">
        <v>5</v>
      </c>
      <c r="G122" t="s">
        <v>377</v>
      </c>
      <c r="H122" t="s">
        <v>378</v>
      </c>
      <c r="I122">
        <v>337.38916</v>
      </c>
    </row>
    <row r="123" spans="1:9" ht="77.55" customHeight="1">
      <c r="A123" s="1" t="str">
        <f>"Chemistry 553"</f>
        <v>Chemistry 553</v>
      </c>
      <c r="B123" t="s">
        <v>380</v>
      </c>
      <c r="C123" t="s">
        <v>3</v>
      </c>
      <c r="D123" s="2">
        <v>8800</v>
      </c>
      <c r="E123" s="2">
        <v>6160</v>
      </c>
      <c r="F123" t="s">
        <v>5</v>
      </c>
      <c r="G123" t="s">
        <v>381</v>
      </c>
      <c r="H123" t="s">
        <v>382</v>
      </c>
      <c r="I123">
        <v>348.43662</v>
      </c>
    </row>
    <row r="124" spans="1:9" ht="71.25" customHeight="1">
      <c r="A124" s="1" t="str">
        <f>"Chemistry 554"</f>
        <v>Chemistry 554</v>
      </c>
      <c r="B124" t="s">
        <v>383</v>
      </c>
      <c r="C124" t="s">
        <v>3</v>
      </c>
      <c r="D124" s="2">
        <v>10500</v>
      </c>
      <c r="E124" s="2">
        <v>7349.9999999999991</v>
      </c>
      <c r="F124" t="s">
        <v>5</v>
      </c>
      <c r="G124" t="s">
        <v>384</v>
      </c>
      <c r="H124" t="s">
        <v>378</v>
      </c>
      <c r="I124">
        <v>337.38916</v>
      </c>
    </row>
    <row r="125" spans="1:9" ht="61.8" customHeight="1">
      <c r="A125" s="1" t="str">
        <f>"Chemistry 559"</f>
        <v>Chemistry 559</v>
      </c>
      <c r="B125" t="s">
        <v>387</v>
      </c>
      <c r="C125" t="s">
        <v>128</v>
      </c>
      <c r="D125" s="2">
        <v>9700</v>
      </c>
      <c r="E125" s="2">
        <v>6790</v>
      </c>
      <c r="F125" t="s">
        <v>5</v>
      </c>
      <c r="G125" t="s">
        <v>388</v>
      </c>
      <c r="H125" t="s">
        <v>319</v>
      </c>
      <c r="I125">
        <v>319.62524000000002</v>
      </c>
    </row>
    <row r="126" spans="1:9" ht="79.2" customHeight="1">
      <c r="A126" s="1" t="str">
        <f>"Chemistry 561"</f>
        <v>Chemistry 561</v>
      </c>
      <c r="B126" t="s">
        <v>389</v>
      </c>
      <c r="C126" t="s">
        <v>3</v>
      </c>
      <c r="D126" s="2">
        <v>8800</v>
      </c>
      <c r="E126" s="2">
        <v>6160</v>
      </c>
      <c r="F126" t="s">
        <v>5</v>
      </c>
      <c r="G126" t="s">
        <v>390</v>
      </c>
      <c r="H126" t="s">
        <v>341</v>
      </c>
      <c r="I126">
        <v>358.42822000000001</v>
      </c>
    </row>
    <row r="127" spans="1:9" ht="84.75" customHeight="1">
      <c r="A127" s="1" t="str">
        <f>"Chemistry 563"</f>
        <v>Chemistry 563</v>
      </c>
      <c r="B127" t="s">
        <v>392</v>
      </c>
      <c r="C127" t="s">
        <v>3</v>
      </c>
      <c r="D127" s="2">
        <v>8800</v>
      </c>
      <c r="E127" s="2">
        <v>6160</v>
      </c>
      <c r="F127" t="s">
        <v>5</v>
      </c>
      <c r="G127" t="s">
        <v>393</v>
      </c>
      <c r="H127" t="s">
        <v>341</v>
      </c>
      <c r="I127">
        <v>358.42822000000001</v>
      </c>
    </row>
    <row r="128" spans="1:9" ht="80.849999999999994" customHeight="1">
      <c r="A128" s="1" t="str">
        <f>"Chemistry 564"</f>
        <v>Chemistry 564</v>
      </c>
      <c r="B128" t="s">
        <v>394</v>
      </c>
      <c r="C128" t="s">
        <v>128</v>
      </c>
      <c r="D128" s="2">
        <v>9700</v>
      </c>
      <c r="E128" s="2">
        <v>6790</v>
      </c>
      <c r="F128" t="s">
        <v>5</v>
      </c>
      <c r="G128" t="s">
        <v>395</v>
      </c>
      <c r="H128" t="s">
        <v>391</v>
      </c>
      <c r="I128">
        <v>294.77334000000002</v>
      </c>
    </row>
    <row r="129" spans="1:9" ht="80.849999999999994" customHeight="1">
      <c r="A129" s="1" t="str">
        <f>"Chemistry 567"</f>
        <v>Chemistry 567</v>
      </c>
      <c r="B129" t="s">
        <v>396</v>
      </c>
      <c r="C129" t="s">
        <v>128</v>
      </c>
      <c r="D129" s="2">
        <v>9700</v>
      </c>
      <c r="E129" s="2">
        <v>6790</v>
      </c>
      <c r="F129" t="s">
        <v>5</v>
      </c>
      <c r="G129" t="s">
        <v>397</v>
      </c>
      <c r="H129" t="s">
        <v>398</v>
      </c>
      <c r="I129">
        <v>355.67892999999998</v>
      </c>
    </row>
    <row r="130" spans="1:9" ht="69" customHeight="1">
      <c r="A130" s="1" t="str">
        <f>"Chemistry 568"</f>
        <v>Chemistry 568</v>
      </c>
      <c r="B130" t="s">
        <v>399</v>
      </c>
      <c r="C130" t="s">
        <v>128</v>
      </c>
      <c r="D130" s="2">
        <v>9700</v>
      </c>
      <c r="E130" s="2">
        <v>6790</v>
      </c>
      <c r="F130" t="s">
        <v>5</v>
      </c>
      <c r="G130" t="s">
        <v>400</v>
      </c>
      <c r="H130" t="s">
        <v>401</v>
      </c>
      <c r="I130">
        <v>306.80885999999998</v>
      </c>
    </row>
    <row r="131" spans="1:9" ht="76.95" customHeight="1">
      <c r="A131" s="1" t="str">
        <f>"Chemistry 569"</f>
        <v>Chemistry 569</v>
      </c>
      <c r="B131" t="s">
        <v>402</v>
      </c>
      <c r="C131" t="s">
        <v>128</v>
      </c>
      <c r="D131" s="2">
        <v>9700</v>
      </c>
      <c r="E131" s="2">
        <v>6790</v>
      </c>
      <c r="F131" t="s">
        <v>5</v>
      </c>
      <c r="G131" t="s">
        <v>403</v>
      </c>
      <c r="H131" t="s">
        <v>404</v>
      </c>
      <c r="I131">
        <v>321.78044</v>
      </c>
    </row>
    <row r="132" spans="1:9" ht="71.25" customHeight="1">
      <c r="A132" s="1" t="str">
        <f>"Chemistry 573"</f>
        <v>Chemistry 573</v>
      </c>
      <c r="B132" t="s">
        <v>405</v>
      </c>
      <c r="C132" t="s">
        <v>3</v>
      </c>
      <c r="D132" s="2">
        <v>10500</v>
      </c>
      <c r="E132" s="2">
        <v>7349.9999999999991</v>
      </c>
      <c r="F132" t="s">
        <v>5</v>
      </c>
      <c r="G132" t="s">
        <v>406</v>
      </c>
      <c r="H132" t="s">
        <v>407</v>
      </c>
      <c r="I132">
        <v>272.38371000000001</v>
      </c>
    </row>
    <row r="133" spans="1:9" ht="52.2" customHeight="1">
      <c r="A133" s="1" t="str">
        <f>"Chemistry 574"</f>
        <v>Chemistry 574</v>
      </c>
      <c r="B133" t="s">
        <v>408</v>
      </c>
      <c r="C133" t="s">
        <v>270</v>
      </c>
      <c r="D133" s="2">
        <v>11400</v>
      </c>
      <c r="E133" s="2">
        <v>7979.9999999999991</v>
      </c>
      <c r="F133" t="s">
        <v>5</v>
      </c>
      <c r="G133" t="s">
        <v>409</v>
      </c>
      <c r="H133" t="s">
        <v>410</v>
      </c>
      <c r="I133">
        <v>245.18978000000001</v>
      </c>
    </row>
    <row r="134" spans="1:9" ht="52.2" customHeight="1">
      <c r="A134" s="1" t="str">
        <f>"Chemistry 575"</f>
        <v>Chemistry 575</v>
      </c>
      <c r="B134" t="s">
        <v>411</v>
      </c>
      <c r="C134" t="s">
        <v>270</v>
      </c>
      <c r="D134" s="2">
        <v>9700</v>
      </c>
      <c r="E134" s="2">
        <v>6790</v>
      </c>
      <c r="F134" t="s">
        <v>5</v>
      </c>
      <c r="G134" t="s">
        <v>412</v>
      </c>
      <c r="H134" t="s">
        <v>323</v>
      </c>
      <c r="I134">
        <v>243.21696</v>
      </c>
    </row>
    <row r="135" spans="1:9" ht="71.25" customHeight="1">
      <c r="A135" s="1" t="str">
        <f>"Chemistry 577"</f>
        <v>Chemistry 577</v>
      </c>
      <c r="B135" t="s">
        <v>413</v>
      </c>
      <c r="C135" t="s">
        <v>3</v>
      </c>
      <c r="D135" s="2">
        <v>10500</v>
      </c>
      <c r="E135" s="2">
        <v>7349.9999999999991</v>
      </c>
      <c r="F135" t="s">
        <v>5</v>
      </c>
      <c r="G135" t="s">
        <v>414</v>
      </c>
      <c r="H135" t="s">
        <v>415</v>
      </c>
      <c r="I135">
        <v>244.33054999999999</v>
      </c>
    </row>
    <row r="136" spans="1:9" ht="71.25" customHeight="1">
      <c r="A136" s="1" t="str">
        <f>"Chemistry 578"</f>
        <v>Chemistry 578</v>
      </c>
      <c r="B136" t="s">
        <v>416</v>
      </c>
      <c r="C136" t="s">
        <v>3</v>
      </c>
      <c r="D136" s="2">
        <v>10500</v>
      </c>
      <c r="E136" s="2">
        <v>7349.9999999999991</v>
      </c>
      <c r="F136" t="s">
        <v>5</v>
      </c>
      <c r="G136" t="s">
        <v>417</v>
      </c>
      <c r="H136" t="s">
        <v>418</v>
      </c>
      <c r="I136">
        <v>258.35714000000002</v>
      </c>
    </row>
    <row r="137" spans="1:9" ht="71.25" customHeight="1">
      <c r="A137" s="1" t="str">
        <f>"Chemistry 579"</f>
        <v>Chemistry 579</v>
      </c>
      <c r="B137" t="s">
        <v>419</v>
      </c>
      <c r="C137" t="s">
        <v>128</v>
      </c>
      <c r="D137" s="2">
        <v>11400</v>
      </c>
      <c r="E137" s="2">
        <v>7979.9999999999991</v>
      </c>
      <c r="F137" t="s">
        <v>5</v>
      </c>
      <c r="G137" t="s">
        <v>420</v>
      </c>
      <c r="H137" t="s">
        <v>374</v>
      </c>
      <c r="I137">
        <v>334.63988000000001</v>
      </c>
    </row>
    <row r="138" spans="1:9" ht="67.95" customHeight="1">
      <c r="A138" s="1" t="str">
        <f>"Chemistry 580"</f>
        <v>Chemistry 580</v>
      </c>
      <c r="B138" t="s">
        <v>421</v>
      </c>
      <c r="C138" t="s">
        <v>128</v>
      </c>
      <c r="D138" s="2">
        <v>11400</v>
      </c>
      <c r="E138" s="2">
        <v>7979.9999999999991</v>
      </c>
      <c r="F138" t="s">
        <v>5</v>
      </c>
      <c r="G138" t="s">
        <v>422</v>
      </c>
      <c r="H138" t="s">
        <v>375</v>
      </c>
      <c r="I138">
        <v>269.7704</v>
      </c>
    </row>
    <row r="139" spans="1:9" ht="52.2" customHeight="1">
      <c r="A139" s="1" t="str">
        <f>"Chemistry 601"</f>
        <v>Chemistry 601</v>
      </c>
      <c r="B139" t="s">
        <v>426</v>
      </c>
      <c r="C139" t="s">
        <v>128</v>
      </c>
      <c r="D139" s="2">
        <v>11400</v>
      </c>
      <c r="E139" s="2">
        <v>7979.9999999999991</v>
      </c>
      <c r="F139" t="s">
        <v>5</v>
      </c>
      <c r="G139" t="s">
        <v>427</v>
      </c>
      <c r="H139" t="s">
        <v>428</v>
      </c>
      <c r="I139">
        <v>193.67444</v>
      </c>
    </row>
    <row r="140" spans="1:9" ht="67.95" customHeight="1">
      <c r="A140" s="1" t="str">
        <f>"Chemistry 604"</f>
        <v>Chemistry 604</v>
      </c>
      <c r="B140" t="s">
        <v>429</v>
      </c>
      <c r="C140" t="s">
        <v>128</v>
      </c>
      <c r="D140" s="2">
        <v>11400</v>
      </c>
      <c r="E140" s="2">
        <v>7979.9999999999991</v>
      </c>
      <c r="F140" t="s">
        <v>5</v>
      </c>
      <c r="G140" t="s">
        <v>430</v>
      </c>
      <c r="H140" t="s">
        <v>374</v>
      </c>
      <c r="I140">
        <v>334.63988000000001</v>
      </c>
    </row>
    <row r="141" spans="1:9" ht="87" customHeight="1">
      <c r="A141" s="1" t="str">
        <f>"Chemistry 614"</f>
        <v>Chemistry 614</v>
      </c>
      <c r="B141" t="s">
        <v>433</v>
      </c>
      <c r="C141" t="s">
        <v>3</v>
      </c>
      <c r="D141" s="2">
        <v>10500</v>
      </c>
      <c r="E141" s="2">
        <v>7349.9999999999991</v>
      </c>
      <c r="F141" t="s">
        <v>5</v>
      </c>
      <c r="G141" t="s">
        <v>434</v>
      </c>
      <c r="H141" t="s">
        <v>378</v>
      </c>
      <c r="I141">
        <v>337.38916</v>
      </c>
    </row>
    <row r="142" spans="1:9" ht="64.05" customHeight="1">
      <c r="A142" s="1" t="str">
        <f>"Chemistry 619"</f>
        <v>Chemistry 619</v>
      </c>
      <c r="B142" t="s">
        <v>436</v>
      </c>
      <c r="C142" t="s">
        <v>128</v>
      </c>
      <c r="D142" s="2">
        <v>14000</v>
      </c>
      <c r="E142" s="2">
        <v>9800</v>
      </c>
      <c r="F142" t="s">
        <v>5</v>
      </c>
      <c r="G142" t="s">
        <v>437</v>
      </c>
      <c r="H142" t="s">
        <v>438</v>
      </c>
      <c r="I142">
        <v>252.73988</v>
      </c>
    </row>
    <row r="143" spans="1:9" ht="71.25" customHeight="1">
      <c r="A143" s="1" t="str">
        <f>"Chemistry 635"</f>
        <v>Chemistry 635</v>
      </c>
      <c r="B143" t="s">
        <v>443</v>
      </c>
      <c r="C143" t="s">
        <v>3</v>
      </c>
      <c r="D143" s="2">
        <v>8800</v>
      </c>
      <c r="E143" s="2">
        <v>6160</v>
      </c>
      <c r="F143" t="s">
        <v>5</v>
      </c>
      <c r="G143" t="s">
        <v>444</v>
      </c>
      <c r="H143" t="s">
        <v>311</v>
      </c>
      <c r="I143">
        <v>272.34064999999998</v>
      </c>
    </row>
    <row r="144" spans="1:9" ht="52.2" customHeight="1">
      <c r="A144" s="1" t="str">
        <f>"Chemistry 636"</f>
        <v>Chemistry 636</v>
      </c>
      <c r="B144" t="s">
        <v>445</v>
      </c>
      <c r="C144" t="s">
        <v>128</v>
      </c>
      <c r="D144" s="2">
        <v>9700</v>
      </c>
      <c r="E144" s="2">
        <v>6790</v>
      </c>
      <c r="F144" t="s">
        <v>5</v>
      </c>
      <c r="G144" t="s">
        <v>446</v>
      </c>
      <c r="H144" t="s">
        <v>379</v>
      </c>
      <c r="I144">
        <v>208.68577999999999</v>
      </c>
    </row>
    <row r="145" spans="1:9" ht="58.35" customHeight="1">
      <c r="A145" s="1" t="str">
        <f>"Chemistry 641"</f>
        <v>Chemistry 641</v>
      </c>
      <c r="B145" t="s">
        <v>447</v>
      </c>
      <c r="C145" t="s">
        <v>128</v>
      </c>
      <c r="D145" s="2">
        <v>13200</v>
      </c>
      <c r="E145" s="2">
        <v>9240</v>
      </c>
      <c r="F145" t="s">
        <v>5</v>
      </c>
      <c r="G145" t="s">
        <v>448</v>
      </c>
      <c r="H145" t="s">
        <v>310</v>
      </c>
      <c r="I145">
        <v>192.68638000000001</v>
      </c>
    </row>
    <row r="146" spans="1:9" ht="61.8" customHeight="1">
      <c r="A146" s="1" t="str">
        <f>"Chemistry 644"</f>
        <v>Chemistry 644</v>
      </c>
      <c r="B146" t="s">
        <v>449</v>
      </c>
      <c r="C146" t="s">
        <v>128</v>
      </c>
      <c r="D146" s="2">
        <v>13200</v>
      </c>
      <c r="E146" s="2">
        <v>9240</v>
      </c>
      <c r="F146" t="s">
        <v>5</v>
      </c>
      <c r="G146" t="s">
        <v>450</v>
      </c>
      <c r="H146" t="s">
        <v>298</v>
      </c>
      <c r="I146">
        <v>206.71296000000001</v>
      </c>
    </row>
    <row r="147" spans="1:9" ht="61.8" customHeight="1">
      <c r="A147" s="1" t="str">
        <f>"Chemistry 645"</f>
        <v>Chemistry 645</v>
      </c>
      <c r="B147" t="s">
        <v>451</v>
      </c>
      <c r="C147" t="s">
        <v>128</v>
      </c>
      <c r="D147" s="2">
        <v>13200</v>
      </c>
      <c r="E147" s="2">
        <v>9240</v>
      </c>
      <c r="F147" t="s">
        <v>5</v>
      </c>
      <c r="G147" t="s">
        <v>452</v>
      </c>
      <c r="H147" t="s">
        <v>299</v>
      </c>
      <c r="I147">
        <v>220.73954000000001</v>
      </c>
    </row>
    <row r="148" spans="1:9" ht="80.849999999999994" customHeight="1">
      <c r="A148" s="1" t="str">
        <f>"Chemistry 648"</f>
        <v>Chemistry 648</v>
      </c>
      <c r="B148" t="s">
        <v>453</v>
      </c>
      <c r="C148" t="s">
        <v>128</v>
      </c>
      <c r="D148" s="2">
        <v>11400</v>
      </c>
      <c r="E148" s="2">
        <v>7979.9999999999991</v>
      </c>
      <c r="F148" t="s">
        <v>5</v>
      </c>
      <c r="G148" t="s">
        <v>454</v>
      </c>
      <c r="H148" t="s">
        <v>455</v>
      </c>
      <c r="I148">
        <v>334.81896</v>
      </c>
    </row>
    <row r="149" spans="1:9" ht="85.35" customHeight="1">
      <c r="A149" s="1" t="str">
        <f>"Chemistry 650"</f>
        <v>Chemistry 650</v>
      </c>
      <c r="B149" t="s">
        <v>456</v>
      </c>
      <c r="C149" t="s">
        <v>3</v>
      </c>
      <c r="D149" s="2">
        <v>8800</v>
      </c>
      <c r="E149" s="2">
        <v>6160</v>
      </c>
      <c r="F149" t="s">
        <v>5</v>
      </c>
      <c r="G149" t="s">
        <v>457</v>
      </c>
      <c r="H149" t="s">
        <v>382</v>
      </c>
      <c r="I149">
        <v>348.43662</v>
      </c>
    </row>
    <row r="150" spans="1:9" ht="44.25" customHeight="1">
      <c r="A150" s="1" t="str">
        <f>"Chemistry 652"</f>
        <v>Chemistry 652</v>
      </c>
      <c r="B150" t="s">
        <v>458</v>
      </c>
      <c r="C150" t="s">
        <v>270</v>
      </c>
      <c r="D150" s="2">
        <v>9700</v>
      </c>
      <c r="E150" s="2">
        <v>6790</v>
      </c>
      <c r="F150" t="s">
        <v>5</v>
      </c>
      <c r="G150" t="s">
        <v>459</v>
      </c>
      <c r="H150" t="s">
        <v>347</v>
      </c>
      <c r="I150">
        <v>215.16380000000001</v>
      </c>
    </row>
    <row r="151" spans="1:9" ht="71.849999999999994" customHeight="1">
      <c r="A151" s="1" t="str">
        <f>"Chemistry 653"</f>
        <v>Chemistry 653</v>
      </c>
      <c r="B151" t="s">
        <v>460</v>
      </c>
      <c r="C151" t="s">
        <v>3</v>
      </c>
      <c r="D151" s="2">
        <v>8800</v>
      </c>
      <c r="E151" s="2">
        <v>6160</v>
      </c>
      <c r="F151" t="s">
        <v>5</v>
      </c>
      <c r="G151" t="s">
        <v>461</v>
      </c>
      <c r="H151" t="s">
        <v>294</v>
      </c>
      <c r="I151">
        <v>270.41090000000003</v>
      </c>
    </row>
    <row r="152" spans="1:9" ht="44.25" customHeight="1">
      <c r="A152" s="1" t="str">
        <f>"Chemistry 654"</f>
        <v>Chemistry 654</v>
      </c>
      <c r="B152" t="s">
        <v>462</v>
      </c>
      <c r="C152" t="s">
        <v>270</v>
      </c>
      <c r="D152" s="2">
        <v>9700</v>
      </c>
      <c r="E152" s="2">
        <v>6790</v>
      </c>
      <c r="F152" t="s">
        <v>5</v>
      </c>
      <c r="G152" t="s">
        <v>463</v>
      </c>
      <c r="H152" t="s">
        <v>323</v>
      </c>
      <c r="I152">
        <v>243.21696</v>
      </c>
    </row>
    <row r="153" spans="1:9" ht="71.849999999999994" customHeight="1">
      <c r="A153" s="1" t="str">
        <f>"Chemistry 655"</f>
        <v>Chemistry 655</v>
      </c>
      <c r="B153" t="s">
        <v>464</v>
      </c>
      <c r="C153" t="s">
        <v>3</v>
      </c>
      <c r="D153" s="2">
        <v>8800</v>
      </c>
      <c r="E153" s="2">
        <v>6160</v>
      </c>
      <c r="F153" t="s">
        <v>5</v>
      </c>
      <c r="G153" t="s">
        <v>465</v>
      </c>
      <c r="H153" t="s">
        <v>257</v>
      </c>
      <c r="I153">
        <v>268.39501999999999</v>
      </c>
    </row>
    <row r="154" spans="1:9" ht="44.25" customHeight="1">
      <c r="A154" s="1" t="str">
        <f>"Chemistry 656"</f>
        <v>Chemistry 656</v>
      </c>
      <c r="B154" t="s">
        <v>466</v>
      </c>
      <c r="C154" t="s">
        <v>270</v>
      </c>
      <c r="D154" s="2">
        <v>9700</v>
      </c>
      <c r="E154" s="2">
        <v>6790</v>
      </c>
      <c r="F154" t="s">
        <v>5</v>
      </c>
      <c r="G154" t="s">
        <v>467</v>
      </c>
      <c r="H154" t="s">
        <v>468</v>
      </c>
      <c r="I154">
        <v>241.20107999999999</v>
      </c>
    </row>
    <row r="155" spans="1:9" ht="71.849999999999994" customHeight="1">
      <c r="A155" s="1" t="str">
        <f>"Chemistry 657"</f>
        <v>Chemistry 657</v>
      </c>
      <c r="B155" t="s">
        <v>469</v>
      </c>
      <c r="C155" t="s">
        <v>3</v>
      </c>
      <c r="D155" s="2">
        <v>8800</v>
      </c>
      <c r="E155" s="2">
        <v>6160</v>
      </c>
      <c r="F155" t="s">
        <v>5</v>
      </c>
      <c r="G155" t="s">
        <v>470</v>
      </c>
      <c r="H155" t="s">
        <v>261</v>
      </c>
      <c r="I155">
        <v>282.42160000000001</v>
      </c>
    </row>
    <row r="156" spans="1:9" ht="44.25" customHeight="1">
      <c r="A156" s="1" t="str">
        <f>"Chemistry 658"</f>
        <v>Chemistry 658</v>
      </c>
      <c r="B156" t="s">
        <v>471</v>
      </c>
      <c r="C156" t="s">
        <v>270</v>
      </c>
      <c r="D156" s="2">
        <v>9700</v>
      </c>
      <c r="E156" s="2">
        <v>6790</v>
      </c>
      <c r="F156" t="s">
        <v>5</v>
      </c>
      <c r="G156" t="s">
        <v>472</v>
      </c>
      <c r="H156" t="s">
        <v>473</v>
      </c>
      <c r="I156">
        <v>255.22765999999999</v>
      </c>
    </row>
    <row r="157" spans="1:9" ht="54.45" customHeight="1">
      <c r="A157" s="1" t="str">
        <f>"Chemistry 659"</f>
        <v>Chemistry 659</v>
      </c>
      <c r="B157" t="s">
        <v>474</v>
      </c>
      <c r="C157" t="s">
        <v>3</v>
      </c>
      <c r="D157" s="2">
        <v>8800</v>
      </c>
      <c r="E157" s="2">
        <v>6160</v>
      </c>
      <c r="F157" t="s">
        <v>5</v>
      </c>
      <c r="G157" t="s">
        <v>475</v>
      </c>
      <c r="H157" t="s">
        <v>255</v>
      </c>
      <c r="I157">
        <v>256.38432</v>
      </c>
    </row>
    <row r="158" spans="1:9" ht="52.2" customHeight="1">
      <c r="A158" s="1" t="str">
        <f>"Chemistry 660"</f>
        <v>Chemistry 660</v>
      </c>
      <c r="B158" t="s">
        <v>476</v>
      </c>
      <c r="C158" t="s">
        <v>270</v>
      </c>
      <c r="D158" s="2">
        <v>9700</v>
      </c>
      <c r="E158" s="2">
        <v>6790</v>
      </c>
      <c r="F158" t="s">
        <v>5</v>
      </c>
      <c r="G158" t="s">
        <v>477</v>
      </c>
      <c r="H158" t="s">
        <v>300</v>
      </c>
      <c r="I158">
        <v>229.19038</v>
      </c>
    </row>
    <row r="159" spans="1:9" ht="54.45" customHeight="1">
      <c r="A159" s="1" t="str">
        <f>"Chemistry 661"</f>
        <v>Chemistry 661</v>
      </c>
      <c r="B159" t="s">
        <v>478</v>
      </c>
      <c r="C159" t="s">
        <v>3</v>
      </c>
      <c r="D159" s="2">
        <v>8800</v>
      </c>
      <c r="E159" s="2">
        <v>6160</v>
      </c>
      <c r="F159" t="s">
        <v>5</v>
      </c>
      <c r="G159" t="s">
        <v>479</v>
      </c>
      <c r="H159" t="s">
        <v>256</v>
      </c>
      <c r="I159">
        <v>254.36843999999999</v>
      </c>
    </row>
    <row r="160" spans="1:9" ht="52.2" customHeight="1">
      <c r="A160" s="1" t="str">
        <f>"Chemistry 662"</f>
        <v>Chemistry 662</v>
      </c>
      <c r="B160" t="s">
        <v>480</v>
      </c>
      <c r="C160" t="s">
        <v>270</v>
      </c>
      <c r="D160" s="2">
        <v>9700</v>
      </c>
      <c r="E160" s="2">
        <v>6790</v>
      </c>
      <c r="F160" t="s">
        <v>5</v>
      </c>
      <c r="G160" t="s">
        <v>481</v>
      </c>
      <c r="H160" t="s">
        <v>482</v>
      </c>
      <c r="I160">
        <v>227.17449999999999</v>
      </c>
    </row>
    <row r="161" spans="1:9" ht="54.45" customHeight="1">
      <c r="A161" s="1" t="str">
        <f>"Chemistry 663"</f>
        <v>Chemistry 663</v>
      </c>
      <c r="B161" t="s">
        <v>483</v>
      </c>
      <c r="C161" t="s">
        <v>3</v>
      </c>
      <c r="D161" s="2">
        <v>8800</v>
      </c>
      <c r="E161" s="2">
        <v>6160</v>
      </c>
      <c r="F161" t="s">
        <v>5</v>
      </c>
      <c r="G161" t="s">
        <v>484</v>
      </c>
      <c r="H161" t="s">
        <v>257</v>
      </c>
      <c r="I161">
        <v>268.39501999999999</v>
      </c>
    </row>
    <row r="162" spans="1:9" ht="52.2" customHeight="1">
      <c r="A162" s="1" t="str">
        <f>"Chemistry 664"</f>
        <v>Chemistry 664</v>
      </c>
      <c r="B162" t="s">
        <v>485</v>
      </c>
      <c r="C162" t="s">
        <v>270</v>
      </c>
      <c r="D162" s="2">
        <v>9700</v>
      </c>
      <c r="E162" s="2">
        <v>6790</v>
      </c>
      <c r="F162" t="s">
        <v>5</v>
      </c>
      <c r="G162" t="s">
        <v>486</v>
      </c>
      <c r="H162" t="s">
        <v>468</v>
      </c>
      <c r="I162">
        <v>241.20107999999999</v>
      </c>
    </row>
    <row r="163" spans="1:9" ht="54.45" customHeight="1">
      <c r="A163" s="1" t="str">
        <f>"Chemistry 665"</f>
        <v>Chemistry 665</v>
      </c>
      <c r="B163" t="s">
        <v>487</v>
      </c>
      <c r="C163" t="s">
        <v>3</v>
      </c>
      <c r="D163" s="2">
        <v>8800</v>
      </c>
      <c r="E163" s="2">
        <v>6160</v>
      </c>
      <c r="F163" t="s">
        <v>5</v>
      </c>
      <c r="G163" t="s">
        <v>488</v>
      </c>
      <c r="H163" t="s">
        <v>261</v>
      </c>
      <c r="I163">
        <v>282.42160000000001</v>
      </c>
    </row>
    <row r="164" spans="1:9" ht="52.2" customHeight="1">
      <c r="A164" s="1" t="str">
        <f>"Chemistry 666"</f>
        <v>Chemistry 666</v>
      </c>
      <c r="B164" t="s">
        <v>489</v>
      </c>
      <c r="C164" t="s">
        <v>270</v>
      </c>
      <c r="D164" s="2">
        <v>9700</v>
      </c>
      <c r="E164" s="2">
        <v>6790</v>
      </c>
      <c r="F164" t="s">
        <v>5</v>
      </c>
      <c r="G164" t="s">
        <v>490</v>
      </c>
      <c r="H164" t="s">
        <v>473</v>
      </c>
      <c r="I164">
        <v>255.22765999999999</v>
      </c>
    </row>
    <row r="165" spans="1:9" ht="54.45" customHeight="1">
      <c r="A165" s="1" t="str">
        <f>"Chemistry 667"</f>
        <v>Chemistry 667</v>
      </c>
      <c r="B165" t="s">
        <v>491</v>
      </c>
      <c r="C165" t="s">
        <v>3</v>
      </c>
      <c r="D165" s="2">
        <v>8800</v>
      </c>
      <c r="E165" s="2">
        <v>6160</v>
      </c>
      <c r="F165" t="s">
        <v>5</v>
      </c>
      <c r="G165" t="s">
        <v>492</v>
      </c>
      <c r="H165" t="s">
        <v>493</v>
      </c>
      <c r="I165">
        <v>296.44817</v>
      </c>
    </row>
    <row r="166" spans="1:9" ht="52.2" customHeight="1">
      <c r="A166" s="1" t="str">
        <f>"Chemistry 668"</f>
        <v>Chemistry 668</v>
      </c>
      <c r="B166" t="s">
        <v>494</v>
      </c>
      <c r="C166" t="s">
        <v>270</v>
      </c>
      <c r="D166" s="2">
        <v>9700</v>
      </c>
      <c r="E166" s="2">
        <v>6790</v>
      </c>
      <c r="F166" t="s">
        <v>5</v>
      </c>
      <c r="G166" t="s">
        <v>495</v>
      </c>
      <c r="H166" t="s">
        <v>496</v>
      </c>
      <c r="I166">
        <v>269.25423999999998</v>
      </c>
    </row>
    <row r="167" spans="1:9" ht="52.2" customHeight="1">
      <c r="A167" s="1" t="str">
        <f>"Chemistry 670"</f>
        <v>Chemistry 670</v>
      </c>
      <c r="B167" t="s">
        <v>497</v>
      </c>
      <c r="C167" t="s">
        <v>498</v>
      </c>
      <c r="D167" s="2">
        <v>9700</v>
      </c>
      <c r="E167" s="2">
        <v>6790</v>
      </c>
      <c r="F167" t="s">
        <v>5</v>
      </c>
      <c r="G167" t="s">
        <v>499</v>
      </c>
      <c r="H167" t="s">
        <v>500</v>
      </c>
      <c r="I167">
        <v>300.65559999999999</v>
      </c>
    </row>
    <row r="168" spans="1:9" ht="73.5" customHeight="1">
      <c r="A168" s="1" t="str">
        <f>"Chemistry 671"</f>
        <v>Chemistry 671</v>
      </c>
      <c r="B168" t="s">
        <v>501</v>
      </c>
      <c r="C168" t="s">
        <v>3</v>
      </c>
      <c r="D168" s="2">
        <v>8800</v>
      </c>
      <c r="E168" s="2">
        <v>6160</v>
      </c>
      <c r="F168" t="s">
        <v>5</v>
      </c>
      <c r="G168" t="s">
        <v>502</v>
      </c>
      <c r="H168" t="s">
        <v>503</v>
      </c>
      <c r="I168">
        <v>308.39100000000002</v>
      </c>
    </row>
    <row r="169" spans="1:9" ht="67.95" customHeight="1">
      <c r="A169" s="1" t="str">
        <f>"Chemistry 673"</f>
        <v>Chemistry 673</v>
      </c>
      <c r="B169" t="s">
        <v>505</v>
      </c>
      <c r="C169" t="s">
        <v>3</v>
      </c>
      <c r="D169" s="2">
        <v>8800</v>
      </c>
      <c r="E169" s="2">
        <v>6160</v>
      </c>
      <c r="F169" t="s">
        <v>5</v>
      </c>
      <c r="G169" t="s">
        <v>506</v>
      </c>
      <c r="H169" t="s">
        <v>503</v>
      </c>
      <c r="I169">
        <v>308.39100000000002</v>
      </c>
    </row>
    <row r="170" spans="1:9" ht="54.45" customHeight="1">
      <c r="A170" s="1" t="str">
        <f>"Chemistry 675"</f>
        <v>Chemistry 675</v>
      </c>
      <c r="B170" t="s">
        <v>507</v>
      </c>
      <c r="C170" t="s">
        <v>3</v>
      </c>
      <c r="D170" s="2">
        <v>8800</v>
      </c>
      <c r="E170" s="2">
        <v>6160</v>
      </c>
      <c r="F170" t="s">
        <v>5</v>
      </c>
      <c r="G170" t="s">
        <v>508</v>
      </c>
      <c r="H170" t="s">
        <v>503</v>
      </c>
      <c r="I170">
        <v>308.39100000000002</v>
      </c>
    </row>
    <row r="171" spans="1:9" ht="52.2" customHeight="1">
      <c r="A171" s="1" t="str">
        <f>"Chemistry 681"</f>
        <v>Chemistry 681</v>
      </c>
      <c r="B171" t="s">
        <v>509</v>
      </c>
      <c r="C171" t="s">
        <v>270</v>
      </c>
      <c r="D171" s="2">
        <v>9700</v>
      </c>
      <c r="E171" s="2">
        <v>6790</v>
      </c>
      <c r="F171" t="s">
        <v>5</v>
      </c>
      <c r="G171" t="s">
        <v>510</v>
      </c>
      <c r="H171" t="s">
        <v>324</v>
      </c>
      <c r="I171">
        <v>342.10266000000001</v>
      </c>
    </row>
    <row r="172" spans="1:9" ht="72.45" customHeight="1">
      <c r="A172" s="1" t="str">
        <f>"Chemistry 682"</f>
        <v>Chemistry 682</v>
      </c>
      <c r="B172" t="s">
        <v>511</v>
      </c>
      <c r="C172" t="s">
        <v>128</v>
      </c>
      <c r="D172" s="2">
        <v>15800</v>
      </c>
      <c r="E172" s="2">
        <v>11060</v>
      </c>
      <c r="F172" t="s">
        <v>5</v>
      </c>
      <c r="G172" t="s">
        <v>512</v>
      </c>
      <c r="H172" t="s">
        <v>513</v>
      </c>
      <c r="I172">
        <v>254.77735999999999</v>
      </c>
    </row>
    <row r="173" spans="1:9" ht="67.95" customHeight="1">
      <c r="A173" s="1" t="str">
        <f>"Chemistry 691"</f>
        <v>Chemistry 691</v>
      </c>
      <c r="B173" t="s">
        <v>514</v>
      </c>
      <c r="C173" t="s">
        <v>270</v>
      </c>
      <c r="D173" s="2">
        <v>9700</v>
      </c>
      <c r="E173" s="2">
        <v>6790</v>
      </c>
      <c r="F173" t="s">
        <v>5</v>
      </c>
      <c r="G173" t="s">
        <v>515</v>
      </c>
      <c r="H173" t="s">
        <v>325</v>
      </c>
      <c r="I173">
        <v>293.23257999999998</v>
      </c>
    </row>
    <row r="174" spans="1:9" ht="63.45" customHeight="1">
      <c r="A174" s="1" t="str">
        <f>"Chemistry 697"</f>
        <v>Chemistry 697</v>
      </c>
      <c r="B174" t="s">
        <v>516</v>
      </c>
      <c r="C174" t="s">
        <v>3</v>
      </c>
      <c r="D174" s="2">
        <v>9700</v>
      </c>
      <c r="E174" s="2">
        <v>6790</v>
      </c>
      <c r="F174" t="s">
        <v>5</v>
      </c>
      <c r="G174" t="s">
        <v>517</v>
      </c>
      <c r="H174" t="s">
        <v>518</v>
      </c>
      <c r="I174">
        <v>198.30517</v>
      </c>
    </row>
    <row r="175" spans="1:9" ht="61.8" customHeight="1">
      <c r="A175" s="1" t="str">
        <f>"Chemistry 699"</f>
        <v>Chemistry 699</v>
      </c>
      <c r="B175" t="s">
        <v>519</v>
      </c>
      <c r="C175" t="s">
        <v>128</v>
      </c>
      <c r="D175" s="2">
        <v>9700</v>
      </c>
      <c r="E175" s="2">
        <v>6790</v>
      </c>
      <c r="F175" t="s">
        <v>5</v>
      </c>
      <c r="G175" t="s">
        <v>520</v>
      </c>
      <c r="H175" t="s">
        <v>379</v>
      </c>
      <c r="I175">
        <v>208.68577999999999</v>
      </c>
    </row>
    <row r="176" spans="1:9" ht="71.25" customHeight="1">
      <c r="A176" s="1" t="str">
        <f>"Chemistry 701"</f>
        <v>Chemistry 701</v>
      </c>
      <c r="B176" t="s">
        <v>521</v>
      </c>
      <c r="C176" t="s">
        <v>128</v>
      </c>
      <c r="D176" s="2">
        <v>9700</v>
      </c>
      <c r="E176" s="2">
        <v>6790</v>
      </c>
      <c r="F176" t="s">
        <v>5</v>
      </c>
      <c r="G176" t="s">
        <v>522</v>
      </c>
      <c r="H176" t="s">
        <v>305</v>
      </c>
      <c r="I176">
        <v>246.77681999999999</v>
      </c>
    </row>
    <row r="177" spans="1:9" ht="73.5" customHeight="1">
      <c r="A177" s="1" t="str">
        <f>"Chemistry 707"</f>
        <v>Chemistry 707</v>
      </c>
      <c r="B177" t="s">
        <v>523</v>
      </c>
      <c r="C177" t="s">
        <v>3</v>
      </c>
      <c r="D177" s="2">
        <v>8800</v>
      </c>
      <c r="E177" s="2">
        <v>6160</v>
      </c>
      <c r="F177" t="s">
        <v>5</v>
      </c>
      <c r="G177" t="s">
        <v>524</v>
      </c>
      <c r="H177" t="s">
        <v>293</v>
      </c>
      <c r="I177">
        <v>322.37452000000002</v>
      </c>
    </row>
    <row r="178" spans="1:9" ht="87" customHeight="1">
      <c r="A178" s="1" t="str">
        <f>"Chemistry 709"</f>
        <v>Chemistry 709</v>
      </c>
      <c r="B178" t="s">
        <v>525</v>
      </c>
      <c r="C178" t="s">
        <v>3</v>
      </c>
      <c r="D178" s="2">
        <v>8800</v>
      </c>
      <c r="E178" s="2">
        <v>6160</v>
      </c>
      <c r="F178" t="s">
        <v>5</v>
      </c>
      <c r="G178" t="s">
        <v>526</v>
      </c>
      <c r="H178" t="s">
        <v>293</v>
      </c>
      <c r="I178">
        <v>322.37452000000002</v>
      </c>
    </row>
    <row r="179" spans="1:9" ht="73.5" customHeight="1">
      <c r="A179" s="1" t="str">
        <f>"Chemistry 711"</f>
        <v>Chemistry 711</v>
      </c>
      <c r="B179" t="s">
        <v>527</v>
      </c>
      <c r="C179" t="s">
        <v>3</v>
      </c>
      <c r="D179" s="2">
        <v>8800</v>
      </c>
      <c r="E179" s="2">
        <v>6160</v>
      </c>
      <c r="F179" t="s">
        <v>5</v>
      </c>
      <c r="G179" t="s">
        <v>528</v>
      </c>
      <c r="H179" t="s">
        <v>293</v>
      </c>
      <c r="I179">
        <v>322.37452000000002</v>
      </c>
    </row>
    <row r="180" spans="1:9" ht="71.25" customHeight="1">
      <c r="A180" s="1" t="str">
        <f>"Chemistry 712"</f>
        <v>Chemistry 712</v>
      </c>
      <c r="B180" t="s">
        <v>529</v>
      </c>
      <c r="C180" t="s">
        <v>128</v>
      </c>
      <c r="D180" s="2">
        <v>9700</v>
      </c>
      <c r="E180" s="2">
        <v>6790</v>
      </c>
      <c r="F180" t="s">
        <v>5</v>
      </c>
      <c r="G180" t="s">
        <v>530</v>
      </c>
      <c r="H180" t="s">
        <v>301</v>
      </c>
      <c r="I180">
        <v>258.71964000000003</v>
      </c>
    </row>
    <row r="181" spans="1:9" ht="71.25" customHeight="1">
      <c r="A181" s="1" t="str">
        <f>"Chemistry 717"</f>
        <v>Chemistry 717</v>
      </c>
      <c r="B181" t="s">
        <v>531</v>
      </c>
      <c r="C181" t="s">
        <v>3</v>
      </c>
      <c r="D181" s="2">
        <v>10500</v>
      </c>
      <c r="E181" s="2">
        <v>7349.9999999999991</v>
      </c>
      <c r="F181" t="s">
        <v>5</v>
      </c>
      <c r="G181" t="s">
        <v>532</v>
      </c>
      <c r="H181" t="s">
        <v>334</v>
      </c>
      <c r="I181">
        <v>292.39496000000003</v>
      </c>
    </row>
    <row r="182" spans="1:9" ht="55.5" customHeight="1">
      <c r="A182" s="1" t="str">
        <f>"Chemistry 718"</f>
        <v>Chemistry 718</v>
      </c>
      <c r="B182" t="s">
        <v>533</v>
      </c>
      <c r="C182" t="s">
        <v>128</v>
      </c>
      <c r="D182" s="2">
        <v>11400</v>
      </c>
      <c r="E182" s="2">
        <v>7979.9999999999991</v>
      </c>
      <c r="F182" t="s">
        <v>5</v>
      </c>
      <c r="G182" t="s">
        <v>534</v>
      </c>
      <c r="H182" t="s">
        <v>335</v>
      </c>
      <c r="I182">
        <v>228.74008000000001</v>
      </c>
    </row>
    <row r="183" spans="1:9" ht="77.55" customHeight="1">
      <c r="A183" s="1" t="str">
        <f>"Chemistry 719"</f>
        <v>Chemistry 719</v>
      </c>
      <c r="B183" t="s">
        <v>535</v>
      </c>
      <c r="C183" t="s">
        <v>3</v>
      </c>
      <c r="D183" s="2">
        <v>10500</v>
      </c>
      <c r="E183" s="2">
        <v>7349.9999999999991</v>
      </c>
      <c r="F183" t="s">
        <v>5</v>
      </c>
      <c r="G183" t="s">
        <v>536</v>
      </c>
      <c r="H183" t="s">
        <v>441</v>
      </c>
      <c r="I183">
        <v>306.42153999999999</v>
      </c>
    </row>
    <row r="184" spans="1:9" ht="55.5" customHeight="1">
      <c r="A184" s="1" t="str">
        <f>"Chemistry 720"</f>
        <v>Chemistry 720</v>
      </c>
      <c r="B184" t="s">
        <v>537</v>
      </c>
      <c r="C184" t="s">
        <v>128</v>
      </c>
      <c r="D184" s="2">
        <v>11400</v>
      </c>
      <c r="E184" s="2">
        <v>7979.9999999999991</v>
      </c>
      <c r="F184" t="s">
        <v>5</v>
      </c>
      <c r="G184" t="s">
        <v>538</v>
      </c>
      <c r="H184" t="s">
        <v>442</v>
      </c>
      <c r="I184">
        <v>242.76666</v>
      </c>
    </row>
    <row r="185" spans="1:9" ht="57.75" customHeight="1">
      <c r="A185" s="1" t="str">
        <f>"Chemistry 721"</f>
        <v>Chemistry 721</v>
      </c>
      <c r="B185" t="s">
        <v>539</v>
      </c>
      <c r="C185" t="s">
        <v>3</v>
      </c>
      <c r="D185" s="2">
        <v>7000</v>
      </c>
      <c r="E185" s="2">
        <v>4900</v>
      </c>
      <c r="F185" t="s">
        <v>5</v>
      </c>
      <c r="G185" t="s">
        <v>540</v>
      </c>
      <c r="H185" t="s">
        <v>385</v>
      </c>
      <c r="I185">
        <v>286.36723000000001</v>
      </c>
    </row>
    <row r="186" spans="1:9" ht="61.8" customHeight="1">
      <c r="A186" s="1" t="str">
        <f>"Chemistry 725"</f>
        <v>Chemistry 725</v>
      </c>
      <c r="B186" t="s">
        <v>541</v>
      </c>
      <c r="C186" t="s">
        <v>128</v>
      </c>
      <c r="D186" s="2">
        <v>14900</v>
      </c>
      <c r="E186" s="2">
        <v>10430</v>
      </c>
      <c r="F186" t="s">
        <v>5</v>
      </c>
      <c r="G186" t="s">
        <v>542</v>
      </c>
      <c r="H186" t="s">
        <v>328</v>
      </c>
      <c r="I186">
        <v>218.72366</v>
      </c>
    </row>
    <row r="187" spans="1:9" ht="80.849999999999994" customHeight="1">
      <c r="A187" s="1" t="str">
        <f>"Chemistry 728"</f>
        <v>Chemistry 728</v>
      </c>
      <c r="B187" t="s">
        <v>543</v>
      </c>
      <c r="C187" t="s">
        <v>128</v>
      </c>
      <c r="D187" s="2">
        <v>11400</v>
      </c>
      <c r="E187" s="2">
        <v>7979.9999999999991</v>
      </c>
      <c r="F187" t="s">
        <v>5</v>
      </c>
      <c r="G187" t="s">
        <v>544</v>
      </c>
      <c r="H187" t="s">
        <v>455</v>
      </c>
      <c r="I187">
        <v>334.81896</v>
      </c>
    </row>
    <row r="188" spans="1:9" ht="76.95" customHeight="1">
      <c r="A188" s="1" t="str">
        <f>"Chemistry 729"</f>
        <v>Chemistry 729</v>
      </c>
      <c r="B188" t="s">
        <v>545</v>
      </c>
      <c r="C188" t="s">
        <v>3</v>
      </c>
      <c r="D188" s="2">
        <v>10500</v>
      </c>
      <c r="E188" s="2">
        <v>7349.9999999999991</v>
      </c>
      <c r="F188" t="s">
        <v>5</v>
      </c>
      <c r="G188" t="s">
        <v>546</v>
      </c>
      <c r="H188" t="s">
        <v>425</v>
      </c>
      <c r="I188">
        <v>355.45240000000001</v>
      </c>
    </row>
    <row r="189" spans="1:9" ht="87" customHeight="1">
      <c r="A189" s="1" t="str">
        <f>"Chemistry 737"</f>
        <v>Chemistry 737</v>
      </c>
      <c r="B189" t="s">
        <v>547</v>
      </c>
      <c r="C189" t="s">
        <v>128</v>
      </c>
      <c r="D189" s="2">
        <v>9700</v>
      </c>
      <c r="E189" s="2">
        <v>6790</v>
      </c>
      <c r="F189" t="s">
        <v>5</v>
      </c>
      <c r="G189" t="s">
        <v>548</v>
      </c>
      <c r="H189" t="s">
        <v>319</v>
      </c>
      <c r="I189">
        <v>319.62524000000002</v>
      </c>
    </row>
    <row r="190" spans="1:9" ht="92.1" customHeight="1">
      <c r="A190" s="1" t="str">
        <f>"Chemistry 741"</f>
        <v>Chemistry 741</v>
      </c>
      <c r="B190" t="s">
        <v>549</v>
      </c>
      <c r="C190" t="s">
        <v>128</v>
      </c>
      <c r="D190" s="2">
        <v>9700</v>
      </c>
      <c r="E190" s="2">
        <v>6790</v>
      </c>
      <c r="F190" t="s">
        <v>5</v>
      </c>
      <c r="G190" t="s">
        <v>550</v>
      </c>
      <c r="H190" t="s">
        <v>304</v>
      </c>
      <c r="I190">
        <v>270.75515999999999</v>
      </c>
    </row>
    <row r="191" spans="1:9" ht="75.3" customHeight="1">
      <c r="A191" s="1" t="str">
        <f>"Chemistry 743"</f>
        <v>Chemistry 743</v>
      </c>
      <c r="B191" t="s">
        <v>551</v>
      </c>
      <c r="C191" t="s">
        <v>128</v>
      </c>
      <c r="D191" s="2">
        <v>9700</v>
      </c>
      <c r="E191" s="2">
        <v>6790</v>
      </c>
      <c r="F191" t="s">
        <v>5</v>
      </c>
      <c r="G191" t="s">
        <v>552</v>
      </c>
      <c r="H191" t="s">
        <v>295</v>
      </c>
      <c r="I191">
        <v>285.72674000000001</v>
      </c>
    </row>
    <row r="192" spans="1:9" ht="71.25" customHeight="1">
      <c r="A192" s="1" t="str">
        <f>"Chemistry 745"</f>
        <v>Chemistry 745</v>
      </c>
      <c r="B192" t="s">
        <v>553</v>
      </c>
      <c r="C192" t="s">
        <v>128</v>
      </c>
      <c r="D192" s="2">
        <v>9700</v>
      </c>
      <c r="E192" s="2">
        <v>6790</v>
      </c>
      <c r="F192" t="s">
        <v>5</v>
      </c>
      <c r="G192" t="s">
        <v>554</v>
      </c>
      <c r="H192" t="s">
        <v>295</v>
      </c>
      <c r="I192">
        <v>285.72674000000001</v>
      </c>
    </row>
    <row r="193" spans="1:9" ht="106.2" customHeight="1">
      <c r="A193" s="1" t="str">
        <f>"Chemistry 749"</f>
        <v>Chemistry 749</v>
      </c>
      <c r="B193" t="s">
        <v>555</v>
      </c>
      <c r="C193" t="s">
        <v>128</v>
      </c>
      <c r="D193" s="2">
        <v>10500</v>
      </c>
      <c r="E193" s="2">
        <v>7349.9999999999991</v>
      </c>
      <c r="F193" t="s">
        <v>5</v>
      </c>
      <c r="G193" t="s">
        <v>556</v>
      </c>
      <c r="H193" t="s">
        <v>440</v>
      </c>
      <c r="I193">
        <v>298.76526000000001</v>
      </c>
    </row>
    <row r="194" spans="1:9" ht="67.95" customHeight="1">
      <c r="A194" s="1" t="str">
        <f>"Chemistry 750"</f>
        <v>Chemistry 750</v>
      </c>
      <c r="B194" t="s">
        <v>557</v>
      </c>
      <c r="C194" t="s">
        <v>3</v>
      </c>
      <c r="D194" s="2">
        <v>8800</v>
      </c>
      <c r="E194" s="2">
        <v>6160</v>
      </c>
      <c r="F194" t="s">
        <v>5</v>
      </c>
      <c r="G194" t="s">
        <v>558</v>
      </c>
      <c r="H194" t="s">
        <v>312</v>
      </c>
      <c r="I194">
        <v>298.42099999999999</v>
      </c>
    </row>
    <row r="195" spans="1:9" ht="61.8" customHeight="1">
      <c r="A195" s="1" t="str">
        <f>"Chemistry 751"</f>
        <v>Chemistry 751</v>
      </c>
      <c r="B195" t="s">
        <v>559</v>
      </c>
      <c r="C195" t="s">
        <v>270</v>
      </c>
      <c r="D195" s="2">
        <v>9700</v>
      </c>
      <c r="E195" s="2">
        <v>6790</v>
      </c>
      <c r="F195" t="s">
        <v>5</v>
      </c>
      <c r="G195" t="s">
        <v>560</v>
      </c>
      <c r="H195" t="s">
        <v>561</v>
      </c>
      <c r="I195">
        <v>271.22705999999999</v>
      </c>
    </row>
    <row r="196" spans="1:9" ht="61.8" customHeight="1">
      <c r="A196" s="1" t="str">
        <f>"Chemistry 753"</f>
        <v>Chemistry 753</v>
      </c>
      <c r="B196" t="s">
        <v>562</v>
      </c>
      <c r="C196" t="s">
        <v>128</v>
      </c>
      <c r="D196" s="2">
        <v>11400</v>
      </c>
      <c r="E196" s="2">
        <v>7979.9999999999991</v>
      </c>
      <c r="F196" t="s">
        <v>5</v>
      </c>
      <c r="G196" t="s">
        <v>563</v>
      </c>
      <c r="H196" t="s">
        <v>356</v>
      </c>
      <c r="I196">
        <v>207.70102</v>
      </c>
    </row>
    <row r="197" spans="1:9" ht="61.8" customHeight="1">
      <c r="A197" s="1" t="str">
        <f>"Chemistry 754"</f>
        <v>Chemistry 754</v>
      </c>
      <c r="B197" t="s">
        <v>564</v>
      </c>
      <c r="C197" t="s">
        <v>128</v>
      </c>
      <c r="D197" s="2">
        <v>11400</v>
      </c>
      <c r="E197" s="2">
        <v>7979.9999999999991</v>
      </c>
      <c r="F197" t="s">
        <v>5</v>
      </c>
      <c r="G197" t="s">
        <v>565</v>
      </c>
      <c r="H197" t="s">
        <v>359</v>
      </c>
      <c r="I197">
        <v>221.7276</v>
      </c>
    </row>
    <row r="198" spans="1:9" ht="73.5" customHeight="1">
      <c r="A198" s="1" t="str">
        <f>"Chemistry 756"</f>
        <v>Chemistry 756</v>
      </c>
      <c r="B198" t="s">
        <v>566</v>
      </c>
      <c r="C198" t="s">
        <v>3</v>
      </c>
      <c r="D198" s="2">
        <v>10500</v>
      </c>
      <c r="E198" s="2">
        <v>7349.9999999999991</v>
      </c>
      <c r="F198" t="s">
        <v>5</v>
      </c>
      <c r="G198" t="s">
        <v>567</v>
      </c>
      <c r="H198" t="s">
        <v>568</v>
      </c>
      <c r="I198">
        <v>326.38146</v>
      </c>
    </row>
    <row r="199" spans="1:9" ht="73.5" customHeight="1">
      <c r="A199" s="1" t="str">
        <f>"Chemistry 758"</f>
        <v>Chemistry 758</v>
      </c>
      <c r="B199" t="s">
        <v>570</v>
      </c>
      <c r="C199" t="s">
        <v>3</v>
      </c>
      <c r="D199" s="2">
        <v>10500</v>
      </c>
      <c r="E199" s="2">
        <v>7349.9999999999991</v>
      </c>
      <c r="F199" t="s">
        <v>5</v>
      </c>
      <c r="G199" t="s">
        <v>571</v>
      </c>
      <c r="H199" t="s">
        <v>572</v>
      </c>
      <c r="I199">
        <v>342.83605999999997</v>
      </c>
    </row>
    <row r="200" spans="1:9" ht="73.5" customHeight="1">
      <c r="A200" s="1" t="str">
        <f>"Chemistry 760"</f>
        <v>Chemistry 760</v>
      </c>
      <c r="B200" t="s">
        <v>574</v>
      </c>
      <c r="C200" t="s">
        <v>3</v>
      </c>
      <c r="D200" s="2">
        <v>10500</v>
      </c>
      <c r="E200" s="2">
        <v>7349.9999999999991</v>
      </c>
      <c r="F200" t="s">
        <v>5</v>
      </c>
      <c r="G200" t="s">
        <v>575</v>
      </c>
      <c r="H200" t="s">
        <v>572</v>
      </c>
      <c r="I200">
        <v>342.83605999999997</v>
      </c>
    </row>
    <row r="201" spans="1:9" ht="67.95" customHeight="1">
      <c r="A201" s="1" t="str">
        <f>"Chemistry 763"</f>
        <v>Chemistry 763</v>
      </c>
      <c r="B201" t="s">
        <v>577</v>
      </c>
      <c r="C201" t="s">
        <v>270</v>
      </c>
      <c r="D201" s="2">
        <v>11400</v>
      </c>
      <c r="E201" s="2">
        <v>7979.9999999999991</v>
      </c>
      <c r="F201" t="s">
        <v>5</v>
      </c>
      <c r="G201" t="s">
        <v>578</v>
      </c>
      <c r="H201" t="s">
        <v>579</v>
      </c>
      <c r="I201">
        <v>295.22363999999999</v>
      </c>
    </row>
    <row r="202" spans="1:9" ht="57.75" customHeight="1">
      <c r="A202" s="1" t="str">
        <f>"Chemistry 764"</f>
        <v>Chemistry 764</v>
      </c>
      <c r="B202" t="s">
        <v>580</v>
      </c>
      <c r="C202" t="s">
        <v>3</v>
      </c>
      <c r="D202" s="2">
        <v>10500</v>
      </c>
      <c r="E202" s="2">
        <v>7349.9999999999991</v>
      </c>
      <c r="F202" t="s">
        <v>5</v>
      </c>
      <c r="G202" t="s">
        <v>581</v>
      </c>
      <c r="H202" t="s">
        <v>568</v>
      </c>
      <c r="I202">
        <v>326.38146</v>
      </c>
    </row>
    <row r="203" spans="1:9" ht="57.75" customHeight="1">
      <c r="A203" s="1" t="str">
        <f>"Chemistry 766"</f>
        <v>Chemistry 766</v>
      </c>
      <c r="B203" t="s">
        <v>582</v>
      </c>
      <c r="C203" t="s">
        <v>3</v>
      </c>
      <c r="D203" s="2">
        <v>10500</v>
      </c>
      <c r="E203" s="2">
        <v>7349.9999999999991</v>
      </c>
      <c r="F203" t="s">
        <v>5</v>
      </c>
      <c r="G203" t="s">
        <v>583</v>
      </c>
      <c r="H203" t="s">
        <v>572</v>
      </c>
      <c r="I203">
        <v>342.83605999999997</v>
      </c>
    </row>
    <row r="204" spans="1:9" ht="55.5" customHeight="1">
      <c r="A204" s="1" t="str">
        <f>"Chemistry 767"</f>
        <v>Chemistry 767</v>
      </c>
      <c r="B204" t="s">
        <v>584</v>
      </c>
      <c r="C204" t="s">
        <v>270</v>
      </c>
      <c r="D204" s="2">
        <v>11400</v>
      </c>
      <c r="E204" s="2">
        <v>7979.9999999999991</v>
      </c>
      <c r="F204" t="s">
        <v>5</v>
      </c>
      <c r="G204" t="s">
        <v>585</v>
      </c>
      <c r="H204" t="s">
        <v>573</v>
      </c>
      <c r="I204">
        <v>315.64211999999998</v>
      </c>
    </row>
    <row r="205" spans="1:9" ht="71.25" customHeight="1">
      <c r="A205" s="1" t="str">
        <f>"Chemistry 769"</f>
        <v>Chemistry 769</v>
      </c>
      <c r="B205" t="s">
        <v>587</v>
      </c>
      <c r="C205" t="s">
        <v>270</v>
      </c>
      <c r="D205" s="2">
        <v>11400</v>
      </c>
      <c r="E205" s="2">
        <v>7979.9999999999991</v>
      </c>
      <c r="F205" t="s">
        <v>5</v>
      </c>
      <c r="G205" t="s">
        <v>588</v>
      </c>
      <c r="H205" t="s">
        <v>589</v>
      </c>
      <c r="I205">
        <v>317.17797999999999</v>
      </c>
    </row>
    <row r="206" spans="1:9" ht="73.5" customHeight="1">
      <c r="A206" s="1" t="str">
        <f>"Chemistry 770"</f>
        <v>Chemistry 770</v>
      </c>
      <c r="B206" t="s">
        <v>590</v>
      </c>
      <c r="C206" t="s">
        <v>3</v>
      </c>
      <c r="D206" s="2">
        <v>10500</v>
      </c>
      <c r="E206" s="2">
        <v>7349.9999999999991</v>
      </c>
      <c r="F206" t="s">
        <v>5</v>
      </c>
      <c r="G206" t="s">
        <v>591</v>
      </c>
      <c r="H206" t="s">
        <v>568</v>
      </c>
      <c r="I206">
        <v>326.38146</v>
      </c>
    </row>
    <row r="207" spans="1:9" ht="71.25" customHeight="1">
      <c r="A207" s="1" t="str">
        <f>"Chemistry 771"</f>
        <v>Chemistry 771</v>
      </c>
      <c r="B207" t="s">
        <v>592</v>
      </c>
      <c r="C207" t="s">
        <v>270</v>
      </c>
      <c r="D207" s="2">
        <v>11400</v>
      </c>
      <c r="E207" s="2">
        <v>7979.9999999999991</v>
      </c>
      <c r="F207" t="s">
        <v>5</v>
      </c>
      <c r="G207" t="s">
        <v>593</v>
      </c>
      <c r="H207" t="s">
        <v>569</v>
      </c>
      <c r="I207">
        <v>299.18752000000001</v>
      </c>
    </row>
    <row r="208" spans="1:9" ht="73.5" customHeight="1">
      <c r="A208" s="1" t="str">
        <f>"Chemistry 772"</f>
        <v>Chemistry 772</v>
      </c>
      <c r="B208" t="s">
        <v>594</v>
      </c>
      <c r="C208" t="s">
        <v>3</v>
      </c>
      <c r="D208" s="2">
        <v>10500</v>
      </c>
      <c r="E208" s="2">
        <v>7349.9999999999991</v>
      </c>
      <c r="F208" t="s">
        <v>5</v>
      </c>
      <c r="G208" t="s">
        <v>595</v>
      </c>
      <c r="H208" t="s">
        <v>572</v>
      </c>
      <c r="I208">
        <v>342.83605999999997</v>
      </c>
    </row>
    <row r="209" spans="1:9" ht="67.95" customHeight="1">
      <c r="A209" s="1" t="str">
        <f>"Chemistry 774"</f>
        <v>Chemistry 774</v>
      </c>
      <c r="B209" t="s">
        <v>596</v>
      </c>
      <c r="C209" t="s">
        <v>3</v>
      </c>
      <c r="D209" s="2">
        <v>10500</v>
      </c>
      <c r="E209" s="2">
        <v>7349.9999999999991</v>
      </c>
      <c r="F209" t="s">
        <v>5</v>
      </c>
      <c r="G209" t="s">
        <v>597</v>
      </c>
      <c r="H209" t="s">
        <v>598</v>
      </c>
      <c r="I209">
        <v>376.38896999999997</v>
      </c>
    </row>
    <row r="210" spans="1:9" ht="67.95" customHeight="1">
      <c r="A210" s="1" t="str">
        <f>"Chemistry 776"</f>
        <v>Chemistry 776</v>
      </c>
      <c r="B210" t="s">
        <v>599</v>
      </c>
      <c r="C210" t="s">
        <v>3</v>
      </c>
      <c r="D210" s="2">
        <v>10500</v>
      </c>
      <c r="E210" s="2">
        <v>7349.9999999999991</v>
      </c>
      <c r="F210" t="s">
        <v>5</v>
      </c>
      <c r="G210" t="s">
        <v>600</v>
      </c>
      <c r="H210" t="s">
        <v>568</v>
      </c>
      <c r="I210">
        <v>326.38146</v>
      </c>
    </row>
    <row r="211" spans="1:9" ht="67.95" customHeight="1">
      <c r="A211" s="1" t="str">
        <f>"Chemistry 778"</f>
        <v>Chemistry 778</v>
      </c>
      <c r="B211" t="s">
        <v>601</v>
      </c>
      <c r="C211" t="s">
        <v>3</v>
      </c>
      <c r="D211" s="2">
        <v>10500</v>
      </c>
      <c r="E211" s="2">
        <v>7349.9999999999991</v>
      </c>
      <c r="F211" t="s">
        <v>5</v>
      </c>
      <c r="G211" t="s">
        <v>602</v>
      </c>
      <c r="H211" t="s">
        <v>572</v>
      </c>
      <c r="I211">
        <v>342.83605999999997</v>
      </c>
    </row>
    <row r="212" spans="1:9" ht="67.95" customHeight="1">
      <c r="A212" s="1" t="str">
        <f>"Chemistry 780"</f>
        <v>Chemistry 780</v>
      </c>
      <c r="B212" t="s">
        <v>603</v>
      </c>
      <c r="C212" t="s">
        <v>3</v>
      </c>
      <c r="D212" s="2">
        <v>10500</v>
      </c>
      <c r="E212" s="2">
        <v>7349.9999999999991</v>
      </c>
      <c r="F212" t="s">
        <v>5</v>
      </c>
      <c r="G212" t="s">
        <v>604</v>
      </c>
      <c r="H212" t="s">
        <v>576</v>
      </c>
      <c r="I212">
        <v>322.41757999999999</v>
      </c>
    </row>
    <row r="213" spans="1:9" ht="67.95" customHeight="1">
      <c r="A213" s="1" t="str">
        <f>"Chemistry 781"</f>
        <v>Chemistry 781</v>
      </c>
      <c r="B213" t="s">
        <v>605</v>
      </c>
      <c r="C213" t="s">
        <v>270</v>
      </c>
      <c r="D213" s="2">
        <v>11400</v>
      </c>
      <c r="E213" s="2">
        <v>7979.9999999999991</v>
      </c>
      <c r="F213" t="s">
        <v>5</v>
      </c>
      <c r="G213" t="s">
        <v>606</v>
      </c>
      <c r="H213" t="s">
        <v>579</v>
      </c>
      <c r="I213">
        <v>295.22363999999999</v>
      </c>
    </row>
    <row r="214" spans="1:9" ht="57.75" customHeight="1">
      <c r="A214" s="1" t="str">
        <f>"Chemistry 782"</f>
        <v>Chemistry 782</v>
      </c>
      <c r="B214" t="s">
        <v>607</v>
      </c>
      <c r="C214" t="s">
        <v>3</v>
      </c>
      <c r="D214" s="2">
        <v>10500</v>
      </c>
      <c r="E214" s="2">
        <v>7349.9999999999991</v>
      </c>
      <c r="F214" t="s">
        <v>5</v>
      </c>
      <c r="G214" t="s">
        <v>608</v>
      </c>
      <c r="H214" t="s">
        <v>568</v>
      </c>
      <c r="I214">
        <v>326.38146</v>
      </c>
    </row>
    <row r="215" spans="1:9" ht="55.5" customHeight="1">
      <c r="A215" s="1" t="str">
        <f>"Chemistry 783"</f>
        <v>Chemistry 783</v>
      </c>
      <c r="B215" t="s">
        <v>609</v>
      </c>
      <c r="C215" t="s">
        <v>270</v>
      </c>
      <c r="D215" s="2">
        <v>11400</v>
      </c>
      <c r="E215" s="2">
        <v>7979.9999999999991</v>
      </c>
      <c r="F215" t="s">
        <v>5</v>
      </c>
      <c r="G215" t="s">
        <v>610</v>
      </c>
      <c r="H215" t="s">
        <v>569</v>
      </c>
      <c r="I215">
        <v>299.18752000000001</v>
      </c>
    </row>
    <row r="216" spans="1:9" ht="87" customHeight="1">
      <c r="A216" s="1" t="str">
        <f>"Chemistry 784"</f>
        <v>Chemistry 784</v>
      </c>
      <c r="B216" t="s">
        <v>611</v>
      </c>
      <c r="C216" t="s">
        <v>3</v>
      </c>
      <c r="D216" s="2">
        <v>10500</v>
      </c>
      <c r="E216" s="2">
        <v>7349.9999999999991</v>
      </c>
      <c r="F216" t="s">
        <v>5</v>
      </c>
      <c r="G216" t="s">
        <v>612</v>
      </c>
      <c r="H216" t="s">
        <v>572</v>
      </c>
      <c r="I216">
        <v>342.83605999999997</v>
      </c>
    </row>
    <row r="217" spans="1:9" ht="91.5" customHeight="1">
      <c r="A217" s="1" t="str">
        <f>"Chemistry 786"</f>
        <v>Chemistry 786</v>
      </c>
      <c r="B217" t="s">
        <v>613</v>
      </c>
      <c r="C217" t="s">
        <v>3</v>
      </c>
      <c r="D217" s="2">
        <v>10500</v>
      </c>
      <c r="E217" s="2">
        <v>7349.9999999999991</v>
      </c>
      <c r="F217" t="s">
        <v>5</v>
      </c>
      <c r="G217" t="s">
        <v>614</v>
      </c>
      <c r="H217" t="s">
        <v>615</v>
      </c>
      <c r="I217">
        <v>338.41698000000002</v>
      </c>
    </row>
    <row r="218" spans="1:9" ht="54.45" customHeight="1">
      <c r="A218" s="1" t="str">
        <f>"Chemistry 788"</f>
        <v>Chemistry 788</v>
      </c>
      <c r="B218" t="s">
        <v>617</v>
      </c>
      <c r="C218" t="s">
        <v>3</v>
      </c>
      <c r="D218" s="2">
        <v>10500</v>
      </c>
      <c r="E218" s="2">
        <v>7349.9999999999991</v>
      </c>
      <c r="F218" t="s">
        <v>5</v>
      </c>
      <c r="G218" t="s">
        <v>618</v>
      </c>
      <c r="H218" t="s">
        <v>576</v>
      </c>
      <c r="I218">
        <v>322.41757999999999</v>
      </c>
    </row>
    <row r="219" spans="1:9" ht="83.7" customHeight="1">
      <c r="A219" s="1" t="str">
        <f>"Chemistry 789"</f>
        <v>Chemistry 789</v>
      </c>
      <c r="B219" t="s">
        <v>619</v>
      </c>
      <c r="C219" t="s">
        <v>3</v>
      </c>
      <c r="D219" s="2">
        <v>10500</v>
      </c>
      <c r="E219" s="2">
        <v>7349.9999999999991</v>
      </c>
      <c r="F219" t="s">
        <v>5</v>
      </c>
      <c r="G219" t="s">
        <v>620</v>
      </c>
      <c r="H219" t="s">
        <v>576</v>
      </c>
      <c r="I219">
        <v>322.41757999999999</v>
      </c>
    </row>
    <row r="220" spans="1:9" ht="71.25" customHeight="1">
      <c r="A220" s="1" t="str">
        <f>"Chemistry 790"</f>
        <v>Chemistry 790</v>
      </c>
      <c r="B220" t="s">
        <v>621</v>
      </c>
      <c r="C220" t="s">
        <v>3</v>
      </c>
      <c r="D220" s="2">
        <v>10500</v>
      </c>
      <c r="E220" s="2">
        <v>7349.9999999999991</v>
      </c>
      <c r="F220" t="s">
        <v>5</v>
      </c>
      <c r="G220" t="s">
        <v>622</v>
      </c>
      <c r="H220" t="s">
        <v>568</v>
      </c>
      <c r="I220">
        <v>326.38146</v>
      </c>
    </row>
    <row r="221" spans="1:9" ht="62.25" customHeight="1">
      <c r="A221" s="1" t="str">
        <f>"Chemistry 794"</f>
        <v>Chemistry 794</v>
      </c>
      <c r="B221" t="s">
        <v>623</v>
      </c>
      <c r="C221" t="s">
        <v>128</v>
      </c>
      <c r="D221" s="2">
        <v>14900</v>
      </c>
      <c r="E221" s="2">
        <v>10430</v>
      </c>
      <c r="F221" t="s">
        <v>5</v>
      </c>
      <c r="G221" t="s">
        <v>624</v>
      </c>
      <c r="H221" t="s">
        <v>625</v>
      </c>
      <c r="I221">
        <v>205.68513999999999</v>
      </c>
    </row>
    <row r="222" spans="1:9" ht="71.25" customHeight="1">
      <c r="A222" s="1" t="str">
        <f>"Chemistry 806"</f>
        <v>Chemistry 806</v>
      </c>
      <c r="B222" t="s">
        <v>626</v>
      </c>
      <c r="C222" t="s">
        <v>270</v>
      </c>
      <c r="D222" s="2">
        <v>9700</v>
      </c>
      <c r="E222" s="2">
        <v>6790</v>
      </c>
      <c r="F222" t="s">
        <v>5</v>
      </c>
      <c r="G222" t="s">
        <v>627</v>
      </c>
      <c r="H222" t="s">
        <v>329</v>
      </c>
      <c r="I222">
        <v>278.17818</v>
      </c>
    </row>
    <row r="223" spans="1:9" ht="52.2" customHeight="1">
      <c r="A223" s="1" t="str">
        <f>"Chemistry 822"</f>
        <v>Chemistry 822</v>
      </c>
      <c r="B223" t="s">
        <v>629</v>
      </c>
      <c r="C223" t="s">
        <v>270</v>
      </c>
      <c r="D223" s="2">
        <v>9700</v>
      </c>
      <c r="E223" s="2">
        <v>6790</v>
      </c>
      <c r="F223" t="s">
        <v>5</v>
      </c>
      <c r="G223" t="s">
        <v>630</v>
      </c>
      <c r="H223" t="s">
        <v>628</v>
      </c>
      <c r="I223">
        <v>279.20600000000002</v>
      </c>
    </row>
    <row r="224" spans="1:9" ht="51.6" customHeight="1">
      <c r="A224" s="1" t="str">
        <f>"Chemistry 831"</f>
        <v>Chemistry 831</v>
      </c>
      <c r="B224" t="s">
        <v>632</v>
      </c>
      <c r="C224" t="s">
        <v>128</v>
      </c>
      <c r="D224" s="2">
        <v>11400</v>
      </c>
      <c r="E224" s="2">
        <v>7979.9999999999991</v>
      </c>
      <c r="F224" t="s">
        <v>5</v>
      </c>
      <c r="G224" t="s">
        <v>633</v>
      </c>
      <c r="H224" t="s">
        <v>428</v>
      </c>
      <c r="I224">
        <v>193.67444</v>
      </c>
    </row>
    <row r="225" spans="1:9" ht="71.25" customHeight="1">
      <c r="A225" s="1" t="str">
        <f>"Chemistry 835"</f>
        <v>Chemistry 835</v>
      </c>
      <c r="B225" t="s">
        <v>634</v>
      </c>
      <c r="C225" t="s">
        <v>270</v>
      </c>
      <c r="D225" s="2">
        <v>11400</v>
      </c>
      <c r="E225" s="2">
        <v>7979.9999999999991</v>
      </c>
      <c r="F225" t="s">
        <v>5</v>
      </c>
      <c r="G225" t="s">
        <v>635</v>
      </c>
      <c r="H225" t="s">
        <v>589</v>
      </c>
      <c r="I225">
        <v>317.17797999999999</v>
      </c>
    </row>
    <row r="226" spans="1:9" ht="52.2" customHeight="1">
      <c r="A226" s="1" t="str">
        <f>"Chemistry 836"</f>
        <v>Chemistry 836</v>
      </c>
      <c r="B226" t="s">
        <v>636</v>
      </c>
      <c r="C226" t="s">
        <v>270</v>
      </c>
      <c r="D226" s="2">
        <v>11400</v>
      </c>
      <c r="E226" s="2">
        <v>7979.9999999999991</v>
      </c>
      <c r="F226" t="s">
        <v>5</v>
      </c>
      <c r="G226" t="s">
        <v>637</v>
      </c>
      <c r="H226" t="s">
        <v>579</v>
      </c>
      <c r="I226">
        <v>295.22363999999999</v>
      </c>
    </row>
    <row r="227" spans="1:9" ht="83.7" customHeight="1">
      <c r="A227" s="1" t="str">
        <f>"Chemistry 837"</f>
        <v>Chemistry 837</v>
      </c>
      <c r="B227" t="s">
        <v>638</v>
      </c>
      <c r="C227" t="s">
        <v>270</v>
      </c>
      <c r="D227" s="2">
        <v>11400</v>
      </c>
      <c r="E227" s="2">
        <v>7979.9999999999991</v>
      </c>
      <c r="F227" t="s">
        <v>5</v>
      </c>
      <c r="G227" t="s">
        <v>639</v>
      </c>
      <c r="H227" t="s">
        <v>579</v>
      </c>
      <c r="I227">
        <v>295.22363999999999</v>
      </c>
    </row>
    <row r="228" spans="1:9" ht="65.099999999999994" customHeight="1">
      <c r="A228" s="1" t="str">
        <f>"Chemistry 862"</f>
        <v>Chemistry 862</v>
      </c>
      <c r="B228" t="s">
        <v>641</v>
      </c>
      <c r="C228" t="s">
        <v>128</v>
      </c>
      <c r="D228" s="2">
        <v>12300</v>
      </c>
      <c r="E228" s="2">
        <v>8610</v>
      </c>
      <c r="F228" t="s">
        <v>5</v>
      </c>
      <c r="G228" t="s">
        <v>642</v>
      </c>
      <c r="H228" t="s">
        <v>643</v>
      </c>
      <c r="I228">
        <v>272.74621999999999</v>
      </c>
    </row>
    <row r="229" spans="1:9" ht="75.75" customHeight="1">
      <c r="A229" s="1" t="str">
        <f>"Chemistry 864"</f>
        <v>Chemistry 864</v>
      </c>
      <c r="B229" t="s">
        <v>644</v>
      </c>
      <c r="C229" t="s">
        <v>128</v>
      </c>
      <c r="D229" s="2">
        <v>12300</v>
      </c>
      <c r="E229" s="2">
        <v>8610</v>
      </c>
      <c r="F229" t="s">
        <v>5</v>
      </c>
      <c r="G229" t="s">
        <v>645</v>
      </c>
      <c r="H229" t="s">
        <v>646</v>
      </c>
      <c r="I229">
        <v>333.65181999999999</v>
      </c>
    </row>
    <row r="230" spans="1:9" ht="61.8" customHeight="1">
      <c r="A230" s="1" t="str">
        <f>"Chemistry 865"</f>
        <v>Chemistry 865</v>
      </c>
      <c r="B230" t="s">
        <v>647</v>
      </c>
      <c r="C230" t="s">
        <v>128</v>
      </c>
      <c r="D230" s="2">
        <v>12300</v>
      </c>
      <c r="E230" s="2">
        <v>8610</v>
      </c>
      <c r="F230" t="s">
        <v>5</v>
      </c>
      <c r="G230" t="s">
        <v>648</v>
      </c>
      <c r="H230" t="s">
        <v>646</v>
      </c>
      <c r="I230">
        <v>333.65181999999999</v>
      </c>
    </row>
    <row r="231" spans="1:9" ht="70.2" customHeight="1">
      <c r="A231" s="1" t="str">
        <f>"Chemistry 875"</f>
        <v>Chemistry 875</v>
      </c>
      <c r="B231" t="s">
        <v>650</v>
      </c>
      <c r="C231" t="s">
        <v>3</v>
      </c>
      <c r="D231" s="2">
        <v>10500</v>
      </c>
      <c r="E231" s="2">
        <v>7349.9999999999991</v>
      </c>
      <c r="F231" t="s">
        <v>5</v>
      </c>
      <c r="G231" t="s">
        <v>651</v>
      </c>
      <c r="H231" t="s">
        <v>292</v>
      </c>
      <c r="I231">
        <v>284.39442000000003</v>
      </c>
    </row>
    <row r="232" spans="1:9" ht="71.849999999999994" customHeight="1">
      <c r="A232" s="1" t="str">
        <f>"Chemistry 893"</f>
        <v>Chemistry 893</v>
      </c>
      <c r="B232" t="s">
        <v>655</v>
      </c>
      <c r="C232" t="s">
        <v>3</v>
      </c>
      <c r="D232" s="2">
        <v>10500</v>
      </c>
      <c r="E232" s="2">
        <v>7349.9999999999991</v>
      </c>
      <c r="F232" t="s">
        <v>5</v>
      </c>
      <c r="G232" t="s">
        <v>656</v>
      </c>
      <c r="H232" t="s">
        <v>657</v>
      </c>
      <c r="I232">
        <v>310.47474999999997</v>
      </c>
    </row>
    <row r="233" spans="1:9" ht="78" customHeight="1">
      <c r="A233" s="1" t="str">
        <f>"Chemistry 897"</f>
        <v>Chemistry 897</v>
      </c>
      <c r="B233" t="s">
        <v>658</v>
      </c>
      <c r="C233" t="s">
        <v>3</v>
      </c>
      <c r="D233" s="2">
        <v>10500</v>
      </c>
      <c r="E233" s="2">
        <v>7349.9999999999991</v>
      </c>
      <c r="F233" t="s">
        <v>5</v>
      </c>
      <c r="G233" t="s">
        <v>659</v>
      </c>
      <c r="H233" t="s">
        <v>169</v>
      </c>
      <c r="I233">
        <v>305.41518000000002</v>
      </c>
    </row>
    <row r="234" spans="1:9" ht="55.5" customHeight="1">
      <c r="A234" s="1" t="str">
        <f>"Chemistry 918"</f>
        <v>Chemistry 918</v>
      </c>
      <c r="B234" t="s">
        <v>661</v>
      </c>
      <c r="C234" t="s">
        <v>270</v>
      </c>
      <c r="D234" s="2">
        <v>11400</v>
      </c>
      <c r="E234" s="2">
        <v>7979.9999999999991</v>
      </c>
      <c r="F234" t="s">
        <v>5</v>
      </c>
      <c r="G234" t="s">
        <v>662</v>
      </c>
      <c r="H234" t="s">
        <v>663</v>
      </c>
      <c r="I234">
        <v>231.16319999999999</v>
      </c>
    </row>
    <row r="235" spans="1:9" ht="75.3" customHeight="1">
      <c r="A235" s="1" t="str">
        <f>"Chemistry 922"</f>
        <v>Chemistry 922</v>
      </c>
      <c r="B235" t="s">
        <v>664</v>
      </c>
      <c r="C235" t="s">
        <v>270</v>
      </c>
      <c r="D235" s="2">
        <v>11400</v>
      </c>
      <c r="E235" s="2">
        <v>7979.9999999999991</v>
      </c>
      <c r="F235" t="s">
        <v>5</v>
      </c>
      <c r="G235" t="s">
        <v>665</v>
      </c>
      <c r="H235" t="s">
        <v>353</v>
      </c>
      <c r="I235">
        <v>321.24268000000001</v>
      </c>
    </row>
    <row r="236" spans="1:9" ht="64.5" customHeight="1">
      <c r="A236" s="1" t="str">
        <f>"Chemistry 924"</f>
        <v>Chemistry 924</v>
      </c>
      <c r="B236" t="s">
        <v>666</v>
      </c>
      <c r="C236" t="s">
        <v>270</v>
      </c>
      <c r="D236" s="2">
        <v>9700</v>
      </c>
      <c r="E236" s="2">
        <v>6790</v>
      </c>
      <c r="F236" t="s">
        <v>5</v>
      </c>
      <c r="G236" t="s">
        <v>667</v>
      </c>
      <c r="H236" t="s">
        <v>325</v>
      </c>
      <c r="I236">
        <v>293.23257999999998</v>
      </c>
    </row>
    <row r="237" spans="1:9" ht="71.25" customHeight="1">
      <c r="A237" s="1" t="str">
        <f>"Chemistry 931"</f>
        <v>Chemistry 931</v>
      </c>
      <c r="B237" t="s">
        <v>668</v>
      </c>
      <c r="C237" t="s">
        <v>128</v>
      </c>
      <c r="D237" s="2">
        <v>11400</v>
      </c>
      <c r="E237" s="2">
        <v>7979.9999999999991</v>
      </c>
      <c r="F237" t="s">
        <v>5</v>
      </c>
      <c r="G237" t="s">
        <v>669</v>
      </c>
      <c r="H237" t="s">
        <v>362</v>
      </c>
      <c r="I237">
        <v>247.76488000000001</v>
      </c>
    </row>
    <row r="238" spans="1:9" ht="71.25" customHeight="1">
      <c r="A238" s="1" t="str">
        <f>"Chemistry 932"</f>
        <v>Chemistry 932</v>
      </c>
      <c r="B238" t="s">
        <v>670</v>
      </c>
      <c r="C238" t="s">
        <v>128</v>
      </c>
      <c r="D238" s="2">
        <v>11400</v>
      </c>
      <c r="E238" s="2">
        <v>7979.9999999999991</v>
      </c>
      <c r="F238" t="s">
        <v>5</v>
      </c>
      <c r="G238" t="s">
        <v>671</v>
      </c>
      <c r="H238" t="s">
        <v>432</v>
      </c>
      <c r="I238">
        <v>249.73769999999999</v>
      </c>
    </row>
    <row r="239" spans="1:9" ht="60.6" customHeight="1">
      <c r="A239" s="1" t="str">
        <f>"Chemistry 937"</f>
        <v>Chemistry 937</v>
      </c>
      <c r="B239" t="s">
        <v>672</v>
      </c>
      <c r="C239" t="s">
        <v>3</v>
      </c>
      <c r="D239" s="2">
        <v>10500</v>
      </c>
      <c r="E239" s="2">
        <v>7349.9999999999991</v>
      </c>
      <c r="F239" t="s">
        <v>5</v>
      </c>
      <c r="G239" t="s">
        <v>673</v>
      </c>
      <c r="H239" t="s">
        <v>260</v>
      </c>
      <c r="I239">
        <v>240.34186</v>
      </c>
    </row>
    <row r="240" spans="1:9" ht="51" customHeight="1">
      <c r="A240" s="1" t="str">
        <f>"Chemistry 942"</f>
        <v>Chemistry 942</v>
      </c>
      <c r="B240" t="s">
        <v>675</v>
      </c>
      <c r="C240" t="s">
        <v>270</v>
      </c>
      <c r="D240" s="2">
        <v>12300</v>
      </c>
      <c r="E240" s="2">
        <v>8610</v>
      </c>
      <c r="F240" t="s">
        <v>5</v>
      </c>
      <c r="G240" t="s">
        <v>676</v>
      </c>
      <c r="H240" t="s">
        <v>677</v>
      </c>
      <c r="I240">
        <v>213.14792</v>
      </c>
    </row>
    <row r="241" spans="1:9" ht="57.75" customHeight="1">
      <c r="A241" s="1" t="str">
        <f>"Chemistry 943"</f>
        <v>Chemistry 943</v>
      </c>
      <c r="B241" t="s">
        <v>678</v>
      </c>
      <c r="C241" t="s">
        <v>270</v>
      </c>
      <c r="D241" s="2">
        <v>12300</v>
      </c>
      <c r="E241" s="2">
        <v>8610</v>
      </c>
      <c r="F241" t="s">
        <v>5</v>
      </c>
      <c r="G241" t="s">
        <v>679</v>
      </c>
      <c r="H241" t="s">
        <v>677</v>
      </c>
      <c r="I241">
        <v>213.14792</v>
      </c>
    </row>
    <row r="242" spans="1:9" ht="48.75" customHeight="1">
      <c r="A242" s="1" t="str">
        <f>"Chemistry 944"</f>
        <v>Chemistry 944</v>
      </c>
      <c r="B242" t="s">
        <v>680</v>
      </c>
      <c r="C242" t="s">
        <v>498</v>
      </c>
      <c r="D242" s="2">
        <v>12300</v>
      </c>
      <c r="E242" s="2">
        <v>8610</v>
      </c>
      <c r="F242" t="s">
        <v>5</v>
      </c>
      <c r="G242" t="s">
        <v>681</v>
      </c>
      <c r="H242" t="s">
        <v>682</v>
      </c>
      <c r="I242">
        <v>286.62902000000003</v>
      </c>
    </row>
    <row r="243" spans="1:9" ht="48.75" customHeight="1">
      <c r="A243" s="1" t="str">
        <f>"Chemistry 945"</f>
        <v>Chemistry 945</v>
      </c>
      <c r="B243" t="s">
        <v>683</v>
      </c>
      <c r="C243" t="s">
        <v>498</v>
      </c>
      <c r="D243" s="2">
        <v>12300</v>
      </c>
      <c r="E243" s="2">
        <v>8610</v>
      </c>
      <c r="F243" t="s">
        <v>5</v>
      </c>
      <c r="G243" t="s">
        <v>684</v>
      </c>
      <c r="H243" t="s">
        <v>682</v>
      </c>
      <c r="I243">
        <v>286.62902000000003</v>
      </c>
    </row>
    <row r="244" spans="1:9" ht="52.2" customHeight="1">
      <c r="A244" s="1" t="str">
        <f>"Chemistry 946"</f>
        <v>Chemistry 946</v>
      </c>
      <c r="B244" t="s">
        <v>685</v>
      </c>
      <c r="C244" t="s">
        <v>270</v>
      </c>
      <c r="D244" s="2">
        <v>12300</v>
      </c>
      <c r="E244" s="2">
        <v>8610</v>
      </c>
      <c r="F244" t="s">
        <v>5</v>
      </c>
      <c r="G244" t="s">
        <v>686</v>
      </c>
      <c r="H244" t="s">
        <v>687</v>
      </c>
      <c r="I244">
        <v>283.62508000000003</v>
      </c>
    </row>
    <row r="245" spans="1:9" ht="52.2" customHeight="1">
      <c r="A245" s="1" t="str">
        <f>"Chemistry 947"</f>
        <v>Chemistry 947</v>
      </c>
      <c r="B245" t="s">
        <v>688</v>
      </c>
      <c r="C245" t="s">
        <v>270</v>
      </c>
      <c r="D245" s="2">
        <v>12300</v>
      </c>
      <c r="E245" s="2">
        <v>8610</v>
      </c>
      <c r="F245" t="s">
        <v>5</v>
      </c>
      <c r="G245" t="s">
        <v>689</v>
      </c>
      <c r="H245" t="s">
        <v>687</v>
      </c>
      <c r="I245">
        <v>283.62508000000003</v>
      </c>
    </row>
    <row r="246" spans="1:9" ht="52.2" customHeight="1">
      <c r="A246" s="1" t="str">
        <f>"Chemistry 948"</f>
        <v>Chemistry 948</v>
      </c>
      <c r="B246" t="s">
        <v>690</v>
      </c>
      <c r="C246" t="s">
        <v>270</v>
      </c>
      <c r="D246" s="2">
        <v>12300</v>
      </c>
      <c r="E246" s="2">
        <v>8610</v>
      </c>
      <c r="F246" t="s">
        <v>5</v>
      </c>
      <c r="G246" t="s">
        <v>691</v>
      </c>
      <c r="H246" t="s">
        <v>692</v>
      </c>
      <c r="I246">
        <v>328.07607999999999</v>
      </c>
    </row>
    <row r="247" spans="1:9" ht="52.2" customHeight="1">
      <c r="A247" s="1" t="str">
        <f>"Chemistry 952"</f>
        <v>Chemistry 952</v>
      </c>
      <c r="B247" t="s">
        <v>693</v>
      </c>
      <c r="C247" t="s">
        <v>270</v>
      </c>
      <c r="D247" s="2">
        <v>12300</v>
      </c>
      <c r="E247" s="2">
        <v>8610</v>
      </c>
      <c r="F247" t="s">
        <v>5</v>
      </c>
      <c r="G247" t="s">
        <v>694</v>
      </c>
      <c r="H247" t="s">
        <v>275</v>
      </c>
      <c r="I247">
        <v>267.17048</v>
      </c>
    </row>
    <row r="248" spans="1:9" ht="72.45" customHeight="1">
      <c r="A248" s="1" t="str">
        <f>"Chemistry 955"</f>
        <v>Chemistry 955</v>
      </c>
      <c r="B248" t="s">
        <v>695</v>
      </c>
      <c r="C248" t="s">
        <v>128</v>
      </c>
      <c r="D248" s="2">
        <v>9700</v>
      </c>
      <c r="E248" s="2">
        <v>6790</v>
      </c>
      <c r="F248" t="s">
        <v>5</v>
      </c>
      <c r="G248" t="s">
        <v>696</v>
      </c>
      <c r="H248" t="s">
        <v>299</v>
      </c>
      <c r="I248">
        <v>220.73954000000001</v>
      </c>
    </row>
    <row r="249" spans="1:9" ht="55.5" customHeight="1">
      <c r="A249" s="1" t="str">
        <f>"Chemistry 957"</f>
        <v>Chemistry 957</v>
      </c>
      <c r="B249" t="s">
        <v>697</v>
      </c>
      <c r="C249" t="s">
        <v>128</v>
      </c>
      <c r="D249" s="2">
        <v>12300</v>
      </c>
      <c r="E249" s="2">
        <v>8610</v>
      </c>
      <c r="F249" t="s">
        <v>5</v>
      </c>
      <c r="G249" t="s">
        <v>698</v>
      </c>
      <c r="H249" t="s">
        <v>423</v>
      </c>
      <c r="I249">
        <v>222.71235999999999</v>
      </c>
    </row>
    <row r="250" spans="1:9" ht="55.5" customHeight="1">
      <c r="A250" s="1" t="str">
        <f>"Chemistry 958"</f>
        <v>Chemistry 958</v>
      </c>
      <c r="B250" t="s">
        <v>699</v>
      </c>
      <c r="C250" t="s">
        <v>270</v>
      </c>
      <c r="D250" s="2">
        <v>12300</v>
      </c>
      <c r="E250" s="2">
        <v>8610</v>
      </c>
      <c r="F250" t="s">
        <v>5</v>
      </c>
      <c r="G250" t="s">
        <v>700</v>
      </c>
      <c r="H250" t="s">
        <v>701</v>
      </c>
      <c r="I250">
        <v>272.21512000000001</v>
      </c>
    </row>
    <row r="251" spans="1:9" ht="55.5" customHeight="1">
      <c r="A251" s="1" t="str">
        <f>"Chemistry 959"</f>
        <v>Chemistry 959</v>
      </c>
      <c r="B251" t="s">
        <v>702</v>
      </c>
      <c r="C251" t="s">
        <v>128</v>
      </c>
      <c r="D251" s="2">
        <v>12300</v>
      </c>
      <c r="E251" s="2">
        <v>8610</v>
      </c>
      <c r="F251" t="s">
        <v>5</v>
      </c>
      <c r="G251" t="s">
        <v>703</v>
      </c>
      <c r="H251" t="s">
        <v>313</v>
      </c>
      <c r="I251">
        <v>234.76612</v>
      </c>
    </row>
    <row r="252" spans="1:9" ht="61.8" customHeight="1">
      <c r="A252" s="1" t="str">
        <f>"Chemistry 961"</f>
        <v>Chemistry 961</v>
      </c>
      <c r="B252" t="s">
        <v>704</v>
      </c>
      <c r="C252" t="s">
        <v>128</v>
      </c>
      <c r="D252" s="2">
        <v>12300</v>
      </c>
      <c r="E252" s="2">
        <v>8610</v>
      </c>
      <c r="F252" t="s">
        <v>5</v>
      </c>
      <c r="G252" t="s">
        <v>705</v>
      </c>
      <c r="H252" t="s">
        <v>305</v>
      </c>
      <c r="I252">
        <v>246.77681999999999</v>
      </c>
    </row>
    <row r="253" spans="1:9" ht="61.8" customHeight="1">
      <c r="A253" s="1" t="str">
        <f>"Chemistry 962"</f>
        <v>Chemistry 962</v>
      </c>
      <c r="B253" t="s">
        <v>706</v>
      </c>
      <c r="C253" t="s">
        <v>128</v>
      </c>
      <c r="D253" s="2">
        <v>14000</v>
      </c>
      <c r="E253" s="2">
        <v>9800</v>
      </c>
      <c r="F253" t="s">
        <v>5</v>
      </c>
      <c r="G253" t="s">
        <v>707</v>
      </c>
      <c r="H253" t="s">
        <v>439</v>
      </c>
      <c r="I253">
        <v>248.74964</v>
      </c>
    </row>
    <row r="254" spans="1:9" ht="61.8" customHeight="1">
      <c r="A254" s="1" t="str">
        <f>"Chemistry 963"</f>
        <v>Chemistry 963</v>
      </c>
      <c r="B254" t="s">
        <v>708</v>
      </c>
      <c r="C254" t="s">
        <v>128</v>
      </c>
      <c r="D254" s="2">
        <v>14000</v>
      </c>
      <c r="E254" s="2">
        <v>9800</v>
      </c>
      <c r="F254" t="s">
        <v>5</v>
      </c>
      <c r="G254" t="s">
        <v>709</v>
      </c>
      <c r="H254" t="s">
        <v>439</v>
      </c>
      <c r="I254">
        <v>248.74964</v>
      </c>
    </row>
    <row r="255" spans="1:9" ht="61.8" customHeight="1">
      <c r="A255" s="1" t="str">
        <f>"Chemistry 965"</f>
        <v>Chemistry 965</v>
      </c>
      <c r="B255" t="s">
        <v>711</v>
      </c>
      <c r="C255" t="s">
        <v>270</v>
      </c>
      <c r="D255" s="2">
        <v>12300</v>
      </c>
      <c r="E255" s="2">
        <v>8610</v>
      </c>
      <c r="F255" t="s">
        <v>5</v>
      </c>
      <c r="G255" t="s">
        <v>712</v>
      </c>
      <c r="H255" t="s">
        <v>710</v>
      </c>
      <c r="I255">
        <v>292.20474999999999</v>
      </c>
    </row>
    <row r="256" spans="1:9" ht="61.8" customHeight="1">
      <c r="A256" s="1" t="str">
        <f>"Chemistry 966"</f>
        <v>Chemistry 966</v>
      </c>
      <c r="B256" t="s">
        <v>713</v>
      </c>
      <c r="C256" t="s">
        <v>270</v>
      </c>
      <c r="D256" s="2">
        <v>12300</v>
      </c>
      <c r="E256" s="2">
        <v>8610</v>
      </c>
      <c r="F256" t="s">
        <v>5</v>
      </c>
      <c r="G256" t="s">
        <v>714</v>
      </c>
      <c r="H256" t="s">
        <v>710</v>
      </c>
      <c r="I256">
        <v>292.20474999999999</v>
      </c>
    </row>
    <row r="257" spans="1:9" ht="61.8" customHeight="1">
      <c r="A257" s="1" t="str">
        <f>"Chemistry 967"</f>
        <v>Chemistry 967</v>
      </c>
      <c r="B257" t="s">
        <v>715</v>
      </c>
      <c r="C257" t="s">
        <v>128</v>
      </c>
      <c r="D257" s="2">
        <v>12300</v>
      </c>
      <c r="E257" s="2">
        <v>8610</v>
      </c>
      <c r="F257" t="s">
        <v>5</v>
      </c>
      <c r="G257" t="s">
        <v>716</v>
      </c>
      <c r="H257" t="s">
        <v>643</v>
      </c>
      <c r="I257">
        <v>272.74621999999999</v>
      </c>
    </row>
    <row r="258" spans="1:9" ht="65.099999999999994" customHeight="1">
      <c r="A258" s="1" t="str">
        <f>"Chemistry 968"</f>
        <v>Chemistry 968</v>
      </c>
      <c r="B258" t="s">
        <v>717</v>
      </c>
      <c r="C258" t="s">
        <v>128</v>
      </c>
      <c r="D258" s="2">
        <v>12300</v>
      </c>
      <c r="E258" s="2">
        <v>8610</v>
      </c>
      <c r="F258" t="s">
        <v>5</v>
      </c>
      <c r="G258" t="s">
        <v>718</v>
      </c>
      <c r="H258" t="s">
        <v>719</v>
      </c>
      <c r="I258">
        <v>289.20082000000002</v>
      </c>
    </row>
    <row r="259" spans="1:9" ht="61.8" customHeight="1">
      <c r="A259" s="1" t="str">
        <f>"Chemistry 970"</f>
        <v>Chemistry 970</v>
      </c>
      <c r="B259" t="s">
        <v>720</v>
      </c>
      <c r="C259" t="s">
        <v>128</v>
      </c>
      <c r="D259" s="2">
        <v>12300</v>
      </c>
      <c r="E259" s="2">
        <v>8610</v>
      </c>
      <c r="F259" t="s">
        <v>5</v>
      </c>
      <c r="G259" t="s">
        <v>721</v>
      </c>
      <c r="H259" t="s">
        <v>719</v>
      </c>
      <c r="I259">
        <v>289.20082000000002</v>
      </c>
    </row>
    <row r="260" spans="1:9" ht="65.099999999999994" customHeight="1">
      <c r="A260" s="1" t="str">
        <f>"Chemistry 971"</f>
        <v>Chemistry 971</v>
      </c>
      <c r="B260" t="s">
        <v>722</v>
      </c>
      <c r="C260" t="s">
        <v>128</v>
      </c>
      <c r="D260" s="2">
        <v>12300</v>
      </c>
      <c r="E260" s="2">
        <v>8610</v>
      </c>
      <c r="F260" t="s">
        <v>5</v>
      </c>
      <c r="G260" t="s">
        <v>723</v>
      </c>
      <c r="H260" t="s">
        <v>646</v>
      </c>
      <c r="I260">
        <v>333.65181999999999</v>
      </c>
    </row>
    <row r="261" spans="1:9" ht="44.25" customHeight="1">
      <c r="A261" s="1" t="str">
        <f>"Chemistry 972"</f>
        <v>Chemistry 972</v>
      </c>
      <c r="B261" t="s">
        <v>724</v>
      </c>
      <c r="C261" t="s">
        <v>270</v>
      </c>
      <c r="D261" s="2">
        <v>14000</v>
      </c>
      <c r="E261" s="2">
        <v>9800</v>
      </c>
      <c r="F261" t="s">
        <v>5</v>
      </c>
      <c r="G261" t="s">
        <v>725</v>
      </c>
      <c r="H261" t="s">
        <v>347</v>
      </c>
      <c r="I261">
        <v>215.16380000000001</v>
      </c>
    </row>
    <row r="262" spans="1:9" ht="55.5" customHeight="1">
      <c r="A262" s="1" t="str">
        <f>"Chemistry 973"</f>
        <v>Chemistry 973</v>
      </c>
      <c r="B262" t="s">
        <v>726</v>
      </c>
      <c r="C262" t="s">
        <v>270</v>
      </c>
      <c r="D262" s="2">
        <v>14000</v>
      </c>
      <c r="E262" s="2">
        <v>9800</v>
      </c>
      <c r="F262" t="s">
        <v>5</v>
      </c>
      <c r="G262" t="s">
        <v>727</v>
      </c>
      <c r="H262" t="s">
        <v>300</v>
      </c>
      <c r="I262">
        <v>229.19038</v>
      </c>
    </row>
    <row r="263" spans="1:9" ht="55.5" customHeight="1">
      <c r="A263" s="1" t="str">
        <f>"Chemistry 974"</f>
        <v>Chemistry 974</v>
      </c>
      <c r="B263" t="s">
        <v>728</v>
      </c>
      <c r="C263" t="s">
        <v>270</v>
      </c>
      <c r="D263" s="2">
        <v>14000</v>
      </c>
      <c r="E263" s="2">
        <v>9800</v>
      </c>
      <c r="F263" t="s">
        <v>5</v>
      </c>
      <c r="G263" t="s">
        <v>729</v>
      </c>
      <c r="H263" t="s">
        <v>649</v>
      </c>
      <c r="I263">
        <v>257.24354</v>
      </c>
    </row>
    <row r="264" spans="1:9" ht="58.35" customHeight="1">
      <c r="A264" s="1" t="str">
        <f>"Chemistry 975"</f>
        <v>Chemistry 975</v>
      </c>
      <c r="B264" t="s">
        <v>730</v>
      </c>
      <c r="C264" t="s">
        <v>270</v>
      </c>
      <c r="D264" s="2">
        <v>14000</v>
      </c>
      <c r="E264" s="2">
        <v>9800</v>
      </c>
      <c r="F264" t="s">
        <v>5</v>
      </c>
      <c r="G264" t="s">
        <v>731</v>
      </c>
      <c r="H264" t="s">
        <v>323</v>
      </c>
      <c r="I264">
        <v>243.21696</v>
      </c>
    </row>
    <row r="265" spans="1:9" ht="52.2" customHeight="1">
      <c r="A265" s="1" t="str">
        <f>"Chemistry 976"</f>
        <v>Chemistry 976</v>
      </c>
      <c r="B265" t="s">
        <v>732</v>
      </c>
      <c r="C265" t="s">
        <v>270</v>
      </c>
      <c r="D265" s="2">
        <v>14000</v>
      </c>
      <c r="E265" s="2">
        <v>9800</v>
      </c>
      <c r="F265" t="s">
        <v>5</v>
      </c>
      <c r="G265" t="s">
        <v>733</v>
      </c>
      <c r="H265" t="s">
        <v>468</v>
      </c>
      <c r="I265">
        <v>241.20107999999999</v>
      </c>
    </row>
    <row r="266" spans="1:9" ht="58.35" customHeight="1">
      <c r="A266" s="1" t="str">
        <f>"Chemistry 977"</f>
        <v>Chemistry 977</v>
      </c>
      <c r="B266" t="s">
        <v>734</v>
      </c>
      <c r="C266" t="s">
        <v>270</v>
      </c>
      <c r="D266" s="2">
        <v>14000</v>
      </c>
      <c r="E266" s="2">
        <v>9800</v>
      </c>
      <c r="F266" t="s">
        <v>5</v>
      </c>
      <c r="G266" t="s">
        <v>735</v>
      </c>
      <c r="H266" t="s">
        <v>736</v>
      </c>
      <c r="I266">
        <v>283.28082000000001</v>
      </c>
    </row>
    <row r="267" spans="1:9" ht="55.5" customHeight="1">
      <c r="A267" s="1" t="str">
        <f>"Chemistry 978"</f>
        <v>Chemistry 978</v>
      </c>
      <c r="B267" t="s">
        <v>737</v>
      </c>
      <c r="C267" t="s">
        <v>270</v>
      </c>
      <c r="D267" s="2">
        <v>17500</v>
      </c>
      <c r="E267" s="2">
        <v>12250</v>
      </c>
      <c r="F267" t="s">
        <v>5</v>
      </c>
      <c r="G267" t="s">
        <v>738</v>
      </c>
      <c r="H267" t="s">
        <v>468</v>
      </c>
      <c r="I267">
        <v>241.20107999999999</v>
      </c>
    </row>
    <row r="268" spans="1:9" ht="55.5" customHeight="1">
      <c r="A268" s="1" t="str">
        <f>"Chemistry 979"</f>
        <v>Chemistry 979</v>
      </c>
      <c r="B268" t="s">
        <v>739</v>
      </c>
      <c r="C268" t="s">
        <v>270</v>
      </c>
      <c r="D268" s="2">
        <v>14000</v>
      </c>
      <c r="E268" s="2">
        <v>9800</v>
      </c>
      <c r="F268" t="s">
        <v>5</v>
      </c>
      <c r="G268" t="s">
        <v>740</v>
      </c>
      <c r="H268" t="s">
        <v>473</v>
      </c>
      <c r="I268">
        <v>255.22765999999999</v>
      </c>
    </row>
    <row r="269" spans="1:9" ht="55.5" customHeight="1">
      <c r="A269" s="1" t="str">
        <f>"Chemistry 980"</f>
        <v>Chemistry 980</v>
      </c>
      <c r="B269" t="s">
        <v>741</v>
      </c>
      <c r="C269" t="s">
        <v>270</v>
      </c>
      <c r="D269" s="2">
        <v>14000</v>
      </c>
      <c r="E269" s="2">
        <v>9800</v>
      </c>
      <c r="F269" t="s">
        <v>5</v>
      </c>
      <c r="G269" t="s">
        <v>742</v>
      </c>
      <c r="H269" t="s">
        <v>496</v>
      </c>
      <c r="I269">
        <v>269.25423999999998</v>
      </c>
    </row>
    <row r="270" spans="1:9" ht="55.5" customHeight="1">
      <c r="A270" s="1" t="str">
        <f>"Chemistry 981"</f>
        <v>Chemistry 981</v>
      </c>
      <c r="B270" t="s">
        <v>743</v>
      </c>
      <c r="C270" t="s">
        <v>270</v>
      </c>
      <c r="D270" s="2">
        <v>14000</v>
      </c>
      <c r="E270" s="2">
        <v>9800</v>
      </c>
      <c r="F270" t="s">
        <v>5</v>
      </c>
      <c r="G270" t="s">
        <v>744</v>
      </c>
      <c r="H270" t="s">
        <v>561</v>
      </c>
      <c r="I270">
        <v>271.22705999999999</v>
      </c>
    </row>
    <row r="271" spans="1:9" ht="61.8" customHeight="1">
      <c r="A271" s="1" t="str">
        <f>"Chemistry 983"</f>
        <v>Chemistry 983</v>
      </c>
      <c r="B271" t="s">
        <v>745</v>
      </c>
      <c r="C271" t="s">
        <v>498</v>
      </c>
      <c r="D271" s="2">
        <v>14000</v>
      </c>
      <c r="E271" s="2">
        <v>9800</v>
      </c>
      <c r="F271" t="s">
        <v>5</v>
      </c>
      <c r="G271" t="s">
        <v>746</v>
      </c>
      <c r="H271" t="s">
        <v>747</v>
      </c>
      <c r="I271">
        <v>314.68216999999999</v>
      </c>
    </row>
    <row r="272" spans="1:9" ht="58.35" customHeight="1">
      <c r="A272" s="1" t="str">
        <f>"Chemistry 986"</f>
        <v>Chemistry 986</v>
      </c>
      <c r="B272" t="s">
        <v>749</v>
      </c>
      <c r="C272" t="s">
        <v>270</v>
      </c>
      <c r="D272" s="2">
        <v>14000</v>
      </c>
      <c r="E272" s="2">
        <v>9800</v>
      </c>
      <c r="F272" t="s">
        <v>5</v>
      </c>
      <c r="G272" t="s">
        <v>750</v>
      </c>
      <c r="H272" t="s">
        <v>748</v>
      </c>
      <c r="I272">
        <v>311.67824000000002</v>
      </c>
    </row>
    <row r="273" spans="1:9" ht="75.75" customHeight="1">
      <c r="A273" s="1" t="str">
        <f>"Chemistry 988"</f>
        <v>Chemistry 988</v>
      </c>
      <c r="B273" t="s">
        <v>752</v>
      </c>
      <c r="C273" t="s">
        <v>270</v>
      </c>
      <c r="D273" s="2">
        <v>14000</v>
      </c>
      <c r="E273" s="2">
        <v>9800</v>
      </c>
      <c r="F273" t="s">
        <v>5</v>
      </c>
      <c r="G273" t="s">
        <v>753</v>
      </c>
      <c r="H273" t="s">
        <v>751</v>
      </c>
      <c r="I273">
        <v>356.12923999999998</v>
      </c>
    </row>
    <row r="274" spans="1:9" ht="70.2" customHeight="1">
      <c r="A274" s="1" t="str">
        <f>"Chemistry 1003"</f>
        <v>Chemistry 1003</v>
      </c>
      <c r="B274" t="s">
        <v>754</v>
      </c>
      <c r="C274" t="s">
        <v>3</v>
      </c>
      <c r="D274" s="2">
        <v>10500</v>
      </c>
      <c r="E274" s="2">
        <v>7349.9999999999991</v>
      </c>
      <c r="F274" t="s">
        <v>5</v>
      </c>
      <c r="G274" t="s">
        <v>755</v>
      </c>
      <c r="H274" t="s">
        <v>259</v>
      </c>
      <c r="I274">
        <v>242.35773</v>
      </c>
    </row>
    <row r="275" spans="1:9" ht="70.2" customHeight="1">
      <c r="A275" s="1" t="str">
        <f>"Chemistry 1004"</f>
        <v>Chemistry 1004</v>
      </c>
      <c r="B275" t="s">
        <v>756</v>
      </c>
      <c r="C275" t="s">
        <v>3</v>
      </c>
      <c r="D275" s="2">
        <v>10500</v>
      </c>
      <c r="E275" s="2">
        <v>7349.9999999999991</v>
      </c>
      <c r="F275" t="s">
        <v>5</v>
      </c>
      <c r="G275" t="s">
        <v>757</v>
      </c>
      <c r="H275" t="s">
        <v>294</v>
      </c>
      <c r="I275">
        <v>270.41090000000003</v>
      </c>
    </row>
    <row r="276" spans="1:9" ht="67.95" customHeight="1">
      <c r="A276" s="1" t="str">
        <f>"Chemistry 1005"</f>
        <v>Chemistry 1005</v>
      </c>
      <c r="B276" t="s">
        <v>758</v>
      </c>
      <c r="C276" t="s">
        <v>3</v>
      </c>
      <c r="D276" s="2">
        <v>12300</v>
      </c>
      <c r="E276" s="2">
        <v>8610</v>
      </c>
      <c r="F276" t="s">
        <v>5</v>
      </c>
      <c r="G276" t="s">
        <v>759</v>
      </c>
      <c r="H276" t="s">
        <v>257</v>
      </c>
      <c r="I276">
        <v>268.39501999999999</v>
      </c>
    </row>
    <row r="277" spans="1:9" ht="57.75" customHeight="1">
      <c r="A277" s="1" t="str">
        <f>"Chemistry 1006"</f>
        <v>Chemistry 1006</v>
      </c>
      <c r="B277" t="s">
        <v>760</v>
      </c>
      <c r="C277" t="s">
        <v>3</v>
      </c>
      <c r="D277" s="2">
        <v>12300</v>
      </c>
      <c r="E277" s="2">
        <v>8610</v>
      </c>
      <c r="F277" t="s">
        <v>5</v>
      </c>
      <c r="G277" t="s">
        <v>761</v>
      </c>
      <c r="H277" t="s">
        <v>312</v>
      </c>
      <c r="I277">
        <v>298.42099999999999</v>
      </c>
    </row>
    <row r="278" spans="1:9" ht="85.35" customHeight="1">
      <c r="A278" s="1" t="str">
        <f>"Chemistry 1014"</f>
        <v>Chemistry 1014</v>
      </c>
      <c r="B278" t="s">
        <v>763</v>
      </c>
      <c r="C278" t="s">
        <v>3</v>
      </c>
      <c r="D278" s="2">
        <v>10500</v>
      </c>
      <c r="E278" s="2">
        <v>7349.9999999999991</v>
      </c>
      <c r="F278" t="s">
        <v>5</v>
      </c>
      <c r="G278" t="s">
        <v>764</v>
      </c>
      <c r="H278" t="s">
        <v>765</v>
      </c>
      <c r="I278">
        <v>362.46319999999997</v>
      </c>
    </row>
    <row r="279" spans="1:9" ht="54.45" customHeight="1">
      <c r="A279" s="1" t="str">
        <f>"Chemistry 1016"</f>
        <v>Chemistry 1016</v>
      </c>
      <c r="B279" t="s">
        <v>766</v>
      </c>
      <c r="C279" t="s">
        <v>3</v>
      </c>
      <c r="D279" s="2">
        <v>10500</v>
      </c>
      <c r="E279" s="2">
        <v>7349.9999999999991</v>
      </c>
      <c r="F279" t="s">
        <v>5</v>
      </c>
      <c r="G279" t="s">
        <v>767</v>
      </c>
      <c r="H279" t="s">
        <v>312</v>
      </c>
      <c r="I279">
        <v>298.42099999999999</v>
      </c>
    </row>
    <row r="280" spans="1:9" ht="67.95" customHeight="1">
      <c r="A280" s="1" t="str">
        <f>"Chemistry 1017"</f>
        <v>Chemistry 1017</v>
      </c>
      <c r="B280" t="s">
        <v>768</v>
      </c>
      <c r="C280" t="s">
        <v>270</v>
      </c>
      <c r="D280" s="2">
        <v>11400</v>
      </c>
      <c r="E280" s="2">
        <v>7979.9999999999991</v>
      </c>
      <c r="F280" t="s">
        <v>5</v>
      </c>
      <c r="G280" t="s">
        <v>769</v>
      </c>
      <c r="H280" t="s">
        <v>353</v>
      </c>
      <c r="I280">
        <v>321.24268000000001</v>
      </c>
    </row>
    <row r="281" spans="1:9" ht="67.95" customHeight="1">
      <c r="A281" s="1" t="str">
        <f>"Chemistry 1031"</f>
        <v>Chemistry 1031</v>
      </c>
      <c r="B281" t="s">
        <v>770</v>
      </c>
      <c r="C281" t="s">
        <v>270</v>
      </c>
      <c r="D281" s="2">
        <v>11400</v>
      </c>
      <c r="E281" s="2">
        <v>7979.9999999999991</v>
      </c>
      <c r="F281" t="s">
        <v>5</v>
      </c>
      <c r="G281" t="s">
        <v>771</v>
      </c>
      <c r="H281" t="s">
        <v>616</v>
      </c>
      <c r="I281">
        <v>311.22304000000003</v>
      </c>
    </row>
    <row r="282" spans="1:9" ht="57.3" customHeight="1">
      <c r="A282" s="1" t="str">
        <f>"Chemistry 1039"</f>
        <v>Chemistry 1039</v>
      </c>
      <c r="B282" t="s">
        <v>772</v>
      </c>
      <c r="C282" t="s">
        <v>3</v>
      </c>
      <c r="D282" s="2">
        <v>12300</v>
      </c>
      <c r="E282" s="2">
        <v>8610</v>
      </c>
      <c r="F282" t="s">
        <v>5</v>
      </c>
      <c r="G282" t="s">
        <v>773</v>
      </c>
      <c r="H282" t="s">
        <v>774</v>
      </c>
      <c r="I282">
        <v>156.26849000000001</v>
      </c>
    </row>
    <row r="283" spans="1:9" ht="51.6" customHeight="1">
      <c r="A283" s="1" t="str">
        <f>"Chemistry 1040"</f>
        <v>Chemistry 1040</v>
      </c>
      <c r="B283" t="s">
        <v>775</v>
      </c>
      <c r="C283" t="s">
        <v>3</v>
      </c>
      <c r="D283" s="2">
        <v>12300</v>
      </c>
      <c r="E283" s="2">
        <v>8610</v>
      </c>
      <c r="F283" t="s">
        <v>5</v>
      </c>
      <c r="G283" t="s">
        <v>776</v>
      </c>
      <c r="H283" t="s">
        <v>777</v>
      </c>
      <c r="I283">
        <v>170.25201999999999</v>
      </c>
    </row>
    <row r="284" spans="1:9" ht="57.75" customHeight="1">
      <c r="A284" s="1" t="str">
        <f>"Chemistry 1042"</f>
        <v>Chemistry 1042</v>
      </c>
      <c r="B284" t="s">
        <v>778</v>
      </c>
      <c r="C284" t="s">
        <v>3</v>
      </c>
      <c r="D284" s="2">
        <v>12300</v>
      </c>
      <c r="E284" s="2">
        <v>8610</v>
      </c>
      <c r="F284" t="s">
        <v>5</v>
      </c>
      <c r="G284" t="s">
        <v>779</v>
      </c>
      <c r="H284" t="s">
        <v>774</v>
      </c>
      <c r="I284">
        <v>156.26849999999999</v>
      </c>
    </row>
    <row r="285" spans="1:9" ht="69" customHeight="1">
      <c r="A285" s="1" t="str">
        <f>"Chemistry 1043"</f>
        <v>Chemistry 1043</v>
      </c>
      <c r="B285" t="s">
        <v>780</v>
      </c>
      <c r="C285" t="s">
        <v>3</v>
      </c>
      <c r="D285" s="2">
        <v>12300</v>
      </c>
      <c r="E285" s="2">
        <v>8610</v>
      </c>
      <c r="F285" t="s">
        <v>5</v>
      </c>
      <c r="G285" t="s">
        <v>781</v>
      </c>
      <c r="H285" t="s">
        <v>782</v>
      </c>
      <c r="I285">
        <v>168.2792</v>
      </c>
    </row>
    <row r="286" spans="1:9" ht="48.75" customHeight="1">
      <c r="A286" s="1" t="str">
        <f>"Chemistry 1044"</f>
        <v>Chemistry 1044</v>
      </c>
      <c r="B286" t="s">
        <v>783</v>
      </c>
      <c r="C286" t="s">
        <v>3</v>
      </c>
      <c r="D286" s="2">
        <v>12300</v>
      </c>
      <c r="E286" s="2">
        <v>8610</v>
      </c>
      <c r="F286" t="s">
        <v>5</v>
      </c>
      <c r="G286" t="s">
        <v>784</v>
      </c>
      <c r="H286" t="s">
        <v>785</v>
      </c>
      <c r="I286">
        <v>182.30578</v>
      </c>
    </row>
    <row r="287" spans="1:9" ht="52.2" customHeight="1">
      <c r="A287" s="1" t="str">
        <f>"Chemistry 1046"</f>
        <v>Chemistry 1046</v>
      </c>
      <c r="B287" t="s">
        <v>786</v>
      </c>
      <c r="C287" t="s">
        <v>270</v>
      </c>
      <c r="D287" s="2">
        <v>12300</v>
      </c>
      <c r="E287" s="2">
        <v>8610</v>
      </c>
      <c r="F287" t="s">
        <v>5</v>
      </c>
      <c r="G287" t="s">
        <v>787</v>
      </c>
      <c r="H287" t="s">
        <v>687</v>
      </c>
      <c r="I287">
        <v>283.62508000000003</v>
      </c>
    </row>
    <row r="288" spans="1:9" ht="52.2" customHeight="1">
      <c r="A288" s="1" t="str">
        <f>"Chemistry 1047"</f>
        <v>Chemistry 1047</v>
      </c>
      <c r="B288" t="s">
        <v>788</v>
      </c>
      <c r="C288" t="s">
        <v>270</v>
      </c>
      <c r="D288" s="2">
        <v>12300</v>
      </c>
      <c r="E288" s="2">
        <v>8610</v>
      </c>
      <c r="F288" t="s">
        <v>5</v>
      </c>
      <c r="G288" t="s">
        <v>789</v>
      </c>
      <c r="H288" t="s">
        <v>692</v>
      </c>
      <c r="I288">
        <v>328.07607999999999</v>
      </c>
    </row>
    <row r="289" spans="1:9" ht="52.2" customHeight="1">
      <c r="A289" s="1" t="str">
        <f>"Chemistry 1048"</f>
        <v>Chemistry 1048</v>
      </c>
      <c r="B289" t="s">
        <v>790</v>
      </c>
      <c r="C289" t="s">
        <v>270</v>
      </c>
      <c r="D289" s="2">
        <v>12300</v>
      </c>
      <c r="E289" s="2">
        <v>8610</v>
      </c>
      <c r="F289" t="s">
        <v>5</v>
      </c>
      <c r="G289" t="s">
        <v>791</v>
      </c>
      <c r="H289" t="s">
        <v>692</v>
      </c>
      <c r="I289">
        <v>328.07607999999999</v>
      </c>
    </row>
    <row r="290" spans="1:9" ht="48.75" customHeight="1">
      <c r="A290" s="1" t="str">
        <f>"Chemistry 1049"</f>
        <v>Chemistry 1049</v>
      </c>
      <c r="B290" t="s">
        <v>792</v>
      </c>
      <c r="C290" t="s">
        <v>270</v>
      </c>
      <c r="D290" s="2">
        <v>12300</v>
      </c>
      <c r="E290" s="2">
        <v>8610</v>
      </c>
      <c r="F290" t="s">
        <v>5</v>
      </c>
      <c r="G290" t="s">
        <v>793</v>
      </c>
      <c r="H290" t="s">
        <v>794</v>
      </c>
      <c r="I290">
        <v>263.20659999999998</v>
      </c>
    </row>
    <row r="291" spans="1:9" ht="48.75" customHeight="1">
      <c r="A291" s="1" t="str">
        <f>"Chemistry 1050"</f>
        <v>Chemistry 1050</v>
      </c>
      <c r="B291" t="s">
        <v>795</v>
      </c>
      <c r="C291" t="s">
        <v>270</v>
      </c>
      <c r="D291" s="2">
        <v>12300</v>
      </c>
      <c r="E291" s="2">
        <v>8610</v>
      </c>
      <c r="F291" t="s">
        <v>5</v>
      </c>
      <c r="G291" t="s">
        <v>796</v>
      </c>
      <c r="H291" t="s">
        <v>794</v>
      </c>
      <c r="I291">
        <v>263.20659999999998</v>
      </c>
    </row>
    <row r="292" spans="1:9" ht="48.75" customHeight="1">
      <c r="A292" s="1" t="str">
        <f>"Chemistry 1051"</f>
        <v>Chemistry 1051</v>
      </c>
      <c r="B292" t="s">
        <v>797</v>
      </c>
      <c r="C292" t="s">
        <v>270</v>
      </c>
      <c r="D292" s="2">
        <v>12300</v>
      </c>
      <c r="E292" s="2">
        <v>8610</v>
      </c>
      <c r="F292" t="s">
        <v>5</v>
      </c>
      <c r="G292" t="s">
        <v>798</v>
      </c>
      <c r="H292" t="s">
        <v>794</v>
      </c>
      <c r="I292">
        <v>263.20659999999998</v>
      </c>
    </row>
    <row r="293" spans="1:9" ht="72.45" customHeight="1">
      <c r="A293" s="1" t="str">
        <f>"Chemistry 1052"</f>
        <v>Chemistry 1052</v>
      </c>
      <c r="B293" t="s">
        <v>799</v>
      </c>
      <c r="C293" t="s">
        <v>270</v>
      </c>
      <c r="D293" s="2">
        <v>12300</v>
      </c>
      <c r="E293" s="2">
        <v>8610</v>
      </c>
      <c r="F293" t="s">
        <v>5</v>
      </c>
      <c r="G293" t="s">
        <v>800</v>
      </c>
      <c r="H293" t="s">
        <v>628</v>
      </c>
      <c r="I293">
        <v>279.20600000000002</v>
      </c>
    </row>
    <row r="294" spans="1:9" ht="71.25" customHeight="1">
      <c r="A294" s="1" t="str">
        <f>"Chemistry 1053"</f>
        <v>Chemistry 1053</v>
      </c>
      <c r="B294" t="s">
        <v>801</v>
      </c>
      <c r="C294" t="s">
        <v>270</v>
      </c>
      <c r="D294" s="2">
        <v>12300</v>
      </c>
      <c r="E294" s="2">
        <v>8610</v>
      </c>
      <c r="F294" t="s">
        <v>5</v>
      </c>
      <c r="G294" t="s">
        <v>802</v>
      </c>
      <c r="H294" t="s">
        <v>628</v>
      </c>
      <c r="I294">
        <v>279.20600000000002</v>
      </c>
    </row>
    <row r="295" spans="1:9" ht="60.6" customHeight="1">
      <c r="A295" s="1" t="str">
        <f>"Chemistry 1054"</f>
        <v>Chemistry 1054</v>
      </c>
      <c r="B295" t="s">
        <v>803</v>
      </c>
      <c r="C295" t="s">
        <v>3</v>
      </c>
      <c r="D295" s="2">
        <v>10500</v>
      </c>
      <c r="E295" s="2">
        <v>7349.9999999999991</v>
      </c>
      <c r="F295" t="s">
        <v>5</v>
      </c>
      <c r="G295" t="s">
        <v>804</v>
      </c>
      <c r="H295" t="s">
        <v>260</v>
      </c>
      <c r="I295">
        <v>240.34186</v>
      </c>
    </row>
    <row r="296" spans="1:9" ht="52.2" customHeight="1">
      <c r="A296" s="1" t="str">
        <f>"Chemistry 1067"</f>
        <v>Chemistry 1067</v>
      </c>
      <c r="B296" t="s">
        <v>805</v>
      </c>
      <c r="C296" t="s">
        <v>270</v>
      </c>
      <c r="D296" s="2">
        <v>12300</v>
      </c>
      <c r="E296" s="2">
        <v>8610</v>
      </c>
      <c r="F296" t="s">
        <v>5</v>
      </c>
      <c r="G296" t="s">
        <v>806</v>
      </c>
      <c r="H296" t="s">
        <v>342</v>
      </c>
      <c r="I296">
        <v>201.13722000000001</v>
      </c>
    </row>
    <row r="297" spans="1:9" ht="52.2" customHeight="1">
      <c r="A297" s="1" t="str">
        <f>"Chemistry 1069"</f>
        <v>Chemistry 1069</v>
      </c>
      <c r="B297" t="s">
        <v>807</v>
      </c>
      <c r="C297" t="s">
        <v>3</v>
      </c>
      <c r="D297" s="2">
        <v>12300</v>
      </c>
      <c r="E297" s="2">
        <v>8610</v>
      </c>
      <c r="F297" t="s">
        <v>5</v>
      </c>
      <c r="G297" t="s">
        <v>808</v>
      </c>
      <c r="H297" t="s">
        <v>809</v>
      </c>
      <c r="I297">
        <v>154.25262000000001</v>
      </c>
    </row>
    <row r="298" spans="1:9" ht="51.6" customHeight="1">
      <c r="A298" s="1" t="str">
        <f>"Chemistry 1071"</f>
        <v>Chemistry 1071</v>
      </c>
      <c r="B298" t="s">
        <v>810</v>
      </c>
      <c r="C298" t="s">
        <v>3</v>
      </c>
      <c r="D298" s="2">
        <v>12300</v>
      </c>
      <c r="E298" s="2">
        <v>8610</v>
      </c>
      <c r="F298" t="s">
        <v>5</v>
      </c>
      <c r="G298" t="s">
        <v>811</v>
      </c>
      <c r="H298" t="s">
        <v>777</v>
      </c>
      <c r="I298">
        <v>170.25201999999999</v>
      </c>
    </row>
    <row r="299" spans="1:9" ht="57.75" customHeight="1">
      <c r="A299" s="1" t="str">
        <f>"Chemistry 1074"</f>
        <v>Chemistry 1074</v>
      </c>
      <c r="B299" t="s">
        <v>812</v>
      </c>
      <c r="C299" t="s">
        <v>270</v>
      </c>
      <c r="D299" s="2">
        <v>12300</v>
      </c>
      <c r="E299" s="2">
        <v>8610</v>
      </c>
      <c r="F299" t="s">
        <v>5</v>
      </c>
      <c r="G299" t="s">
        <v>813</v>
      </c>
      <c r="H299" t="s">
        <v>300</v>
      </c>
      <c r="I299">
        <v>229.19037</v>
      </c>
    </row>
    <row r="300" spans="1:9" ht="48.75" customHeight="1">
      <c r="A300" s="1" t="str">
        <f>"Chemistry 1076"</f>
        <v>Chemistry 1076</v>
      </c>
      <c r="B300" t="s">
        <v>814</v>
      </c>
      <c r="C300" t="s">
        <v>3</v>
      </c>
      <c r="D300" s="2">
        <v>12300</v>
      </c>
      <c r="E300" s="2">
        <v>8610</v>
      </c>
      <c r="F300" t="s">
        <v>5</v>
      </c>
      <c r="G300" t="s">
        <v>815</v>
      </c>
      <c r="H300" t="s">
        <v>99</v>
      </c>
      <c r="I300">
        <v>177.24619999999999</v>
      </c>
    </row>
    <row r="301" spans="1:9" ht="52.2" customHeight="1">
      <c r="A301" s="1" t="str">
        <f>"Chemistry 1077"</f>
        <v>Chemistry 1077</v>
      </c>
      <c r="B301" t="s">
        <v>816</v>
      </c>
      <c r="C301" t="s">
        <v>270</v>
      </c>
      <c r="D301" s="2">
        <v>12300</v>
      </c>
      <c r="E301" s="2">
        <v>8610</v>
      </c>
      <c r="F301" t="s">
        <v>5</v>
      </c>
      <c r="G301" t="s">
        <v>817</v>
      </c>
      <c r="H301" t="s">
        <v>275</v>
      </c>
      <c r="I301">
        <v>267.17048</v>
      </c>
    </row>
    <row r="302" spans="1:9" ht="52.2" customHeight="1">
      <c r="A302" s="1" t="str">
        <f>"Chemistry 1079"</f>
        <v>Chemistry 1079</v>
      </c>
      <c r="B302" t="s">
        <v>818</v>
      </c>
      <c r="C302" t="s">
        <v>270</v>
      </c>
      <c r="D302" s="2">
        <v>12300</v>
      </c>
      <c r="E302" s="2">
        <v>8610</v>
      </c>
      <c r="F302" t="s">
        <v>5</v>
      </c>
      <c r="G302" t="s">
        <v>819</v>
      </c>
      <c r="H302" t="s">
        <v>687</v>
      </c>
      <c r="I302">
        <v>283.62508000000003</v>
      </c>
    </row>
    <row r="303" spans="1:9" ht="52.2" customHeight="1">
      <c r="A303" s="1" t="str">
        <f>"Chemistry 1080"</f>
        <v>Chemistry 1080</v>
      </c>
      <c r="B303" t="s">
        <v>820</v>
      </c>
      <c r="C303" t="s">
        <v>270</v>
      </c>
      <c r="D303" s="2">
        <v>12300</v>
      </c>
      <c r="E303" s="2">
        <v>8610</v>
      </c>
      <c r="F303" t="s">
        <v>5</v>
      </c>
      <c r="G303" t="s">
        <v>821</v>
      </c>
      <c r="H303" t="s">
        <v>687</v>
      </c>
      <c r="I303">
        <v>283.62508000000003</v>
      </c>
    </row>
    <row r="304" spans="1:9" ht="52.2" customHeight="1">
      <c r="A304" s="1" t="str">
        <f>"Chemistry 1081"</f>
        <v>Chemistry 1081</v>
      </c>
      <c r="B304" t="s">
        <v>822</v>
      </c>
      <c r="C304" t="s">
        <v>270</v>
      </c>
      <c r="D304" s="2">
        <v>12300</v>
      </c>
      <c r="E304" s="2">
        <v>8610</v>
      </c>
      <c r="F304" t="s">
        <v>5</v>
      </c>
      <c r="G304" t="s">
        <v>823</v>
      </c>
      <c r="H304" t="s">
        <v>692</v>
      </c>
      <c r="I304">
        <v>328.07607999999999</v>
      </c>
    </row>
    <row r="305" spans="1:9" ht="52.2" customHeight="1">
      <c r="A305" s="1" t="str">
        <f>"Chemistry 1082"</f>
        <v>Chemistry 1082</v>
      </c>
      <c r="B305" t="s">
        <v>824</v>
      </c>
      <c r="C305" t="s">
        <v>270</v>
      </c>
      <c r="D305" s="2">
        <v>12300</v>
      </c>
      <c r="E305" s="2">
        <v>8610</v>
      </c>
      <c r="F305" t="s">
        <v>5</v>
      </c>
      <c r="G305" t="s">
        <v>825</v>
      </c>
      <c r="H305" t="s">
        <v>692</v>
      </c>
      <c r="I305">
        <v>328.07607999999999</v>
      </c>
    </row>
    <row r="306" spans="1:9" ht="48.75" customHeight="1">
      <c r="A306" s="1" t="str">
        <f>"Chemistry 1083"</f>
        <v>Chemistry 1083</v>
      </c>
      <c r="B306" t="s">
        <v>826</v>
      </c>
      <c r="C306" t="s">
        <v>270</v>
      </c>
      <c r="D306" s="2">
        <v>12300</v>
      </c>
      <c r="E306" s="2">
        <v>8610</v>
      </c>
      <c r="F306" t="s">
        <v>5</v>
      </c>
      <c r="G306" t="s">
        <v>827</v>
      </c>
      <c r="H306" t="s">
        <v>794</v>
      </c>
      <c r="I306">
        <v>263.20659999999998</v>
      </c>
    </row>
    <row r="307" spans="1:9" ht="52.2" customHeight="1">
      <c r="A307" s="1" t="str">
        <f>"Chemistry 1087"</f>
        <v>Chemistry 1087</v>
      </c>
      <c r="B307" t="s">
        <v>828</v>
      </c>
      <c r="C307" t="s">
        <v>270</v>
      </c>
      <c r="D307" s="2">
        <v>12300</v>
      </c>
      <c r="E307" s="2">
        <v>8610</v>
      </c>
      <c r="F307" t="s">
        <v>5</v>
      </c>
      <c r="G307" t="s">
        <v>829</v>
      </c>
      <c r="H307" t="s">
        <v>628</v>
      </c>
      <c r="I307">
        <v>279.20600000000002</v>
      </c>
    </row>
    <row r="308" spans="1:9" ht="71.25" customHeight="1">
      <c r="A308" s="1" t="str">
        <f>"Chemistry 1100"</f>
        <v>Chemistry 1100</v>
      </c>
      <c r="B308" t="s">
        <v>832</v>
      </c>
      <c r="C308" t="s">
        <v>3</v>
      </c>
      <c r="D308" s="2">
        <v>9700</v>
      </c>
      <c r="E308" s="2">
        <v>6790</v>
      </c>
      <c r="F308" t="s">
        <v>5</v>
      </c>
      <c r="G308" t="s">
        <v>833</v>
      </c>
      <c r="H308" t="s">
        <v>831</v>
      </c>
      <c r="I308">
        <v>208.23212000000001</v>
      </c>
    </row>
    <row r="309" spans="1:9" ht="67.95" customHeight="1">
      <c r="A309" s="1" t="str">
        <f>"Chemistry 1110"</f>
        <v>Chemistry 1110</v>
      </c>
      <c r="B309" t="s">
        <v>835</v>
      </c>
      <c r="C309" t="s">
        <v>3</v>
      </c>
      <c r="D309" s="2">
        <v>9700</v>
      </c>
      <c r="E309" s="2">
        <v>6790</v>
      </c>
      <c r="F309" t="s">
        <v>5</v>
      </c>
      <c r="G309" t="s">
        <v>836</v>
      </c>
      <c r="H309" t="s">
        <v>831</v>
      </c>
      <c r="I309">
        <v>208.23212000000001</v>
      </c>
    </row>
    <row r="310" spans="1:9" ht="47.7" customHeight="1">
      <c r="A310" s="1" t="str">
        <f>"Chemistry 1123"</f>
        <v>Chemistry 1123</v>
      </c>
      <c r="B310" t="s">
        <v>837</v>
      </c>
      <c r="C310" t="s">
        <v>270</v>
      </c>
      <c r="D310" s="2">
        <v>12300</v>
      </c>
      <c r="E310" s="2">
        <v>8610</v>
      </c>
      <c r="F310" t="s">
        <v>5</v>
      </c>
      <c r="G310" t="s">
        <v>838</v>
      </c>
      <c r="H310" t="s">
        <v>496</v>
      </c>
      <c r="I310">
        <v>269.25423999999998</v>
      </c>
    </row>
    <row r="311" spans="1:9" ht="67.95" customHeight="1">
      <c r="A311" s="1" t="str">
        <f>"Chemistry 1124"</f>
        <v>Chemistry 1124</v>
      </c>
      <c r="B311" t="s">
        <v>839</v>
      </c>
      <c r="C311" t="s">
        <v>270</v>
      </c>
      <c r="D311" s="2">
        <v>12300</v>
      </c>
      <c r="E311" s="2">
        <v>8610</v>
      </c>
      <c r="F311" t="s">
        <v>5</v>
      </c>
      <c r="G311" t="s">
        <v>840</v>
      </c>
      <c r="H311" t="s">
        <v>579</v>
      </c>
      <c r="I311">
        <v>295.22363999999999</v>
      </c>
    </row>
    <row r="312" spans="1:9" ht="67.95" customHeight="1">
      <c r="A312" s="1" t="str">
        <f>"Chemistry 1125"</f>
        <v>Chemistry 1125</v>
      </c>
      <c r="B312" t="s">
        <v>841</v>
      </c>
      <c r="C312" t="s">
        <v>270</v>
      </c>
      <c r="D312" s="2">
        <v>12300</v>
      </c>
      <c r="E312" s="2">
        <v>8610</v>
      </c>
      <c r="F312" t="s">
        <v>5</v>
      </c>
      <c r="G312" t="s">
        <v>842</v>
      </c>
      <c r="H312" t="s">
        <v>751</v>
      </c>
      <c r="I312">
        <v>356.12923999999998</v>
      </c>
    </row>
    <row r="313" spans="1:9" ht="52.2" customHeight="1">
      <c r="A313" s="1" t="str">
        <f>"Chemistry 1126"</f>
        <v>Chemistry 1126</v>
      </c>
      <c r="B313" t="s">
        <v>843</v>
      </c>
      <c r="C313" t="s">
        <v>270</v>
      </c>
      <c r="D313" s="2">
        <v>12300</v>
      </c>
      <c r="E313" s="2">
        <v>8610</v>
      </c>
      <c r="F313" t="s">
        <v>5</v>
      </c>
      <c r="G313" t="s">
        <v>844</v>
      </c>
      <c r="H313" t="s">
        <v>751</v>
      </c>
      <c r="I313">
        <v>356.12923999999998</v>
      </c>
    </row>
    <row r="314" spans="1:9" ht="67.95" customHeight="1">
      <c r="A314" s="1" t="str">
        <f>"Chemistry 1129"</f>
        <v>Chemistry 1129</v>
      </c>
      <c r="B314" t="s">
        <v>845</v>
      </c>
      <c r="C314" t="s">
        <v>270</v>
      </c>
      <c r="D314" s="2">
        <v>15800</v>
      </c>
      <c r="E314" s="2">
        <v>11060</v>
      </c>
      <c r="F314" t="s">
        <v>5</v>
      </c>
      <c r="G314" t="s">
        <v>846</v>
      </c>
      <c r="H314" t="s">
        <v>710</v>
      </c>
      <c r="I314">
        <v>292.20474999999999</v>
      </c>
    </row>
    <row r="315" spans="1:9" ht="52.2" customHeight="1">
      <c r="A315" s="1" t="str">
        <f>"Chemistry 1132"</f>
        <v>Chemistry 1132</v>
      </c>
      <c r="B315" t="s">
        <v>847</v>
      </c>
      <c r="C315" t="s">
        <v>128</v>
      </c>
      <c r="D315" s="2">
        <v>12300</v>
      </c>
      <c r="E315" s="2">
        <v>8610</v>
      </c>
      <c r="F315" t="s">
        <v>5</v>
      </c>
      <c r="G315" t="s">
        <v>848</v>
      </c>
      <c r="H315" t="s">
        <v>335</v>
      </c>
      <c r="I315">
        <v>228.74008000000001</v>
      </c>
    </row>
    <row r="316" spans="1:9" ht="67.95" customHeight="1">
      <c r="A316" s="1" t="str">
        <f>"Chemistry 1133"</f>
        <v>Chemistry 1133</v>
      </c>
      <c r="B316" t="s">
        <v>849</v>
      </c>
      <c r="C316" t="s">
        <v>3</v>
      </c>
      <c r="D316" s="2">
        <v>10500</v>
      </c>
      <c r="E316" s="2">
        <v>7349.9999999999991</v>
      </c>
      <c r="F316" t="s">
        <v>5</v>
      </c>
      <c r="G316" t="s">
        <v>850</v>
      </c>
      <c r="H316" t="s">
        <v>657</v>
      </c>
      <c r="I316">
        <v>310.47474999999997</v>
      </c>
    </row>
    <row r="317" spans="1:9" ht="74.099999999999994" customHeight="1">
      <c r="A317" s="1" t="str">
        <f>"Chemistry 1134"</f>
        <v>Chemistry 1134</v>
      </c>
      <c r="B317" t="s">
        <v>851</v>
      </c>
      <c r="C317" t="s">
        <v>3</v>
      </c>
      <c r="D317" s="2">
        <v>10500</v>
      </c>
      <c r="E317" s="2">
        <v>7349.9999999999991</v>
      </c>
      <c r="F317" t="s">
        <v>5</v>
      </c>
      <c r="G317" t="s">
        <v>852</v>
      </c>
      <c r="H317" t="s">
        <v>257</v>
      </c>
      <c r="I317">
        <v>268.39501999999999</v>
      </c>
    </row>
    <row r="318" spans="1:9" ht="74.099999999999994" customHeight="1">
      <c r="A318" s="1" t="str">
        <f>"Chemistry 1135"</f>
        <v>Chemistry 1135</v>
      </c>
      <c r="B318" t="s">
        <v>853</v>
      </c>
      <c r="C318" t="s">
        <v>3</v>
      </c>
      <c r="D318" s="2">
        <v>10500</v>
      </c>
      <c r="E318" s="2">
        <v>7349.9999999999991</v>
      </c>
      <c r="F318" t="s">
        <v>5</v>
      </c>
      <c r="G318" t="s">
        <v>854</v>
      </c>
      <c r="H318" t="s">
        <v>493</v>
      </c>
      <c r="I318">
        <v>296.44817</v>
      </c>
    </row>
    <row r="319" spans="1:9" ht="87" customHeight="1">
      <c r="A319" s="1" t="str">
        <f>"Chemistry 1136"</f>
        <v>Chemistry 1136</v>
      </c>
      <c r="B319" t="s">
        <v>855</v>
      </c>
      <c r="C319" t="s">
        <v>3</v>
      </c>
      <c r="D319" s="2">
        <v>10500</v>
      </c>
      <c r="E319" s="2">
        <v>7349.9999999999991</v>
      </c>
      <c r="F319" t="s">
        <v>5</v>
      </c>
      <c r="G319" t="s">
        <v>856</v>
      </c>
      <c r="H319" t="s">
        <v>576</v>
      </c>
      <c r="I319">
        <v>322.41757999999999</v>
      </c>
    </row>
    <row r="320" spans="1:9" ht="87" customHeight="1">
      <c r="A320" s="1" t="str">
        <f>"Chemistry 1142"</f>
        <v>Chemistry 1142</v>
      </c>
      <c r="B320" t="s">
        <v>857</v>
      </c>
      <c r="C320" t="s">
        <v>3</v>
      </c>
      <c r="D320" s="2">
        <v>10500</v>
      </c>
      <c r="E320" s="2">
        <v>7349.9999999999991</v>
      </c>
      <c r="F320" t="s">
        <v>5</v>
      </c>
      <c r="G320" t="s">
        <v>858</v>
      </c>
      <c r="H320" t="s">
        <v>653</v>
      </c>
      <c r="I320">
        <v>336.40109999999999</v>
      </c>
    </row>
    <row r="321" spans="1:9" ht="87" customHeight="1">
      <c r="A321" s="1" t="str">
        <f>"Chemistry 1143"</f>
        <v>Chemistry 1143</v>
      </c>
      <c r="B321" t="s">
        <v>859</v>
      </c>
      <c r="C321" t="s">
        <v>3</v>
      </c>
      <c r="D321" s="2">
        <v>10500</v>
      </c>
      <c r="E321" s="2">
        <v>7349.9999999999991</v>
      </c>
      <c r="F321" t="s">
        <v>5</v>
      </c>
      <c r="G321" t="s">
        <v>860</v>
      </c>
      <c r="H321" t="s">
        <v>653</v>
      </c>
      <c r="I321">
        <v>336.40109999999999</v>
      </c>
    </row>
    <row r="322" spans="1:9" ht="75.75" customHeight="1">
      <c r="A322" s="1" t="str">
        <f>"Chemistry 1144"</f>
        <v>Chemistry 1144</v>
      </c>
      <c r="B322" t="s">
        <v>861</v>
      </c>
      <c r="C322" t="s">
        <v>3</v>
      </c>
      <c r="D322" s="2">
        <v>10500</v>
      </c>
      <c r="E322" s="2">
        <v>7349.9999999999991</v>
      </c>
      <c r="F322" t="s">
        <v>5</v>
      </c>
      <c r="G322" t="s">
        <v>862</v>
      </c>
      <c r="H322" t="s">
        <v>334</v>
      </c>
      <c r="I322">
        <v>292.39496000000003</v>
      </c>
    </row>
    <row r="323" spans="1:9" ht="52.2" customHeight="1">
      <c r="A323" s="1" t="str">
        <f>"Chemistry 1146"</f>
        <v>Chemistry 1146</v>
      </c>
      <c r="B323" t="s">
        <v>863</v>
      </c>
      <c r="C323" t="s">
        <v>270</v>
      </c>
      <c r="D323" s="2">
        <v>11400</v>
      </c>
      <c r="E323" s="2">
        <v>7979.9999999999991</v>
      </c>
      <c r="F323" t="s">
        <v>5</v>
      </c>
      <c r="G323" t="s">
        <v>864</v>
      </c>
      <c r="H323" t="s">
        <v>561</v>
      </c>
      <c r="I323">
        <v>271.22705999999999</v>
      </c>
    </row>
    <row r="324" spans="1:9" ht="71.25" customHeight="1">
      <c r="A324" s="1" t="str">
        <f>"Chemistry 1147"</f>
        <v>Chemistry 1147</v>
      </c>
      <c r="B324" t="s">
        <v>865</v>
      </c>
      <c r="C324" t="s">
        <v>128</v>
      </c>
      <c r="D324" s="2">
        <v>11400</v>
      </c>
      <c r="E324" s="2">
        <v>7979.9999999999991</v>
      </c>
      <c r="F324" t="s">
        <v>5</v>
      </c>
      <c r="G324" t="s">
        <v>866</v>
      </c>
      <c r="H324" t="s">
        <v>834</v>
      </c>
      <c r="I324">
        <v>234.72306</v>
      </c>
    </row>
    <row r="325" spans="1:9" ht="71.25" customHeight="1">
      <c r="A325" s="1" t="str">
        <f>"Chemistry 1149"</f>
        <v>Chemistry 1149</v>
      </c>
      <c r="B325" t="s">
        <v>867</v>
      </c>
      <c r="C325" t="s">
        <v>128</v>
      </c>
      <c r="D325" s="2">
        <v>11400</v>
      </c>
      <c r="E325" s="2">
        <v>7979.9999999999991</v>
      </c>
      <c r="F325" t="s">
        <v>5</v>
      </c>
      <c r="G325" t="s">
        <v>868</v>
      </c>
      <c r="H325" t="s">
        <v>834</v>
      </c>
      <c r="I325">
        <v>234.72306</v>
      </c>
    </row>
    <row r="326" spans="1:9" ht="71.25" customHeight="1">
      <c r="A326" s="1" t="str">
        <f>"Chemistry 1150"</f>
        <v>Chemistry 1150</v>
      </c>
      <c r="B326" t="s">
        <v>869</v>
      </c>
      <c r="C326" t="s">
        <v>128</v>
      </c>
      <c r="D326" s="2">
        <v>11400</v>
      </c>
      <c r="E326" s="2">
        <v>7979.9999999999991</v>
      </c>
      <c r="F326" t="s">
        <v>5</v>
      </c>
      <c r="G326" t="s">
        <v>870</v>
      </c>
      <c r="H326" t="s">
        <v>431</v>
      </c>
      <c r="I326">
        <v>233.73830000000001</v>
      </c>
    </row>
    <row r="327" spans="1:9" ht="52.2" customHeight="1">
      <c r="A327" s="1" t="str">
        <f>"Chemistry 1153"</f>
        <v>Chemistry 1153</v>
      </c>
      <c r="B327" t="s">
        <v>871</v>
      </c>
      <c r="C327" t="s">
        <v>270</v>
      </c>
      <c r="D327" s="2">
        <v>12300</v>
      </c>
      <c r="E327" s="2">
        <v>8610</v>
      </c>
      <c r="F327" t="s">
        <v>5</v>
      </c>
      <c r="G327" t="s">
        <v>872</v>
      </c>
      <c r="H327" t="s">
        <v>482</v>
      </c>
      <c r="I327">
        <v>227.17449999999999</v>
      </c>
    </row>
    <row r="328" spans="1:9" ht="57.75" customHeight="1">
      <c r="A328" s="1" t="str">
        <f>"Chemistry 1154"</f>
        <v>Chemistry 1154</v>
      </c>
      <c r="B328" t="s">
        <v>873</v>
      </c>
      <c r="C328" t="s">
        <v>270</v>
      </c>
      <c r="D328" s="2">
        <v>12300</v>
      </c>
      <c r="E328" s="2">
        <v>8610</v>
      </c>
      <c r="F328" t="s">
        <v>5</v>
      </c>
      <c r="G328" t="s">
        <v>874</v>
      </c>
      <c r="H328" t="s">
        <v>482</v>
      </c>
      <c r="I328">
        <v>227.17449999999999</v>
      </c>
    </row>
    <row r="329" spans="1:9" ht="61.8" customHeight="1">
      <c r="A329" s="1" t="str">
        <f>"Chemistry 1156"</f>
        <v>Chemistry 1156</v>
      </c>
      <c r="B329" t="s">
        <v>875</v>
      </c>
      <c r="C329" t="s">
        <v>3</v>
      </c>
      <c r="D329" s="2">
        <v>10500</v>
      </c>
      <c r="E329" s="2">
        <v>7349.9999999999991</v>
      </c>
      <c r="F329" t="s">
        <v>5</v>
      </c>
      <c r="G329" t="s">
        <v>876</v>
      </c>
      <c r="H329" t="s">
        <v>877</v>
      </c>
      <c r="I329">
        <v>214.30457999999999</v>
      </c>
    </row>
    <row r="330" spans="1:9" ht="71.25" customHeight="1">
      <c r="A330" s="1" t="str">
        <f>"Chemistry 1157"</f>
        <v>Chemistry 1157</v>
      </c>
      <c r="B330" t="s">
        <v>878</v>
      </c>
      <c r="C330" t="s">
        <v>3</v>
      </c>
      <c r="D330" s="2">
        <v>10500</v>
      </c>
      <c r="E330" s="2">
        <v>7349.9999999999991</v>
      </c>
      <c r="F330" t="s">
        <v>5</v>
      </c>
      <c r="G330" t="s">
        <v>879</v>
      </c>
      <c r="H330" t="s">
        <v>292</v>
      </c>
      <c r="I330">
        <v>284.39440999999999</v>
      </c>
    </row>
    <row r="331" spans="1:9" ht="52.2" customHeight="1">
      <c r="A331" s="1" t="str">
        <f>"Chemistry 1159"</f>
        <v>Chemistry 1159</v>
      </c>
      <c r="B331" t="s">
        <v>880</v>
      </c>
      <c r="C331" t="s">
        <v>270</v>
      </c>
      <c r="D331" s="2">
        <v>12300</v>
      </c>
      <c r="E331" s="2">
        <v>8610</v>
      </c>
      <c r="F331" t="s">
        <v>5</v>
      </c>
      <c r="G331" t="s">
        <v>881</v>
      </c>
      <c r="H331" t="s">
        <v>882</v>
      </c>
      <c r="I331">
        <v>187.11062999999999</v>
      </c>
    </row>
    <row r="332" spans="1:9" ht="69" customHeight="1">
      <c r="A332" s="1" t="str">
        <f>"Chemistry 1160"</f>
        <v>Chemistry 1160</v>
      </c>
      <c r="B332" t="s">
        <v>883</v>
      </c>
      <c r="C332" t="s">
        <v>270</v>
      </c>
      <c r="D332" s="2">
        <v>12300</v>
      </c>
      <c r="E332" s="2">
        <v>8610</v>
      </c>
      <c r="F332" t="s">
        <v>5</v>
      </c>
      <c r="G332" t="s">
        <v>884</v>
      </c>
      <c r="H332" t="s">
        <v>468</v>
      </c>
      <c r="I332">
        <v>241.20107999999999</v>
      </c>
    </row>
    <row r="333" spans="1:9" ht="48.75" customHeight="1">
      <c r="A333" s="1" t="str">
        <f>"Chemistry 1161"</f>
        <v>Chemistry 1161</v>
      </c>
      <c r="B333" t="s">
        <v>885</v>
      </c>
      <c r="C333" t="s">
        <v>270</v>
      </c>
      <c r="D333" s="2">
        <v>12300</v>
      </c>
      <c r="E333" s="2">
        <v>8610</v>
      </c>
      <c r="F333" t="s">
        <v>5</v>
      </c>
      <c r="G333" t="s">
        <v>886</v>
      </c>
      <c r="H333" t="s">
        <v>887</v>
      </c>
      <c r="I333">
        <v>257.20048000000003</v>
      </c>
    </row>
    <row r="334" spans="1:9" ht="71.849999999999994" customHeight="1">
      <c r="A334" s="1" t="str">
        <f>"Chemistry 1168"</f>
        <v>Chemistry 1168</v>
      </c>
      <c r="B334" t="s">
        <v>888</v>
      </c>
      <c r="C334" t="s">
        <v>128</v>
      </c>
      <c r="D334" s="2">
        <v>9700</v>
      </c>
      <c r="E334" s="2">
        <v>6790</v>
      </c>
      <c r="F334" t="s">
        <v>5</v>
      </c>
      <c r="G334" t="s">
        <v>889</v>
      </c>
      <c r="H334" t="s">
        <v>316</v>
      </c>
      <c r="I334">
        <v>204.69708</v>
      </c>
    </row>
    <row r="335" spans="1:9" ht="44.25" customHeight="1">
      <c r="A335" s="1" t="str">
        <f>"Chemistry 1170"</f>
        <v>Chemistry 1170</v>
      </c>
      <c r="B335" t="s">
        <v>890</v>
      </c>
      <c r="C335" t="s">
        <v>270</v>
      </c>
      <c r="D335" s="2">
        <v>14000</v>
      </c>
      <c r="E335" s="2">
        <v>9800</v>
      </c>
      <c r="F335" t="s">
        <v>5</v>
      </c>
      <c r="G335" t="s">
        <v>891</v>
      </c>
      <c r="H335" t="s">
        <v>342</v>
      </c>
      <c r="I335">
        <v>201.13722000000001</v>
      </c>
    </row>
    <row r="336" spans="1:9" ht="44.25" customHeight="1">
      <c r="A336" s="1" t="str">
        <f>"Chemistry 1171"</f>
        <v>Chemistry 1171</v>
      </c>
      <c r="B336" t="s">
        <v>892</v>
      </c>
      <c r="C336" t="s">
        <v>270</v>
      </c>
      <c r="D336" s="2">
        <v>14000</v>
      </c>
      <c r="E336" s="2">
        <v>9800</v>
      </c>
      <c r="F336" t="s">
        <v>5</v>
      </c>
      <c r="G336" t="s">
        <v>893</v>
      </c>
      <c r="H336" t="s">
        <v>347</v>
      </c>
      <c r="I336">
        <v>215.16379000000001</v>
      </c>
    </row>
    <row r="337" spans="1:9" ht="55.5" customHeight="1">
      <c r="A337" s="1" t="str">
        <f>"Chemistry 1172"</f>
        <v>Chemistry 1172</v>
      </c>
      <c r="B337" t="s">
        <v>894</v>
      </c>
      <c r="C337" t="s">
        <v>270</v>
      </c>
      <c r="D337" s="2">
        <v>14000</v>
      </c>
      <c r="E337" s="2">
        <v>9800</v>
      </c>
      <c r="F337" t="s">
        <v>5</v>
      </c>
      <c r="G337" t="s">
        <v>895</v>
      </c>
      <c r="H337" t="s">
        <v>473</v>
      </c>
      <c r="I337">
        <v>255.22765999999999</v>
      </c>
    </row>
    <row r="338" spans="1:9" ht="57.3" customHeight="1">
      <c r="A338" s="1" t="str">
        <f>"Chemistry 1173"</f>
        <v>Chemistry 1173</v>
      </c>
      <c r="B338" t="s">
        <v>896</v>
      </c>
      <c r="C338" t="s">
        <v>270</v>
      </c>
      <c r="D338" s="2">
        <v>14000</v>
      </c>
      <c r="E338" s="2">
        <v>9800</v>
      </c>
      <c r="F338" t="s">
        <v>5</v>
      </c>
      <c r="G338" t="s">
        <v>897</v>
      </c>
      <c r="H338" t="s">
        <v>496</v>
      </c>
      <c r="I338">
        <v>269.25423999999998</v>
      </c>
    </row>
    <row r="339" spans="1:9" ht="61.8" customHeight="1">
      <c r="A339" s="1" t="str">
        <f>"Chemistry 1174"</f>
        <v>Chemistry 1174</v>
      </c>
      <c r="B339" t="s">
        <v>898</v>
      </c>
      <c r="C339" t="s">
        <v>270</v>
      </c>
      <c r="D339" s="2">
        <v>14000</v>
      </c>
      <c r="E339" s="2">
        <v>9800</v>
      </c>
      <c r="F339" t="s">
        <v>5</v>
      </c>
      <c r="G339" t="s">
        <v>899</v>
      </c>
      <c r="H339" t="s">
        <v>579</v>
      </c>
      <c r="I339">
        <v>295.22363999999999</v>
      </c>
    </row>
    <row r="340" spans="1:9" ht="57.75" customHeight="1">
      <c r="A340" s="1" t="str">
        <f>"Chemistry 1177"</f>
        <v>Chemistry 1177</v>
      </c>
      <c r="B340" t="s">
        <v>900</v>
      </c>
      <c r="C340" t="s">
        <v>3</v>
      </c>
      <c r="D340" s="2">
        <v>12300</v>
      </c>
      <c r="E340" s="2">
        <v>8610</v>
      </c>
      <c r="F340" t="s">
        <v>5</v>
      </c>
      <c r="G340" t="s">
        <v>901</v>
      </c>
      <c r="H340" t="s">
        <v>254</v>
      </c>
      <c r="I340">
        <v>228.33116000000001</v>
      </c>
    </row>
    <row r="341" spans="1:9" ht="69.599999999999994" customHeight="1">
      <c r="A341" s="1" t="str">
        <f>"Chemistry 1179"</f>
        <v>Chemistry 1179</v>
      </c>
      <c r="B341" t="s">
        <v>902</v>
      </c>
      <c r="C341" t="s">
        <v>3</v>
      </c>
      <c r="D341" s="2">
        <v>12300</v>
      </c>
      <c r="E341" s="2">
        <v>8610</v>
      </c>
      <c r="F341" t="s">
        <v>5</v>
      </c>
      <c r="G341" t="s">
        <v>903</v>
      </c>
      <c r="H341" t="s">
        <v>261</v>
      </c>
      <c r="I341">
        <v>282.42160000000001</v>
      </c>
    </row>
    <row r="342" spans="1:9" ht="81.45" customHeight="1">
      <c r="A342" s="1" t="str">
        <f>"Chemistry 1181"</f>
        <v>Chemistry 1181</v>
      </c>
      <c r="B342" t="s">
        <v>904</v>
      </c>
      <c r="C342" t="s">
        <v>3</v>
      </c>
      <c r="D342" s="2">
        <v>10500</v>
      </c>
      <c r="E342" s="2">
        <v>7349.9999999999991</v>
      </c>
      <c r="F342" t="s">
        <v>5</v>
      </c>
      <c r="G342" t="s">
        <v>905</v>
      </c>
      <c r="H342" t="s">
        <v>576</v>
      </c>
      <c r="I342">
        <v>322.41757999999999</v>
      </c>
    </row>
    <row r="343" spans="1:9" ht="47.7" customHeight="1">
      <c r="A343" s="1" t="str">
        <f>"Chemistry 1182"</f>
        <v>Chemistry 1182</v>
      </c>
      <c r="B343" t="s">
        <v>906</v>
      </c>
      <c r="C343" t="s">
        <v>270</v>
      </c>
      <c r="D343" s="2">
        <v>12300</v>
      </c>
      <c r="E343" s="2">
        <v>8610</v>
      </c>
      <c r="F343" t="s">
        <v>5</v>
      </c>
      <c r="G343" t="s">
        <v>907</v>
      </c>
      <c r="H343" t="s">
        <v>347</v>
      </c>
      <c r="I343">
        <v>215.16380000000001</v>
      </c>
    </row>
    <row r="344" spans="1:9" ht="47.7" customHeight="1">
      <c r="A344" s="1" t="str">
        <f>"Chemistry 1183"</f>
        <v>Chemistry 1183</v>
      </c>
      <c r="B344" t="s">
        <v>908</v>
      </c>
      <c r="C344" t="s">
        <v>270</v>
      </c>
      <c r="D344" s="2">
        <v>12300</v>
      </c>
      <c r="E344" s="2">
        <v>8610</v>
      </c>
      <c r="F344" t="s">
        <v>5</v>
      </c>
      <c r="G344" t="s">
        <v>909</v>
      </c>
      <c r="H344" t="s">
        <v>300</v>
      </c>
      <c r="I344">
        <v>229.19038</v>
      </c>
    </row>
    <row r="345" spans="1:9" ht="47.7" customHeight="1">
      <c r="A345" s="1" t="str">
        <f>"Chemistry 1184"</f>
        <v>Chemistry 1184</v>
      </c>
      <c r="B345" t="s">
        <v>910</v>
      </c>
      <c r="C345" t="s">
        <v>270</v>
      </c>
      <c r="D345" s="2">
        <v>12300</v>
      </c>
      <c r="E345" s="2">
        <v>8610</v>
      </c>
      <c r="F345" t="s">
        <v>5</v>
      </c>
      <c r="G345" t="s">
        <v>911</v>
      </c>
      <c r="H345" t="s">
        <v>649</v>
      </c>
      <c r="I345">
        <v>257.24354</v>
      </c>
    </row>
    <row r="346" spans="1:9" ht="48.75" customHeight="1">
      <c r="A346" s="1" t="str">
        <f>"Chemistry 1185"</f>
        <v>Chemistry 1185</v>
      </c>
      <c r="B346" t="s">
        <v>912</v>
      </c>
      <c r="C346" t="s">
        <v>270</v>
      </c>
      <c r="D346" s="2">
        <v>12300</v>
      </c>
      <c r="E346" s="2">
        <v>8610</v>
      </c>
      <c r="F346" t="s">
        <v>5</v>
      </c>
      <c r="G346" t="s">
        <v>913</v>
      </c>
      <c r="H346" t="s">
        <v>323</v>
      </c>
      <c r="I346">
        <v>243.21696</v>
      </c>
    </row>
    <row r="347" spans="1:9" ht="54.45" customHeight="1">
      <c r="A347" s="1" t="str">
        <f>"Chemistry 1186"</f>
        <v>Chemistry 1186</v>
      </c>
      <c r="B347" t="s">
        <v>914</v>
      </c>
      <c r="C347" t="s">
        <v>270</v>
      </c>
      <c r="D347" s="2">
        <v>12300</v>
      </c>
      <c r="E347" s="2">
        <v>8610</v>
      </c>
      <c r="F347" t="s">
        <v>5</v>
      </c>
      <c r="G347" t="s">
        <v>915</v>
      </c>
      <c r="H347" t="s">
        <v>649</v>
      </c>
      <c r="I347">
        <v>257.24354</v>
      </c>
    </row>
    <row r="348" spans="1:9" ht="48.75" customHeight="1">
      <c r="A348" s="1" t="str">
        <f>"Chemistry 1187"</f>
        <v>Chemistry 1187</v>
      </c>
      <c r="B348" t="s">
        <v>916</v>
      </c>
      <c r="C348" t="s">
        <v>270</v>
      </c>
      <c r="D348" s="2">
        <v>12300</v>
      </c>
      <c r="E348" s="2">
        <v>8610</v>
      </c>
      <c r="F348" t="s">
        <v>5</v>
      </c>
      <c r="G348" t="s">
        <v>917</v>
      </c>
      <c r="H348" t="s">
        <v>473</v>
      </c>
      <c r="I348">
        <v>255.22765999999999</v>
      </c>
    </row>
    <row r="349" spans="1:9" ht="48.75" customHeight="1">
      <c r="A349" s="1" t="str">
        <f>"Chemistry 1188"</f>
        <v>Chemistry 1188</v>
      </c>
      <c r="B349" t="s">
        <v>918</v>
      </c>
      <c r="C349" t="s">
        <v>270</v>
      </c>
      <c r="D349" s="2">
        <v>12300</v>
      </c>
      <c r="E349" s="2">
        <v>8610</v>
      </c>
      <c r="F349" t="s">
        <v>5</v>
      </c>
      <c r="G349" t="s">
        <v>919</v>
      </c>
      <c r="H349" t="s">
        <v>496</v>
      </c>
      <c r="I349">
        <v>269.25423999999998</v>
      </c>
    </row>
    <row r="350" spans="1:9" ht="48.75" customHeight="1">
      <c r="A350" s="1" t="str">
        <f>"Chemistry 1189"</f>
        <v>Chemistry 1189</v>
      </c>
      <c r="B350" t="s">
        <v>920</v>
      </c>
      <c r="C350" t="s">
        <v>270</v>
      </c>
      <c r="D350" s="2">
        <v>12300</v>
      </c>
      <c r="E350" s="2">
        <v>8610</v>
      </c>
      <c r="F350" t="s">
        <v>5</v>
      </c>
      <c r="G350" t="s">
        <v>921</v>
      </c>
      <c r="H350" t="s">
        <v>736</v>
      </c>
      <c r="I350">
        <v>283.28082000000001</v>
      </c>
    </row>
    <row r="351" spans="1:9" ht="48.75" customHeight="1">
      <c r="A351" s="1" t="str">
        <f>"Chemistry 1190"</f>
        <v>Chemistry 1190</v>
      </c>
      <c r="B351" t="s">
        <v>922</v>
      </c>
      <c r="C351" t="s">
        <v>270</v>
      </c>
      <c r="D351" s="2">
        <v>12300</v>
      </c>
      <c r="E351" s="2">
        <v>8610</v>
      </c>
      <c r="F351" t="s">
        <v>5</v>
      </c>
      <c r="G351" t="s">
        <v>923</v>
      </c>
      <c r="H351" t="s">
        <v>924</v>
      </c>
      <c r="I351">
        <v>285.25364000000002</v>
      </c>
    </row>
    <row r="352" spans="1:9" ht="47.7" customHeight="1">
      <c r="A352" s="1" t="str">
        <f>"Chemistry 1191"</f>
        <v>Chemistry 1191</v>
      </c>
      <c r="B352" t="s">
        <v>925</v>
      </c>
      <c r="C352" t="s">
        <v>270</v>
      </c>
      <c r="D352" s="2">
        <v>12300</v>
      </c>
      <c r="E352" s="2">
        <v>8610</v>
      </c>
      <c r="F352" t="s">
        <v>5</v>
      </c>
      <c r="G352" t="s">
        <v>926</v>
      </c>
      <c r="H352" t="s">
        <v>468</v>
      </c>
      <c r="I352">
        <v>241.20107999999999</v>
      </c>
    </row>
    <row r="353" spans="1:9" ht="47.7" customHeight="1">
      <c r="A353" s="1" t="str">
        <f>"Chemistry 1192"</f>
        <v>Chemistry 1192</v>
      </c>
      <c r="B353" t="s">
        <v>927</v>
      </c>
      <c r="C353" t="s">
        <v>270</v>
      </c>
      <c r="D353" s="2">
        <v>12300</v>
      </c>
      <c r="E353" s="2">
        <v>8610</v>
      </c>
      <c r="F353" t="s">
        <v>5</v>
      </c>
      <c r="G353" t="s">
        <v>928</v>
      </c>
      <c r="H353" t="s">
        <v>561</v>
      </c>
      <c r="I353">
        <v>271.22705999999999</v>
      </c>
    </row>
    <row r="354" spans="1:9" ht="52.2" customHeight="1">
      <c r="A354" s="1" t="str">
        <f>"Chemistry 1193"</f>
        <v>Chemistry 1193</v>
      </c>
      <c r="B354" t="s">
        <v>929</v>
      </c>
      <c r="C354" t="s">
        <v>498</v>
      </c>
      <c r="D354" s="2">
        <v>12300</v>
      </c>
      <c r="E354" s="2">
        <v>8610</v>
      </c>
      <c r="F354" t="s">
        <v>5</v>
      </c>
      <c r="G354" t="s">
        <v>930</v>
      </c>
      <c r="H354" t="s">
        <v>747</v>
      </c>
      <c r="I354">
        <v>314.68218000000002</v>
      </c>
    </row>
    <row r="355" spans="1:9" ht="52.2" customHeight="1">
      <c r="A355" s="1" t="str">
        <f>"Chemistry 1194"</f>
        <v>Chemistry 1194</v>
      </c>
      <c r="B355" t="s">
        <v>931</v>
      </c>
      <c r="C355" t="s">
        <v>498</v>
      </c>
      <c r="D355" s="2">
        <v>12300</v>
      </c>
      <c r="E355" s="2">
        <v>8610</v>
      </c>
      <c r="F355" t="s">
        <v>5</v>
      </c>
      <c r="G355" t="s">
        <v>932</v>
      </c>
      <c r="H355" t="s">
        <v>747</v>
      </c>
      <c r="I355">
        <v>314.68218000000002</v>
      </c>
    </row>
    <row r="356" spans="1:9" ht="48.75" customHeight="1">
      <c r="A356" s="1" t="str">
        <f>"Chemistry 1195"</f>
        <v>Chemistry 1195</v>
      </c>
      <c r="B356" t="s">
        <v>933</v>
      </c>
      <c r="C356" t="s">
        <v>498</v>
      </c>
      <c r="D356" s="2">
        <v>12300</v>
      </c>
      <c r="E356" s="2">
        <v>8610</v>
      </c>
      <c r="F356" t="s">
        <v>5</v>
      </c>
      <c r="G356" t="s">
        <v>934</v>
      </c>
      <c r="H356" t="s">
        <v>747</v>
      </c>
      <c r="I356">
        <v>314.68218000000002</v>
      </c>
    </row>
    <row r="357" spans="1:9" ht="67.95" customHeight="1">
      <c r="A357" s="1" t="str">
        <f>"Chemistry 1196"</f>
        <v>Chemistry 1196</v>
      </c>
      <c r="B357" t="s">
        <v>935</v>
      </c>
      <c r="C357" t="s">
        <v>270</v>
      </c>
      <c r="D357" s="2">
        <v>12300</v>
      </c>
      <c r="E357" s="2">
        <v>8610</v>
      </c>
      <c r="F357" t="s">
        <v>5</v>
      </c>
      <c r="G357" t="s">
        <v>936</v>
      </c>
      <c r="H357" t="s">
        <v>748</v>
      </c>
      <c r="I357">
        <v>311.67824000000002</v>
      </c>
    </row>
    <row r="358" spans="1:9" ht="52.2" customHeight="1">
      <c r="A358" s="1" t="str">
        <f>"Chemistry 1197"</f>
        <v>Chemistry 1197</v>
      </c>
      <c r="B358" t="s">
        <v>937</v>
      </c>
      <c r="C358" t="s">
        <v>270</v>
      </c>
      <c r="D358" s="2">
        <v>12300</v>
      </c>
      <c r="E358" s="2">
        <v>8610</v>
      </c>
      <c r="F358" t="s">
        <v>5</v>
      </c>
      <c r="G358" t="s">
        <v>938</v>
      </c>
      <c r="H358" t="s">
        <v>748</v>
      </c>
      <c r="I358">
        <v>311.67824000000002</v>
      </c>
    </row>
    <row r="359" spans="1:9" ht="67.95" customHeight="1">
      <c r="A359" s="1" t="str">
        <f>"Chemistry 1198"</f>
        <v>Chemistry 1198</v>
      </c>
      <c r="B359" t="s">
        <v>939</v>
      </c>
      <c r="C359" t="s">
        <v>270</v>
      </c>
      <c r="D359" s="2">
        <v>12300</v>
      </c>
      <c r="E359" s="2">
        <v>8610</v>
      </c>
      <c r="F359" t="s">
        <v>5</v>
      </c>
      <c r="G359" t="s">
        <v>940</v>
      </c>
      <c r="H359" t="s">
        <v>751</v>
      </c>
      <c r="I359">
        <v>356.12923999999998</v>
      </c>
    </row>
    <row r="360" spans="1:9" ht="71.25" customHeight="1">
      <c r="A360" s="1" t="str">
        <f>"Chemistry 1204"</f>
        <v>Chemistry 1204</v>
      </c>
      <c r="B360" t="s">
        <v>941</v>
      </c>
      <c r="C360" t="s">
        <v>270</v>
      </c>
      <c r="D360" s="2">
        <v>15800</v>
      </c>
      <c r="E360" s="2">
        <v>11060</v>
      </c>
      <c r="F360" t="s">
        <v>5</v>
      </c>
      <c r="G360" t="s">
        <v>942</v>
      </c>
      <c r="H360" t="s">
        <v>710</v>
      </c>
      <c r="I360">
        <v>292.20474999999999</v>
      </c>
    </row>
    <row r="361" spans="1:9" ht="67.95" customHeight="1">
      <c r="A361" s="1" t="str">
        <f>"Chemistry 1205"</f>
        <v>Chemistry 1205</v>
      </c>
      <c r="B361" t="s">
        <v>943</v>
      </c>
      <c r="C361" t="s">
        <v>128</v>
      </c>
      <c r="D361" s="2">
        <v>14000</v>
      </c>
      <c r="E361" s="2">
        <v>9800</v>
      </c>
      <c r="F361" t="s">
        <v>5</v>
      </c>
      <c r="G361" t="s">
        <v>944</v>
      </c>
      <c r="H361" t="s">
        <v>643</v>
      </c>
      <c r="I361">
        <v>272.74621999999999</v>
      </c>
    </row>
    <row r="362" spans="1:9" ht="55.5" customHeight="1">
      <c r="A362" s="1" t="str">
        <f>"Chemistry 1206"</f>
        <v>Chemistry 1206</v>
      </c>
      <c r="B362" t="s">
        <v>945</v>
      </c>
      <c r="C362" t="s">
        <v>128</v>
      </c>
      <c r="D362" s="2">
        <v>14000</v>
      </c>
      <c r="E362" s="2">
        <v>9800</v>
      </c>
      <c r="F362" t="s">
        <v>5</v>
      </c>
      <c r="G362" t="s">
        <v>946</v>
      </c>
      <c r="H362" t="s">
        <v>442</v>
      </c>
      <c r="I362">
        <v>242.76666</v>
      </c>
    </row>
    <row r="363" spans="1:9" ht="55.5" customHeight="1">
      <c r="A363" s="1" t="str">
        <f>"Chemistry 1207"</f>
        <v>Chemistry 1207</v>
      </c>
      <c r="B363" t="s">
        <v>947</v>
      </c>
      <c r="C363" t="s">
        <v>128</v>
      </c>
      <c r="D363" s="2">
        <v>14000</v>
      </c>
      <c r="E363" s="2">
        <v>9800</v>
      </c>
      <c r="F363" t="s">
        <v>5</v>
      </c>
      <c r="G363" t="s">
        <v>948</v>
      </c>
      <c r="H363" t="s">
        <v>949</v>
      </c>
      <c r="I363">
        <v>256.79324000000003</v>
      </c>
    </row>
    <row r="364" spans="1:9" ht="67.95" customHeight="1">
      <c r="A364" s="1" t="str">
        <f>"Chemistry 1208"</f>
        <v>Chemistry 1208</v>
      </c>
      <c r="B364" t="s">
        <v>950</v>
      </c>
      <c r="C364" t="s">
        <v>3</v>
      </c>
      <c r="D364" s="2">
        <v>10500</v>
      </c>
      <c r="E364" s="2">
        <v>7349.9999999999991</v>
      </c>
      <c r="F364" t="s">
        <v>5</v>
      </c>
      <c r="G364" t="s">
        <v>951</v>
      </c>
      <c r="H364" t="s">
        <v>259</v>
      </c>
      <c r="I364">
        <v>242.35774000000001</v>
      </c>
    </row>
    <row r="365" spans="1:9" ht="74.099999999999994" customHeight="1">
      <c r="A365" s="1" t="str">
        <f>"Chemistry 1209"</f>
        <v>Chemistry 1209</v>
      </c>
      <c r="B365" t="s">
        <v>952</v>
      </c>
      <c r="C365" t="s">
        <v>3</v>
      </c>
      <c r="D365" s="2">
        <v>10500</v>
      </c>
      <c r="E365" s="2">
        <v>7349.9999999999991</v>
      </c>
      <c r="F365" t="s">
        <v>5</v>
      </c>
      <c r="G365" t="s">
        <v>953</v>
      </c>
      <c r="H365" t="s">
        <v>255</v>
      </c>
      <c r="I365">
        <v>256.38432</v>
      </c>
    </row>
    <row r="366" spans="1:9" ht="74.099999999999994" customHeight="1">
      <c r="A366" s="1" t="str">
        <f>"Chemistry 1210"</f>
        <v>Chemistry 1210</v>
      </c>
      <c r="B366" t="s">
        <v>954</v>
      </c>
      <c r="C366" t="s">
        <v>3</v>
      </c>
      <c r="D366" s="2">
        <v>10500</v>
      </c>
      <c r="E366" s="2">
        <v>7349.9999999999991</v>
      </c>
      <c r="F366" t="s">
        <v>5</v>
      </c>
      <c r="G366" t="s">
        <v>955</v>
      </c>
      <c r="H366" t="s">
        <v>654</v>
      </c>
      <c r="I366">
        <v>284.43747999999999</v>
      </c>
    </row>
    <row r="367" spans="1:9" ht="67.95" customHeight="1">
      <c r="A367" s="1" t="str">
        <f>"Chemistry 1211"</f>
        <v>Chemistry 1211</v>
      </c>
      <c r="B367" t="s">
        <v>956</v>
      </c>
      <c r="C367" t="s">
        <v>3</v>
      </c>
      <c r="D367" s="2">
        <v>10500</v>
      </c>
      <c r="E367" s="2">
        <v>7349.9999999999991</v>
      </c>
      <c r="F367" t="s">
        <v>5</v>
      </c>
      <c r="G367" t="s">
        <v>957</v>
      </c>
      <c r="H367" t="s">
        <v>294</v>
      </c>
      <c r="I367">
        <v>270.41090000000003</v>
      </c>
    </row>
    <row r="368" spans="1:9" ht="67.95" customHeight="1">
      <c r="A368" s="1" t="str">
        <f>"Chemistry 1213"</f>
        <v>Chemistry 1213</v>
      </c>
      <c r="B368" t="s">
        <v>958</v>
      </c>
      <c r="C368" t="s">
        <v>3</v>
      </c>
      <c r="D368" s="2">
        <v>10500</v>
      </c>
      <c r="E368" s="2">
        <v>7349.9999999999991</v>
      </c>
      <c r="F368" t="s">
        <v>5</v>
      </c>
      <c r="G368" t="s">
        <v>959</v>
      </c>
      <c r="H368" t="s">
        <v>261</v>
      </c>
      <c r="I368">
        <v>282.42160000000001</v>
      </c>
    </row>
    <row r="369" spans="1:9" ht="67.95" customHeight="1">
      <c r="A369" s="1" t="str">
        <f>"Chemistry 1214"</f>
        <v>Chemistry 1214</v>
      </c>
      <c r="B369" t="s">
        <v>960</v>
      </c>
      <c r="C369" t="s">
        <v>3</v>
      </c>
      <c r="D369" s="2">
        <v>10500</v>
      </c>
      <c r="E369" s="2">
        <v>7349.9999999999991</v>
      </c>
      <c r="F369" t="s">
        <v>5</v>
      </c>
      <c r="G369" t="s">
        <v>961</v>
      </c>
      <c r="H369" t="s">
        <v>493</v>
      </c>
      <c r="I369">
        <v>296.44817</v>
      </c>
    </row>
    <row r="370" spans="1:9" ht="67.95" customHeight="1">
      <c r="A370" s="1" t="str">
        <f>"Chemistry 1215"</f>
        <v>Chemistry 1215</v>
      </c>
      <c r="B370" t="s">
        <v>962</v>
      </c>
      <c r="C370" t="s">
        <v>3</v>
      </c>
      <c r="D370" s="2">
        <v>10500</v>
      </c>
      <c r="E370" s="2">
        <v>7349.9999999999991</v>
      </c>
      <c r="F370" t="s">
        <v>5</v>
      </c>
      <c r="G370" t="s">
        <v>963</v>
      </c>
      <c r="H370" t="s">
        <v>652</v>
      </c>
      <c r="I370">
        <v>312.44758000000002</v>
      </c>
    </row>
    <row r="371" spans="1:9" ht="74.099999999999994" customHeight="1">
      <c r="A371" s="1" t="str">
        <f>"Chemistry 1216"</f>
        <v>Chemistry 1216</v>
      </c>
      <c r="B371" t="s">
        <v>964</v>
      </c>
      <c r="C371" t="s">
        <v>3</v>
      </c>
      <c r="D371" s="2">
        <v>10500</v>
      </c>
      <c r="E371" s="2">
        <v>7349.9999999999991</v>
      </c>
      <c r="F371" t="s">
        <v>5</v>
      </c>
      <c r="G371" t="s">
        <v>965</v>
      </c>
      <c r="H371" t="s">
        <v>312</v>
      </c>
      <c r="I371">
        <v>298.42099999999999</v>
      </c>
    </row>
    <row r="372" spans="1:9" ht="87" customHeight="1">
      <c r="A372" s="1" t="str">
        <f>"Chemistry 1220"</f>
        <v>Chemistry 1220</v>
      </c>
      <c r="B372" t="s">
        <v>966</v>
      </c>
      <c r="C372" t="s">
        <v>3</v>
      </c>
      <c r="D372" s="2">
        <v>10500</v>
      </c>
      <c r="E372" s="2">
        <v>7349.9999999999991</v>
      </c>
      <c r="F372" t="s">
        <v>5</v>
      </c>
      <c r="G372" t="s">
        <v>967</v>
      </c>
      <c r="H372" t="s">
        <v>762</v>
      </c>
      <c r="I372">
        <v>383.32317999999998</v>
      </c>
    </row>
    <row r="373" spans="1:9" ht="87" customHeight="1">
      <c r="A373" s="1" t="str">
        <f>"Chemistry 1227"</f>
        <v>Chemistry 1227</v>
      </c>
      <c r="B373" t="s">
        <v>968</v>
      </c>
      <c r="C373" t="s">
        <v>3</v>
      </c>
      <c r="D373" s="2">
        <v>10500</v>
      </c>
      <c r="E373" s="2">
        <v>7349.9999999999991</v>
      </c>
      <c r="F373" t="s">
        <v>5</v>
      </c>
      <c r="G373" t="s">
        <v>969</v>
      </c>
      <c r="H373" t="s">
        <v>653</v>
      </c>
      <c r="I373">
        <v>336.40109999999999</v>
      </c>
    </row>
    <row r="374" spans="1:9" ht="79.2" customHeight="1">
      <c r="A374" s="1" t="str">
        <f>"Chemistry 1228"</f>
        <v>Chemistry 1228</v>
      </c>
      <c r="B374" t="s">
        <v>970</v>
      </c>
      <c r="C374" t="s">
        <v>3</v>
      </c>
      <c r="D374" s="2">
        <v>10500</v>
      </c>
      <c r="E374" s="2">
        <v>7349.9999999999991</v>
      </c>
      <c r="F374" t="s">
        <v>5</v>
      </c>
      <c r="G374" t="s">
        <v>971</v>
      </c>
      <c r="H374" t="s">
        <v>441</v>
      </c>
      <c r="I374">
        <v>306.42153999999999</v>
      </c>
    </row>
    <row r="375" spans="1:9" ht="79.2" customHeight="1">
      <c r="A375" s="1" t="str">
        <f>"Chemistry 1229"</f>
        <v>Chemistry 1229</v>
      </c>
      <c r="B375" t="s">
        <v>972</v>
      </c>
      <c r="C375" t="s">
        <v>3</v>
      </c>
      <c r="D375" s="2">
        <v>10500</v>
      </c>
      <c r="E375" s="2">
        <v>7349.9999999999991</v>
      </c>
      <c r="F375" t="s">
        <v>5</v>
      </c>
      <c r="G375" t="s">
        <v>973</v>
      </c>
      <c r="H375" t="s">
        <v>974</v>
      </c>
      <c r="I375">
        <v>320.44812000000002</v>
      </c>
    </row>
    <row r="376" spans="1:9" ht="51.6" customHeight="1">
      <c r="A376" s="1" t="str">
        <f>"Chemistry 1231"</f>
        <v>Chemistry 1231</v>
      </c>
      <c r="B376" t="s">
        <v>975</v>
      </c>
      <c r="C376" t="s">
        <v>270</v>
      </c>
      <c r="D376" s="2">
        <v>12300</v>
      </c>
      <c r="E376" s="2">
        <v>8610</v>
      </c>
      <c r="F376" t="s">
        <v>5</v>
      </c>
      <c r="G376" t="s">
        <v>976</v>
      </c>
      <c r="H376" t="s">
        <v>468</v>
      </c>
      <c r="I376">
        <v>241.20107999999999</v>
      </c>
    </row>
    <row r="377" spans="1:9" ht="52.2" customHeight="1">
      <c r="A377" s="1" t="str">
        <f>"Chemistry 1234"</f>
        <v>Chemistry 1234</v>
      </c>
      <c r="B377" t="s">
        <v>977</v>
      </c>
      <c r="C377" t="s">
        <v>270</v>
      </c>
      <c r="D377" s="2">
        <v>12300</v>
      </c>
      <c r="E377" s="2">
        <v>8610</v>
      </c>
      <c r="F377" t="s">
        <v>5</v>
      </c>
      <c r="G377" t="s">
        <v>978</v>
      </c>
      <c r="H377" t="s">
        <v>692</v>
      </c>
      <c r="I377">
        <v>328.07607999999999</v>
      </c>
    </row>
    <row r="378" spans="1:9" ht="71.25" customHeight="1">
      <c r="A378" s="1" t="str">
        <f>"Chemistry 1235"</f>
        <v>Chemistry 1235</v>
      </c>
      <c r="B378" t="s">
        <v>979</v>
      </c>
      <c r="C378" t="s">
        <v>270</v>
      </c>
      <c r="D378" s="2">
        <v>12300</v>
      </c>
      <c r="E378" s="2">
        <v>8610</v>
      </c>
      <c r="F378" t="s">
        <v>5</v>
      </c>
      <c r="G378" t="s">
        <v>980</v>
      </c>
      <c r="H378" t="s">
        <v>628</v>
      </c>
      <c r="I378">
        <v>279.20600000000002</v>
      </c>
    </row>
    <row r="379" spans="1:9" ht="52.2" customHeight="1">
      <c r="A379" s="1" t="str">
        <f>"Chemistry 1239"</f>
        <v>Chemistry 1239</v>
      </c>
      <c r="B379" t="s">
        <v>981</v>
      </c>
      <c r="C379" t="s">
        <v>128</v>
      </c>
      <c r="D379" s="2">
        <v>11400</v>
      </c>
      <c r="E379" s="2">
        <v>7979.9999999999991</v>
      </c>
      <c r="F379" t="s">
        <v>5</v>
      </c>
      <c r="G379" t="s">
        <v>982</v>
      </c>
      <c r="H379" t="s">
        <v>310</v>
      </c>
      <c r="I379">
        <v>192.68638000000001</v>
      </c>
    </row>
    <row r="380" spans="1:9" ht="65.099999999999994" customHeight="1">
      <c r="A380" s="1" t="str">
        <f>"Chemistry 1241"</f>
        <v>Chemistry 1241</v>
      </c>
      <c r="B380" t="s">
        <v>983</v>
      </c>
      <c r="C380" t="s">
        <v>128</v>
      </c>
      <c r="D380" s="2">
        <v>11400</v>
      </c>
      <c r="E380" s="2">
        <v>7979.9999999999991</v>
      </c>
      <c r="F380" t="s">
        <v>5</v>
      </c>
      <c r="G380" t="s">
        <v>984</v>
      </c>
      <c r="H380" t="s">
        <v>298</v>
      </c>
      <c r="I380">
        <v>206.71295000000001</v>
      </c>
    </row>
    <row r="381" spans="1:9" ht="52.2" customHeight="1">
      <c r="A381" s="1" t="str">
        <f>"Chemistry 1243"</f>
        <v>Chemistry 1243</v>
      </c>
      <c r="B381" t="s">
        <v>985</v>
      </c>
      <c r="C381" t="s">
        <v>128</v>
      </c>
      <c r="D381" s="2">
        <v>11400</v>
      </c>
      <c r="E381" s="2">
        <v>7979.9999999999991</v>
      </c>
      <c r="F381" t="s">
        <v>5</v>
      </c>
      <c r="G381" t="s">
        <v>986</v>
      </c>
      <c r="H381" t="s">
        <v>379</v>
      </c>
      <c r="I381">
        <v>208.68577999999999</v>
      </c>
    </row>
    <row r="382" spans="1:9" ht="65.099999999999994" customHeight="1">
      <c r="A382" s="1" t="str">
        <f>"Chemistry 1249"</f>
        <v>Chemistry 1249</v>
      </c>
      <c r="B382" t="s">
        <v>987</v>
      </c>
      <c r="C382" t="s">
        <v>128</v>
      </c>
      <c r="D382" s="2">
        <v>11400</v>
      </c>
      <c r="E382" s="2">
        <v>7979.9999999999991</v>
      </c>
      <c r="F382" t="s">
        <v>5</v>
      </c>
      <c r="G382" t="s">
        <v>988</v>
      </c>
      <c r="H382" t="s">
        <v>439</v>
      </c>
      <c r="I382">
        <v>248.74964</v>
      </c>
    </row>
    <row r="383" spans="1:9" ht="65.099999999999994" customHeight="1">
      <c r="A383" s="1" t="str">
        <f>"Chemistry 1251"</f>
        <v>Chemistry 1251</v>
      </c>
      <c r="B383" t="s">
        <v>989</v>
      </c>
      <c r="C383" t="s">
        <v>270</v>
      </c>
      <c r="D383" s="2">
        <v>11400</v>
      </c>
      <c r="E383" s="2">
        <v>7979.9999999999991</v>
      </c>
      <c r="F383" t="s">
        <v>5</v>
      </c>
      <c r="G383" t="s">
        <v>990</v>
      </c>
      <c r="H383" t="s">
        <v>329</v>
      </c>
      <c r="I383">
        <v>278.17817000000002</v>
      </c>
    </row>
    <row r="384" spans="1:9" ht="88.8" customHeight="1">
      <c r="A384" s="1" t="str">
        <f>"Chemistry 1252"</f>
        <v>Chemistry 1252</v>
      </c>
      <c r="B384" t="s">
        <v>991</v>
      </c>
      <c r="C384" t="s">
        <v>3</v>
      </c>
      <c r="D384" s="2">
        <v>10500</v>
      </c>
      <c r="E384" s="2">
        <v>7349.9999999999991</v>
      </c>
      <c r="F384" t="s">
        <v>5</v>
      </c>
      <c r="G384" t="s">
        <v>992</v>
      </c>
      <c r="H384" t="s">
        <v>293</v>
      </c>
      <c r="I384">
        <v>322.37452000000002</v>
      </c>
    </row>
    <row r="385" spans="1:9" ht="85.35" customHeight="1">
      <c r="A385" s="1" t="str">
        <f>"Chemistry 1254"</f>
        <v>Chemistry 1254</v>
      </c>
      <c r="B385" t="s">
        <v>993</v>
      </c>
      <c r="C385" t="s">
        <v>3</v>
      </c>
      <c r="D385" s="2">
        <v>10500</v>
      </c>
      <c r="E385" s="2">
        <v>7349.9999999999991</v>
      </c>
      <c r="F385" t="s">
        <v>5</v>
      </c>
      <c r="G385" t="s">
        <v>994</v>
      </c>
      <c r="H385" t="s">
        <v>293</v>
      </c>
      <c r="I385">
        <v>322.37452000000002</v>
      </c>
    </row>
    <row r="386" spans="1:9" ht="85.35" customHeight="1">
      <c r="A386" s="1" t="str">
        <f>"Chemistry 1256"</f>
        <v>Chemistry 1256</v>
      </c>
      <c r="B386" t="s">
        <v>995</v>
      </c>
      <c r="C386" t="s">
        <v>3</v>
      </c>
      <c r="D386" s="2">
        <v>10500</v>
      </c>
      <c r="E386" s="2">
        <v>7349.9999999999991</v>
      </c>
      <c r="F386" t="s">
        <v>5</v>
      </c>
      <c r="G386" t="s">
        <v>996</v>
      </c>
      <c r="H386" t="s">
        <v>293</v>
      </c>
      <c r="I386">
        <v>322.37452000000002</v>
      </c>
    </row>
    <row r="387" spans="1:9" ht="57.75" customHeight="1">
      <c r="A387" s="1" t="str">
        <f>"Chemistry 1259"</f>
        <v>Chemistry 1259</v>
      </c>
      <c r="B387" t="s">
        <v>997</v>
      </c>
      <c r="C387" t="s">
        <v>128</v>
      </c>
      <c r="D387" s="2">
        <v>11400</v>
      </c>
      <c r="E387" s="2">
        <v>7979.9999999999991</v>
      </c>
      <c r="F387" t="s">
        <v>5</v>
      </c>
      <c r="G387" t="s">
        <v>998</v>
      </c>
      <c r="H387" t="s">
        <v>640</v>
      </c>
      <c r="I387">
        <v>214.71350000000001</v>
      </c>
    </row>
    <row r="388" spans="1:9" ht="85.35" customHeight="1">
      <c r="A388" s="1" t="str">
        <f>"Chemistry 1260"</f>
        <v>Chemistry 1260</v>
      </c>
      <c r="B388" t="s">
        <v>999</v>
      </c>
      <c r="C388" t="s">
        <v>3</v>
      </c>
      <c r="D388" s="2">
        <v>10500</v>
      </c>
      <c r="E388" s="2">
        <v>7349.9999999999991</v>
      </c>
      <c r="F388" t="s">
        <v>5</v>
      </c>
      <c r="G388" t="s">
        <v>1000</v>
      </c>
      <c r="H388" t="s">
        <v>334</v>
      </c>
      <c r="I388">
        <v>292.39496000000003</v>
      </c>
    </row>
    <row r="389" spans="1:9" ht="57.75" customHeight="1">
      <c r="A389" s="1" t="str">
        <f>"Chemistry 1261"</f>
        <v>Chemistry 1261</v>
      </c>
      <c r="B389" t="s">
        <v>1001</v>
      </c>
      <c r="C389" t="s">
        <v>128</v>
      </c>
      <c r="D389" s="2">
        <v>11400</v>
      </c>
      <c r="E389" s="2">
        <v>7979.9999999999991</v>
      </c>
      <c r="F389" t="s">
        <v>5</v>
      </c>
      <c r="G389" t="s">
        <v>1002</v>
      </c>
      <c r="H389" t="s">
        <v>335</v>
      </c>
      <c r="I389">
        <v>228.74008000000001</v>
      </c>
    </row>
    <row r="390" spans="1:9" ht="72.45" customHeight="1">
      <c r="A390" s="1" t="str">
        <f>"Chemistry 1262"</f>
        <v>Chemistry 1262</v>
      </c>
      <c r="B390" t="s">
        <v>1003</v>
      </c>
      <c r="C390" t="s">
        <v>3</v>
      </c>
      <c r="D390" s="2">
        <v>10500</v>
      </c>
      <c r="E390" s="2">
        <v>7349.9999999999991</v>
      </c>
      <c r="F390" t="s">
        <v>5</v>
      </c>
      <c r="G390" t="s">
        <v>1004</v>
      </c>
      <c r="H390" t="s">
        <v>259</v>
      </c>
      <c r="I390">
        <v>242.35773</v>
      </c>
    </row>
    <row r="391" spans="1:9" ht="85.35" customHeight="1">
      <c r="A391" s="1" t="str">
        <f>"Chemistry 1266"</f>
        <v>Chemistry 1266</v>
      </c>
      <c r="B391" t="s">
        <v>1005</v>
      </c>
      <c r="C391" t="s">
        <v>3</v>
      </c>
      <c r="D391" s="2">
        <v>10500</v>
      </c>
      <c r="E391" s="2">
        <v>7349.9999999999991</v>
      </c>
      <c r="F391" t="s">
        <v>5</v>
      </c>
      <c r="G391" t="s">
        <v>1006</v>
      </c>
      <c r="H391" t="s">
        <v>503</v>
      </c>
      <c r="I391">
        <v>308.39100000000002</v>
      </c>
    </row>
    <row r="392" spans="1:9" ht="85.35" customHeight="1">
      <c r="A392" s="1" t="str">
        <f>"Chemistry 1272"</f>
        <v>Chemistry 1272</v>
      </c>
      <c r="B392" t="s">
        <v>1007</v>
      </c>
      <c r="C392" t="s">
        <v>3</v>
      </c>
      <c r="D392" s="2">
        <v>10500</v>
      </c>
      <c r="E392" s="2">
        <v>7349.9999999999991</v>
      </c>
      <c r="F392" t="s">
        <v>5</v>
      </c>
      <c r="G392" t="s">
        <v>1008</v>
      </c>
      <c r="H392" t="s">
        <v>334</v>
      </c>
      <c r="I392">
        <v>292.39496000000003</v>
      </c>
    </row>
    <row r="393" spans="1:9" ht="57.75" customHeight="1">
      <c r="A393" s="1" t="str">
        <f>"Chemistry 1273"</f>
        <v>Chemistry 1273</v>
      </c>
      <c r="B393" t="s">
        <v>1009</v>
      </c>
      <c r="C393" t="s">
        <v>128</v>
      </c>
      <c r="D393" s="2">
        <v>11400</v>
      </c>
      <c r="E393" s="2">
        <v>7979.9999999999991</v>
      </c>
      <c r="F393" t="s">
        <v>5</v>
      </c>
      <c r="G393" t="s">
        <v>1010</v>
      </c>
      <c r="H393" t="s">
        <v>335</v>
      </c>
      <c r="I393">
        <v>228.74008000000001</v>
      </c>
    </row>
    <row r="394" spans="1:9" ht="52.2" customHeight="1">
      <c r="A394" s="1" t="str">
        <f>"Chemistry 1280"</f>
        <v>Chemistry 1280</v>
      </c>
      <c r="B394" t="s">
        <v>1011</v>
      </c>
      <c r="C394" t="s">
        <v>128</v>
      </c>
      <c r="D394" s="2">
        <v>17500</v>
      </c>
      <c r="E394" s="2">
        <v>12250</v>
      </c>
      <c r="F394" t="s">
        <v>5</v>
      </c>
      <c r="G394" t="s">
        <v>1012</v>
      </c>
      <c r="H394" t="s">
        <v>1013</v>
      </c>
      <c r="I394">
        <v>250.56321</v>
      </c>
    </row>
    <row r="395" spans="1:9" ht="75.75" customHeight="1">
      <c r="A395" s="1" t="str">
        <f>"Chemistry 1281"</f>
        <v>Chemistry 1281</v>
      </c>
      <c r="B395" t="s">
        <v>1014</v>
      </c>
      <c r="C395" t="s">
        <v>3</v>
      </c>
      <c r="D395" s="2">
        <v>14900</v>
      </c>
      <c r="E395" s="2">
        <v>10430</v>
      </c>
      <c r="F395" t="s">
        <v>5</v>
      </c>
      <c r="G395" t="s">
        <v>1015</v>
      </c>
      <c r="H395" t="s">
        <v>1016</v>
      </c>
      <c r="I395">
        <v>182.19154</v>
      </c>
    </row>
    <row r="396" spans="1:9" ht="75.75" customHeight="1">
      <c r="A396" s="1" t="str">
        <f>"Chemistry 1282"</f>
        <v>Chemistry 1282</v>
      </c>
      <c r="B396" t="s">
        <v>1017</v>
      </c>
      <c r="C396" t="s">
        <v>3</v>
      </c>
      <c r="D396" s="2">
        <v>14900</v>
      </c>
      <c r="E396" s="2">
        <v>10430</v>
      </c>
      <c r="F396" t="s">
        <v>5</v>
      </c>
      <c r="G396" t="s">
        <v>1018</v>
      </c>
      <c r="H396" t="s">
        <v>1019</v>
      </c>
      <c r="I396">
        <v>243.09712999999999</v>
      </c>
    </row>
    <row r="397" spans="1:9" ht="48.75" customHeight="1">
      <c r="A397" s="1" t="str">
        <f>"Chemistry 1288"</f>
        <v>Chemistry 1288</v>
      </c>
      <c r="B397" t="s">
        <v>1020</v>
      </c>
      <c r="C397" t="s">
        <v>498</v>
      </c>
      <c r="D397" s="2">
        <v>12300</v>
      </c>
      <c r="E397" s="2">
        <v>8610</v>
      </c>
      <c r="F397" t="s">
        <v>5</v>
      </c>
      <c r="G397" t="s">
        <v>1021</v>
      </c>
      <c r="H397" t="s">
        <v>682</v>
      </c>
      <c r="I397">
        <v>286.62902000000003</v>
      </c>
    </row>
    <row r="398" spans="1:9" ht="57.75" customHeight="1">
      <c r="A398" s="1" t="str">
        <f>"Chemistry 1290"</f>
        <v>Chemistry 1290</v>
      </c>
      <c r="B398" t="s">
        <v>1022</v>
      </c>
      <c r="C398" t="s">
        <v>270</v>
      </c>
      <c r="D398" s="2">
        <v>12300</v>
      </c>
      <c r="E398" s="2">
        <v>8610</v>
      </c>
      <c r="F398" t="s">
        <v>5</v>
      </c>
      <c r="G398" t="s">
        <v>1023</v>
      </c>
      <c r="H398" t="s">
        <v>482</v>
      </c>
      <c r="I398">
        <v>227.17449999999999</v>
      </c>
    </row>
    <row r="399" spans="1:9" ht="67.95" customHeight="1">
      <c r="A399" s="1" t="str">
        <f>"Chemistry 1294"</f>
        <v>Chemistry 1294</v>
      </c>
      <c r="B399" t="s">
        <v>1024</v>
      </c>
      <c r="C399" t="s">
        <v>270</v>
      </c>
      <c r="D399" s="2">
        <v>9700</v>
      </c>
      <c r="E399" s="2">
        <v>6790</v>
      </c>
      <c r="F399" t="s">
        <v>5</v>
      </c>
      <c r="G399" t="s">
        <v>1025</v>
      </c>
      <c r="H399" t="s">
        <v>830</v>
      </c>
      <c r="I399">
        <v>264.15159</v>
      </c>
    </row>
    <row r="400" spans="1:9" ht="52.2" customHeight="1">
      <c r="A400" s="1" t="str">
        <f>"Chemistry 1321"</f>
        <v>Chemistry 1321</v>
      </c>
      <c r="B400" t="s">
        <v>1026</v>
      </c>
      <c r="C400" t="s">
        <v>128</v>
      </c>
      <c r="D400" s="2">
        <v>12300</v>
      </c>
      <c r="E400" s="2">
        <v>8610</v>
      </c>
      <c r="F400" t="s">
        <v>5</v>
      </c>
      <c r="G400" t="s">
        <v>1027</v>
      </c>
      <c r="H400" t="s">
        <v>428</v>
      </c>
      <c r="I400">
        <v>193.67443</v>
      </c>
    </row>
    <row r="401" spans="1:9" ht="65.099999999999994" customHeight="1">
      <c r="A401" s="1" t="str">
        <f>"Chemistry 1328"</f>
        <v>Chemistry 1328</v>
      </c>
      <c r="B401" t="s">
        <v>1028</v>
      </c>
      <c r="C401" t="s">
        <v>128</v>
      </c>
      <c r="D401" s="2">
        <v>12300</v>
      </c>
      <c r="E401" s="2">
        <v>8610</v>
      </c>
      <c r="F401" t="s">
        <v>5</v>
      </c>
      <c r="G401" t="s">
        <v>1029</v>
      </c>
      <c r="H401" t="s">
        <v>432</v>
      </c>
      <c r="I401">
        <v>249.73769999999999</v>
      </c>
    </row>
    <row r="402" spans="1:9" ht="52.2" customHeight="1">
      <c r="A402" s="1" t="str">
        <f>"Chemistry 1338"</f>
        <v>Chemistry 1338</v>
      </c>
      <c r="B402" t="s">
        <v>1030</v>
      </c>
      <c r="C402" t="s">
        <v>270</v>
      </c>
      <c r="D402" s="2">
        <v>11400</v>
      </c>
      <c r="E402" s="2">
        <v>7979.9999999999991</v>
      </c>
      <c r="F402" t="s">
        <v>5</v>
      </c>
      <c r="G402" t="s">
        <v>1031</v>
      </c>
      <c r="H402" t="s">
        <v>1032</v>
      </c>
      <c r="I402">
        <v>258.18853999999999</v>
      </c>
    </row>
    <row r="403" spans="1:9" ht="65.099999999999994" customHeight="1">
      <c r="A403" s="1" t="str">
        <f>"Chemistry 1344"</f>
        <v>Chemistry 1344</v>
      </c>
      <c r="B403" t="s">
        <v>1033</v>
      </c>
      <c r="C403" t="s">
        <v>128</v>
      </c>
      <c r="D403" s="2">
        <v>11400</v>
      </c>
      <c r="E403" s="2">
        <v>7979.9999999999991</v>
      </c>
      <c r="F403" t="s">
        <v>5</v>
      </c>
      <c r="G403" t="s">
        <v>1034</v>
      </c>
      <c r="H403" t="s">
        <v>439</v>
      </c>
      <c r="I403">
        <v>248.74964</v>
      </c>
    </row>
    <row r="404" spans="1:9" ht="57.75" customHeight="1">
      <c r="A404" s="1" t="str">
        <f>"Chemistry 1358"</f>
        <v>Chemistry 1358</v>
      </c>
      <c r="B404" t="s">
        <v>1035</v>
      </c>
      <c r="C404" t="s">
        <v>128</v>
      </c>
      <c r="D404" s="2">
        <v>11400</v>
      </c>
      <c r="E404" s="2">
        <v>7979.9999999999991</v>
      </c>
      <c r="F404" t="s">
        <v>5</v>
      </c>
      <c r="G404" t="s">
        <v>1036</v>
      </c>
      <c r="H404" t="s">
        <v>640</v>
      </c>
      <c r="I404">
        <v>214.71350000000001</v>
      </c>
    </row>
    <row r="405" spans="1:9" ht="57.75" customHeight="1">
      <c r="A405" s="1" t="str">
        <f>"Chemistry 1360"</f>
        <v>Chemistry 1360</v>
      </c>
      <c r="B405" t="s">
        <v>1037</v>
      </c>
      <c r="C405" t="s">
        <v>128</v>
      </c>
      <c r="D405" s="2">
        <v>11400</v>
      </c>
      <c r="E405" s="2">
        <v>7979.9999999999991</v>
      </c>
      <c r="F405" t="s">
        <v>5</v>
      </c>
      <c r="G405" t="s">
        <v>1038</v>
      </c>
      <c r="H405" t="s">
        <v>442</v>
      </c>
      <c r="I405">
        <v>242.76666</v>
      </c>
    </row>
    <row r="406" spans="1:9" ht="72.45" customHeight="1">
      <c r="A406" s="1" t="str">
        <f>"Chemistry 1361"</f>
        <v>Chemistry 1361</v>
      </c>
      <c r="B406" t="s">
        <v>1039</v>
      </c>
      <c r="C406" t="s">
        <v>3</v>
      </c>
      <c r="D406" s="2">
        <v>10500</v>
      </c>
      <c r="E406" s="2">
        <v>7349.9999999999991</v>
      </c>
      <c r="F406" t="s">
        <v>5</v>
      </c>
      <c r="G406" t="s">
        <v>1040</v>
      </c>
      <c r="H406" t="s">
        <v>259</v>
      </c>
      <c r="I406">
        <v>242.35773</v>
      </c>
    </row>
    <row r="407" spans="1:9" ht="67.349999999999994" customHeight="1">
      <c r="A407" s="1" t="str">
        <f>"Chemistry 1392"</f>
        <v>Chemistry 1392</v>
      </c>
      <c r="B407" t="s">
        <v>1041</v>
      </c>
      <c r="C407" t="s">
        <v>128</v>
      </c>
      <c r="D407" s="2">
        <v>17500</v>
      </c>
      <c r="E407" s="2">
        <v>12250</v>
      </c>
      <c r="F407" t="s">
        <v>5</v>
      </c>
      <c r="G407" t="s">
        <v>1042</v>
      </c>
      <c r="H407" t="s">
        <v>1043</v>
      </c>
      <c r="I407">
        <v>189.65762000000001</v>
      </c>
    </row>
    <row r="408" spans="1:9" ht="65.7" customHeight="1">
      <c r="A408" s="1" t="str">
        <f>"Chemistry 1393"</f>
        <v>Chemistry 1393</v>
      </c>
      <c r="B408" t="s">
        <v>1044</v>
      </c>
      <c r="C408" t="s">
        <v>3</v>
      </c>
      <c r="D408" s="2">
        <v>17500</v>
      </c>
      <c r="E408" s="2">
        <v>12250</v>
      </c>
      <c r="F408" t="s">
        <v>5</v>
      </c>
      <c r="G408" t="s">
        <v>1045</v>
      </c>
      <c r="H408" t="s">
        <v>1046</v>
      </c>
      <c r="I408">
        <v>153.19667999999999</v>
      </c>
    </row>
    <row r="409" spans="1:9" ht="66.75" customHeight="1">
      <c r="A409" s="1" t="str">
        <f>"Chemistry 1394"</f>
        <v>Chemistry 1394</v>
      </c>
      <c r="B409" t="s">
        <v>1047</v>
      </c>
      <c r="C409" t="s">
        <v>3</v>
      </c>
      <c r="D409" s="2">
        <v>10500</v>
      </c>
      <c r="E409" s="2">
        <v>7349.9999999999991</v>
      </c>
      <c r="F409" t="s">
        <v>5</v>
      </c>
      <c r="G409" t="s">
        <v>1048</v>
      </c>
      <c r="H409" t="s">
        <v>1049</v>
      </c>
      <c r="I409">
        <v>251.29661999999999</v>
      </c>
    </row>
    <row r="410" spans="1:9" ht="63.45" customHeight="1">
      <c r="A410" s="1" t="str">
        <f>"Chemistry 1395"</f>
        <v>Chemistry 1395</v>
      </c>
      <c r="B410" t="s">
        <v>1050</v>
      </c>
      <c r="C410" t="s">
        <v>128</v>
      </c>
      <c r="D410" s="2">
        <v>17500</v>
      </c>
      <c r="E410" s="2">
        <v>12250</v>
      </c>
      <c r="F410" t="s">
        <v>5</v>
      </c>
      <c r="G410" t="s">
        <v>1051</v>
      </c>
      <c r="H410" t="s">
        <v>1052</v>
      </c>
      <c r="I410">
        <v>187.64174</v>
      </c>
    </row>
    <row r="411" spans="1:9" ht="63.45" customHeight="1">
      <c r="A411" s="1" t="str">
        <f>"Chemistry 1397"</f>
        <v>Chemistry 1397</v>
      </c>
      <c r="B411" t="s">
        <v>1053</v>
      </c>
      <c r="C411" t="s">
        <v>128</v>
      </c>
      <c r="D411" s="2">
        <v>17500</v>
      </c>
      <c r="E411" s="2">
        <v>12250</v>
      </c>
      <c r="F411" t="s">
        <v>5</v>
      </c>
      <c r="G411" t="s">
        <v>1054</v>
      </c>
      <c r="H411" t="s">
        <v>1052</v>
      </c>
      <c r="I411">
        <v>187.64174</v>
      </c>
    </row>
    <row r="412" spans="1:9" ht="66.75" customHeight="1">
      <c r="A412" s="1" t="str">
        <f>"Chemistry 1398"</f>
        <v>Chemistry 1398</v>
      </c>
      <c r="B412" t="s">
        <v>1055</v>
      </c>
      <c r="C412" t="s">
        <v>3</v>
      </c>
      <c r="D412" s="2">
        <v>10500</v>
      </c>
      <c r="E412" s="2">
        <v>7349.9999999999991</v>
      </c>
      <c r="F412" t="s">
        <v>5</v>
      </c>
      <c r="G412" t="s">
        <v>1056</v>
      </c>
      <c r="H412" t="s">
        <v>1049</v>
      </c>
      <c r="I412">
        <v>251.29661999999999</v>
      </c>
    </row>
    <row r="413" spans="1:9" ht="51.6" customHeight="1">
      <c r="A413" s="1" t="str">
        <f>"Chemistry 1399"</f>
        <v>Chemistry 1399</v>
      </c>
      <c r="B413" t="s">
        <v>1057</v>
      </c>
      <c r="C413" t="s">
        <v>128</v>
      </c>
      <c r="D413" s="2">
        <v>17500</v>
      </c>
      <c r="E413" s="2">
        <v>12250</v>
      </c>
      <c r="F413" t="s">
        <v>5</v>
      </c>
      <c r="G413" t="s">
        <v>1058</v>
      </c>
      <c r="H413" t="s">
        <v>1052</v>
      </c>
      <c r="I413">
        <v>187.64174</v>
      </c>
    </row>
    <row r="414" spans="1:9" ht="82.05" customHeight="1">
      <c r="A414" s="1" t="str">
        <f>"Chemistry 1400"</f>
        <v>Chemistry 1400</v>
      </c>
      <c r="B414" t="s">
        <v>1059</v>
      </c>
      <c r="C414" t="s">
        <v>3</v>
      </c>
      <c r="D414" s="2">
        <v>10500</v>
      </c>
      <c r="E414" s="2">
        <v>7349.9999999999991</v>
      </c>
      <c r="F414" t="s">
        <v>5</v>
      </c>
      <c r="G414" t="s">
        <v>1060</v>
      </c>
      <c r="H414" t="s">
        <v>1061</v>
      </c>
      <c r="I414">
        <v>265.32319999999999</v>
      </c>
    </row>
    <row r="415" spans="1:9" ht="63.45" customHeight="1">
      <c r="A415" s="1" t="str">
        <f>"Chemistry 1401"</f>
        <v>Chemistry 1401</v>
      </c>
      <c r="B415" t="s">
        <v>1062</v>
      </c>
      <c r="C415" t="s">
        <v>128</v>
      </c>
      <c r="D415" s="2">
        <v>17500</v>
      </c>
      <c r="E415" s="2">
        <v>12250</v>
      </c>
      <c r="F415" t="s">
        <v>5</v>
      </c>
      <c r="G415" t="s">
        <v>1063</v>
      </c>
      <c r="H415" t="s">
        <v>1064</v>
      </c>
      <c r="I415">
        <v>201.66831999999999</v>
      </c>
    </row>
    <row r="416" spans="1:9" ht="70.2" customHeight="1">
      <c r="A416" s="1" t="str">
        <f>"Chemistry 1403"</f>
        <v>Chemistry 1403</v>
      </c>
      <c r="B416" t="s">
        <v>1065</v>
      </c>
      <c r="C416" t="s">
        <v>128</v>
      </c>
      <c r="D416" s="2">
        <v>17500</v>
      </c>
      <c r="E416" s="2">
        <v>12250</v>
      </c>
      <c r="F416" t="s">
        <v>5</v>
      </c>
      <c r="G416" t="s">
        <v>1066</v>
      </c>
      <c r="H416" t="s">
        <v>1064</v>
      </c>
      <c r="I416">
        <v>201.66831999999999</v>
      </c>
    </row>
    <row r="417" spans="1:9" ht="69" customHeight="1">
      <c r="A417" s="1" t="str">
        <f>"Chemistry 1405"</f>
        <v>Chemistry 1405</v>
      </c>
      <c r="B417" t="s">
        <v>1067</v>
      </c>
      <c r="C417" t="s">
        <v>128</v>
      </c>
      <c r="D417" s="2">
        <v>17500</v>
      </c>
      <c r="E417" s="2">
        <v>12250</v>
      </c>
      <c r="F417" t="s">
        <v>5</v>
      </c>
      <c r="G417" t="s">
        <v>1068</v>
      </c>
      <c r="H417" t="s">
        <v>1064</v>
      </c>
      <c r="I417">
        <v>201.66831999999999</v>
      </c>
    </row>
    <row r="418" spans="1:9" ht="63.45" customHeight="1">
      <c r="A418" s="1" t="str">
        <f>"Chemistry 1415"</f>
        <v>Chemistry 1415</v>
      </c>
      <c r="B418" t="s">
        <v>1069</v>
      </c>
      <c r="C418" t="s">
        <v>128</v>
      </c>
      <c r="D418" s="2">
        <v>17500</v>
      </c>
      <c r="E418" s="2">
        <v>12250</v>
      </c>
      <c r="F418" t="s">
        <v>5</v>
      </c>
      <c r="G418" t="s">
        <v>1070</v>
      </c>
      <c r="H418" t="s">
        <v>1071</v>
      </c>
      <c r="I418">
        <v>218.12291999999999</v>
      </c>
    </row>
    <row r="419" spans="1:9" ht="67.349999999999994" customHeight="1">
      <c r="A419" s="1" t="str">
        <f>"Chemistry 1419"</f>
        <v>Chemistry 1419</v>
      </c>
      <c r="B419" t="s">
        <v>1072</v>
      </c>
      <c r="C419" t="s">
        <v>128</v>
      </c>
      <c r="D419" s="2">
        <v>17500</v>
      </c>
      <c r="E419" s="2">
        <v>12250</v>
      </c>
      <c r="F419" t="s">
        <v>5</v>
      </c>
      <c r="G419" t="s">
        <v>1073</v>
      </c>
      <c r="H419" t="s">
        <v>1013</v>
      </c>
      <c r="I419">
        <v>250.56322</v>
      </c>
    </row>
    <row r="420" spans="1:9" ht="65.7" customHeight="1">
      <c r="A420" s="1" t="str">
        <f>"Chemistry 1421"</f>
        <v>Chemistry 1421</v>
      </c>
      <c r="B420" t="s">
        <v>1074</v>
      </c>
      <c r="C420" t="s">
        <v>128</v>
      </c>
      <c r="D420" s="2">
        <v>17500</v>
      </c>
      <c r="E420" s="2">
        <v>12250</v>
      </c>
      <c r="F420" t="s">
        <v>5</v>
      </c>
      <c r="G420" t="s">
        <v>1075</v>
      </c>
      <c r="H420" t="s">
        <v>1013</v>
      </c>
      <c r="I420">
        <v>250.56321</v>
      </c>
    </row>
    <row r="421" spans="1:9" ht="63.45" customHeight="1">
      <c r="A421" s="1" t="str">
        <f>"Chemistry 1423"</f>
        <v>Chemistry 1423</v>
      </c>
      <c r="B421" t="s">
        <v>1076</v>
      </c>
      <c r="C421" t="s">
        <v>128</v>
      </c>
      <c r="D421" s="2">
        <v>17500</v>
      </c>
      <c r="E421" s="2">
        <v>12250</v>
      </c>
      <c r="F421" t="s">
        <v>5</v>
      </c>
      <c r="G421" t="s">
        <v>1077</v>
      </c>
      <c r="H421" t="s">
        <v>1078</v>
      </c>
      <c r="I421">
        <v>248.54733999999999</v>
      </c>
    </row>
    <row r="422" spans="1:9" ht="63.45" customHeight="1">
      <c r="A422" s="1" t="str">
        <f>"Chemistry 1425"</f>
        <v>Chemistry 1425</v>
      </c>
      <c r="B422" t="s">
        <v>1079</v>
      </c>
      <c r="C422" t="s">
        <v>128</v>
      </c>
      <c r="D422" s="2">
        <v>17500</v>
      </c>
      <c r="E422" s="2">
        <v>12250</v>
      </c>
      <c r="F422" t="s">
        <v>5</v>
      </c>
      <c r="G422" t="s">
        <v>1080</v>
      </c>
      <c r="H422" t="s">
        <v>1078</v>
      </c>
      <c r="I422">
        <v>248.54733999999999</v>
      </c>
    </row>
    <row r="423" spans="1:9" ht="51.6" customHeight="1">
      <c r="A423" s="1" t="str">
        <f>"Chemistry 1427"</f>
        <v>Chemistry 1427</v>
      </c>
      <c r="B423" t="s">
        <v>1081</v>
      </c>
      <c r="C423" t="s">
        <v>128</v>
      </c>
      <c r="D423" s="2">
        <v>17500</v>
      </c>
      <c r="E423" s="2">
        <v>12250</v>
      </c>
      <c r="F423" t="s">
        <v>5</v>
      </c>
      <c r="G423" t="s">
        <v>1082</v>
      </c>
      <c r="H423" t="s">
        <v>1078</v>
      </c>
      <c r="I423">
        <v>248.54733999999999</v>
      </c>
    </row>
    <row r="424" spans="1:9" ht="63.45" customHeight="1">
      <c r="A424" s="1" t="str">
        <f>"Chemistry 1429"</f>
        <v>Chemistry 1429</v>
      </c>
      <c r="B424" t="s">
        <v>1083</v>
      </c>
      <c r="C424" t="s">
        <v>128</v>
      </c>
      <c r="D424" s="2">
        <v>17500</v>
      </c>
      <c r="E424" s="2">
        <v>12250</v>
      </c>
      <c r="F424" t="s">
        <v>5</v>
      </c>
      <c r="G424" t="s">
        <v>1084</v>
      </c>
      <c r="H424" t="s">
        <v>1085</v>
      </c>
      <c r="I424">
        <v>262.57391999999999</v>
      </c>
    </row>
    <row r="425" spans="1:9" ht="70.2" customHeight="1">
      <c r="A425" s="1" t="str">
        <f>"Chemistry 1431"</f>
        <v>Chemistry 1431</v>
      </c>
      <c r="B425" t="s">
        <v>1086</v>
      </c>
      <c r="C425" t="s">
        <v>128</v>
      </c>
      <c r="D425" s="2">
        <v>17500</v>
      </c>
      <c r="E425" s="2">
        <v>12250</v>
      </c>
      <c r="F425" t="s">
        <v>5</v>
      </c>
      <c r="G425" t="s">
        <v>1087</v>
      </c>
      <c r="H425" t="s">
        <v>1085</v>
      </c>
      <c r="I425">
        <v>262.57391999999999</v>
      </c>
    </row>
    <row r="426" spans="1:9" ht="69" customHeight="1">
      <c r="A426" s="1" t="str">
        <f>"Chemistry 1433"</f>
        <v>Chemistry 1433</v>
      </c>
      <c r="B426" t="s">
        <v>1088</v>
      </c>
      <c r="C426" t="s">
        <v>128</v>
      </c>
      <c r="D426" s="2">
        <v>17500</v>
      </c>
      <c r="E426" s="2">
        <v>12250</v>
      </c>
      <c r="F426" t="s">
        <v>5</v>
      </c>
      <c r="G426" t="s">
        <v>1089</v>
      </c>
      <c r="H426" t="s">
        <v>1085</v>
      </c>
      <c r="I426">
        <v>262.57391999999999</v>
      </c>
    </row>
    <row r="427" spans="1:9" ht="65.7" customHeight="1">
      <c r="A427" s="1" t="str">
        <f>"Chemistry 1437"</f>
        <v>Chemistry 1437</v>
      </c>
      <c r="B427" t="s">
        <v>1091</v>
      </c>
      <c r="C427" t="s">
        <v>128</v>
      </c>
      <c r="D427" s="2">
        <v>17500</v>
      </c>
      <c r="E427" s="2">
        <v>12250</v>
      </c>
      <c r="F427" t="s">
        <v>5</v>
      </c>
      <c r="G427" t="s">
        <v>1092</v>
      </c>
      <c r="H427" t="s">
        <v>1090</v>
      </c>
      <c r="I427">
        <v>201.69314</v>
      </c>
    </row>
    <row r="428" spans="1:9" ht="79.2" customHeight="1">
      <c r="A428" s="1" t="str">
        <f>"Chemistry 1441"</f>
        <v>Chemistry 1441</v>
      </c>
      <c r="B428" t="s">
        <v>1093</v>
      </c>
      <c r="C428" t="s">
        <v>128</v>
      </c>
      <c r="D428" s="2">
        <v>17500</v>
      </c>
      <c r="E428" s="2">
        <v>12250</v>
      </c>
      <c r="F428" t="s">
        <v>5</v>
      </c>
      <c r="G428" t="s">
        <v>1094</v>
      </c>
      <c r="H428" t="s">
        <v>1095</v>
      </c>
      <c r="I428">
        <v>199.67725999999999</v>
      </c>
    </row>
    <row r="429" spans="1:9" ht="64.5" customHeight="1">
      <c r="A429" s="1" t="str">
        <f>"Chemistry 1443"</f>
        <v>Chemistry 1443</v>
      </c>
      <c r="B429" t="s">
        <v>1096</v>
      </c>
      <c r="C429" t="s">
        <v>128</v>
      </c>
      <c r="D429" s="2">
        <v>17500</v>
      </c>
      <c r="E429" s="2">
        <v>12250</v>
      </c>
      <c r="F429" t="s">
        <v>5</v>
      </c>
      <c r="G429" t="s">
        <v>1097</v>
      </c>
      <c r="H429" t="s">
        <v>1095</v>
      </c>
      <c r="I429">
        <v>199.67725999999999</v>
      </c>
    </row>
    <row r="430" spans="1:9" ht="51.6" customHeight="1">
      <c r="A430" s="1" t="str">
        <f>"Chemistry 1445"</f>
        <v>Chemistry 1445</v>
      </c>
      <c r="B430" t="s">
        <v>1098</v>
      </c>
      <c r="C430" t="s">
        <v>128</v>
      </c>
      <c r="D430" s="2">
        <v>17500</v>
      </c>
      <c r="E430" s="2">
        <v>12250</v>
      </c>
      <c r="F430" t="s">
        <v>5</v>
      </c>
      <c r="G430" t="s">
        <v>1099</v>
      </c>
      <c r="H430" t="s">
        <v>1095</v>
      </c>
      <c r="I430">
        <v>199.67725999999999</v>
      </c>
    </row>
    <row r="431" spans="1:9" ht="80.25" customHeight="1">
      <c r="A431" s="1" t="str">
        <f>"Chemistry 1447"</f>
        <v>Chemistry 1447</v>
      </c>
      <c r="B431" t="s">
        <v>1100</v>
      </c>
      <c r="C431" t="s">
        <v>128</v>
      </c>
      <c r="D431" s="2">
        <v>17500</v>
      </c>
      <c r="E431" s="2">
        <v>12250</v>
      </c>
      <c r="F431" t="s">
        <v>5</v>
      </c>
      <c r="G431" t="s">
        <v>1101</v>
      </c>
      <c r="H431" t="s">
        <v>1102</v>
      </c>
      <c r="I431">
        <v>213.70384000000001</v>
      </c>
    </row>
    <row r="432" spans="1:9" ht="70.2" customHeight="1">
      <c r="A432" s="1" t="str">
        <f>"Chemistry 1449"</f>
        <v>Chemistry 1449</v>
      </c>
      <c r="B432" t="s">
        <v>1103</v>
      </c>
      <c r="C432" t="s">
        <v>128</v>
      </c>
      <c r="D432" s="2">
        <v>17500</v>
      </c>
      <c r="E432" s="2">
        <v>12250</v>
      </c>
      <c r="F432" t="s">
        <v>5</v>
      </c>
      <c r="G432" t="s">
        <v>1104</v>
      </c>
      <c r="H432" t="s">
        <v>1102</v>
      </c>
      <c r="I432">
        <v>213.70384000000001</v>
      </c>
    </row>
    <row r="433" spans="1:9" ht="52.2" customHeight="1">
      <c r="A433" s="1" t="str">
        <f>"Chemistry 1451"</f>
        <v>Chemistry 1451</v>
      </c>
      <c r="B433" t="s">
        <v>1105</v>
      </c>
      <c r="C433" t="s">
        <v>128</v>
      </c>
      <c r="D433" s="2">
        <v>17500</v>
      </c>
      <c r="E433" s="2">
        <v>12250</v>
      </c>
      <c r="F433" t="s">
        <v>5</v>
      </c>
      <c r="G433" t="s">
        <v>1106</v>
      </c>
      <c r="H433" t="s">
        <v>1102</v>
      </c>
      <c r="I433">
        <v>213.70384000000001</v>
      </c>
    </row>
    <row r="434" spans="1:9" ht="65.099999999999994" customHeight="1">
      <c r="A434" s="1" t="str">
        <f>"Chemistry 1452"</f>
        <v>Chemistry 1452</v>
      </c>
      <c r="B434" t="s">
        <v>1107</v>
      </c>
      <c r="C434" t="s">
        <v>3</v>
      </c>
      <c r="D434" s="2">
        <v>14900</v>
      </c>
      <c r="E434" s="2">
        <v>10430</v>
      </c>
      <c r="F434" t="s">
        <v>5</v>
      </c>
      <c r="G434" t="s">
        <v>1108</v>
      </c>
      <c r="H434" t="s">
        <v>1016</v>
      </c>
      <c r="I434">
        <v>182.19154</v>
      </c>
    </row>
    <row r="435" spans="1:9" ht="67.95" customHeight="1">
      <c r="A435" s="1" t="str">
        <f>"Chemistry 1453"</f>
        <v>Chemistry 1453</v>
      </c>
      <c r="B435" t="s">
        <v>1109</v>
      </c>
      <c r="C435" t="s">
        <v>3</v>
      </c>
      <c r="D435" s="2">
        <v>14900</v>
      </c>
      <c r="E435" s="2">
        <v>10430</v>
      </c>
      <c r="F435" t="s">
        <v>5</v>
      </c>
      <c r="G435" t="s">
        <v>1110</v>
      </c>
      <c r="H435" t="s">
        <v>1111</v>
      </c>
      <c r="I435">
        <v>180.17565999999999</v>
      </c>
    </row>
    <row r="436" spans="1:9" ht="61.8" customHeight="1">
      <c r="A436" s="1" t="str">
        <f>"Chemistry 1455"</f>
        <v>Chemistry 1455</v>
      </c>
      <c r="B436" t="s">
        <v>1112</v>
      </c>
      <c r="C436" t="s">
        <v>3</v>
      </c>
      <c r="D436" s="2">
        <v>14900</v>
      </c>
      <c r="E436" s="2">
        <v>10430</v>
      </c>
      <c r="F436" t="s">
        <v>5</v>
      </c>
      <c r="G436" t="s">
        <v>1113</v>
      </c>
      <c r="H436" t="s">
        <v>1111</v>
      </c>
      <c r="I436">
        <v>180.17565999999999</v>
      </c>
    </row>
    <row r="437" spans="1:9" ht="70.2" customHeight="1">
      <c r="A437" s="1" t="str">
        <f>"Chemistry 1457"</f>
        <v>Chemistry 1457</v>
      </c>
      <c r="B437" t="s">
        <v>1115</v>
      </c>
      <c r="C437" t="s">
        <v>3</v>
      </c>
      <c r="D437" s="2">
        <v>14900</v>
      </c>
      <c r="E437" s="2">
        <v>10430</v>
      </c>
      <c r="F437" t="s">
        <v>5</v>
      </c>
      <c r="G437" t="s">
        <v>1116</v>
      </c>
      <c r="H437" t="s">
        <v>1114</v>
      </c>
      <c r="I437">
        <v>194.20223999999999</v>
      </c>
    </row>
    <row r="438" spans="1:9" ht="60" customHeight="1">
      <c r="A438" s="1" t="str">
        <f>"Chemistry 1458"</f>
        <v>Chemistry 1458</v>
      </c>
      <c r="B438" t="s">
        <v>1117</v>
      </c>
      <c r="C438" t="s">
        <v>3</v>
      </c>
      <c r="D438" s="2">
        <v>14900</v>
      </c>
      <c r="E438" s="2">
        <v>10430</v>
      </c>
      <c r="F438" t="s">
        <v>5</v>
      </c>
      <c r="G438" t="s">
        <v>1118</v>
      </c>
      <c r="H438" t="s">
        <v>1114</v>
      </c>
      <c r="I438">
        <v>194.20223999999999</v>
      </c>
    </row>
    <row r="439" spans="1:9" ht="65.099999999999994" customHeight="1">
      <c r="A439" s="1" t="str">
        <f>"Chemistry 1459"</f>
        <v>Chemistry 1459</v>
      </c>
      <c r="B439" t="s">
        <v>1119</v>
      </c>
      <c r="C439" t="s">
        <v>3</v>
      </c>
      <c r="D439" s="2">
        <v>14900</v>
      </c>
      <c r="E439" s="2">
        <v>10430</v>
      </c>
      <c r="F439" t="s">
        <v>5</v>
      </c>
      <c r="G439" t="s">
        <v>1120</v>
      </c>
      <c r="H439" t="s">
        <v>1121</v>
      </c>
      <c r="I439">
        <v>198.64613</v>
      </c>
    </row>
    <row r="440" spans="1:9" ht="81.45" customHeight="1">
      <c r="A440" s="1" t="str">
        <f>"Chemistry 1461"</f>
        <v>Chemistry 1461</v>
      </c>
      <c r="B440" t="s">
        <v>1122</v>
      </c>
      <c r="C440" t="s">
        <v>3</v>
      </c>
      <c r="D440" s="2">
        <v>14900</v>
      </c>
      <c r="E440" s="2">
        <v>10430</v>
      </c>
      <c r="F440" t="s">
        <v>5</v>
      </c>
      <c r="G440" t="s">
        <v>1123</v>
      </c>
      <c r="H440" t="s">
        <v>1124</v>
      </c>
      <c r="I440">
        <v>210.65683999999999</v>
      </c>
    </row>
    <row r="441" spans="1:9" ht="65.099999999999994" customHeight="1">
      <c r="A441" s="1" t="str">
        <f>"Chemistry 1463"</f>
        <v>Chemistry 1463</v>
      </c>
      <c r="B441" t="s">
        <v>1125</v>
      </c>
      <c r="C441" t="s">
        <v>3</v>
      </c>
      <c r="D441" s="2">
        <v>14900</v>
      </c>
      <c r="E441" s="2">
        <v>10430</v>
      </c>
      <c r="F441" t="s">
        <v>5</v>
      </c>
      <c r="G441" t="s">
        <v>1126</v>
      </c>
      <c r="H441" t="s">
        <v>1019</v>
      </c>
      <c r="I441">
        <v>243.09712999999999</v>
      </c>
    </row>
    <row r="442" spans="1:9" ht="70.2" customHeight="1">
      <c r="A442" s="1" t="str">
        <f>"Chemistry 1468"</f>
        <v>Chemistry 1468</v>
      </c>
      <c r="B442" t="s">
        <v>1128</v>
      </c>
      <c r="C442" t="s">
        <v>3</v>
      </c>
      <c r="D442" s="2">
        <v>14900</v>
      </c>
      <c r="E442" s="2">
        <v>10430</v>
      </c>
      <c r="F442" t="s">
        <v>5</v>
      </c>
      <c r="G442" t="s">
        <v>1129</v>
      </c>
      <c r="H442" t="s">
        <v>1127</v>
      </c>
      <c r="I442">
        <v>255.10784000000001</v>
      </c>
    </row>
    <row r="443" spans="1:9" ht="60" customHeight="1">
      <c r="A443" s="1" t="str">
        <f>"Chemistry 1469"</f>
        <v>Chemistry 1469</v>
      </c>
      <c r="B443" t="s">
        <v>1130</v>
      </c>
      <c r="C443" t="s">
        <v>3</v>
      </c>
      <c r="D443" s="2">
        <v>14900</v>
      </c>
      <c r="E443" s="2">
        <v>10430</v>
      </c>
      <c r="F443" t="s">
        <v>5</v>
      </c>
      <c r="G443" t="s">
        <v>1131</v>
      </c>
      <c r="H443" t="s">
        <v>1127</v>
      </c>
      <c r="I443">
        <v>255.10784000000001</v>
      </c>
    </row>
    <row r="444" spans="1:9" ht="51.6" customHeight="1">
      <c r="A444" s="1" t="str">
        <f>"Chemistry 1472"</f>
        <v>Chemistry 1472</v>
      </c>
      <c r="B444" t="s">
        <v>1133</v>
      </c>
      <c r="C444" t="s">
        <v>3</v>
      </c>
      <c r="D444" s="2">
        <v>14900</v>
      </c>
      <c r="E444" s="2">
        <v>10430</v>
      </c>
      <c r="F444" t="s">
        <v>5</v>
      </c>
      <c r="G444" t="s">
        <v>1134</v>
      </c>
      <c r="H444" t="s">
        <v>1132</v>
      </c>
      <c r="I444">
        <v>194.22705999999999</v>
      </c>
    </row>
    <row r="445" spans="1:9" ht="64.5" customHeight="1">
      <c r="A445" s="1" t="str">
        <f>"Chemistry 1474"</f>
        <v>Chemistry 1474</v>
      </c>
      <c r="B445" t="s">
        <v>1136</v>
      </c>
      <c r="C445" t="s">
        <v>3</v>
      </c>
      <c r="D445" s="2">
        <v>14900</v>
      </c>
      <c r="E445" s="2">
        <v>10430</v>
      </c>
      <c r="F445" t="s">
        <v>5</v>
      </c>
      <c r="G445" t="s">
        <v>1137</v>
      </c>
      <c r="H445" t="s">
        <v>1135</v>
      </c>
      <c r="I445">
        <v>192.21118000000001</v>
      </c>
    </row>
    <row r="446" spans="1:9" ht="70.2" customHeight="1">
      <c r="A446" s="1" t="str">
        <f>"Chemistry 1477"</f>
        <v>Chemistry 1477</v>
      </c>
      <c r="B446" t="s">
        <v>1139</v>
      </c>
      <c r="C446" t="s">
        <v>3</v>
      </c>
      <c r="D446" s="2">
        <v>14900</v>
      </c>
      <c r="E446" s="2">
        <v>10430</v>
      </c>
      <c r="F446" t="s">
        <v>5</v>
      </c>
      <c r="G446" t="s">
        <v>1140</v>
      </c>
      <c r="H446" t="s">
        <v>1138</v>
      </c>
      <c r="I446">
        <v>206.23776000000001</v>
      </c>
    </row>
    <row r="447" spans="1:9" ht="75.75" customHeight="1">
      <c r="A447" s="1" t="str">
        <f>"Chemistry 1513"</f>
        <v>Chemistry 1513</v>
      </c>
      <c r="B447" t="s">
        <v>1141</v>
      </c>
      <c r="C447" t="s">
        <v>270</v>
      </c>
      <c r="D447" s="2">
        <v>11400</v>
      </c>
      <c r="E447" s="2">
        <v>7979.9999999999991</v>
      </c>
      <c r="F447" t="s">
        <v>5</v>
      </c>
      <c r="G447" t="s">
        <v>1142</v>
      </c>
      <c r="H447" t="s">
        <v>616</v>
      </c>
      <c r="I447">
        <v>311.22304000000003</v>
      </c>
    </row>
    <row r="448" spans="1:9" ht="73.5" customHeight="1">
      <c r="A448" s="1" t="str">
        <f>"Chemistry 1517"</f>
        <v>Chemistry 1517</v>
      </c>
      <c r="B448" t="s">
        <v>1144</v>
      </c>
      <c r="C448" t="s">
        <v>128</v>
      </c>
      <c r="D448" s="2">
        <v>28000</v>
      </c>
      <c r="E448" s="2">
        <v>16800</v>
      </c>
      <c r="F448" t="s">
        <v>5</v>
      </c>
      <c r="G448" t="s">
        <v>1145</v>
      </c>
      <c r="H448" t="s">
        <v>1143</v>
      </c>
      <c r="I448">
        <v>203.64114000000001</v>
      </c>
    </row>
    <row r="449" spans="1:9" ht="83.7" customHeight="1">
      <c r="A449" s="1" t="str">
        <f>"Chemistry 1523"</f>
        <v>Chemistry 1523</v>
      </c>
      <c r="B449" t="s">
        <v>1146</v>
      </c>
      <c r="C449" t="s">
        <v>128</v>
      </c>
      <c r="D449" s="2">
        <v>28000</v>
      </c>
      <c r="E449" s="2">
        <v>16800</v>
      </c>
      <c r="F449" t="s">
        <v>5</v>
      </c>
      <c r="G449" t="s">
        <v>1147</v>
      </c>
      <c r="H449" t="s">
        <v>1148</v>
      </c>
      <c r="I449">
        <v>215.67666</v>
      </c>
    </row>
    <row r="450" spans="1:9" ht="73.5" customHeight="1">
      <c r="A450" s="1" t="str">
        <f>"Chemistry 1524"</f>
        <v>Chemistry 1524</v>
      </c>
      <c r="B450" t="s">
        <v>1149</v>
      </c>
      <c r="C450" t="s">
        <v>128</v>
      </c>
      <c r="D450" s="2">
        <v>28000</v>
      </c>
      <c r="E450" s="2">
        <v>16800</v>
      </c>
      <c r="F450" t="s">
        <v>5</v>
      </c>
      <c r="G450" t="s">
        <v>1150</v>
      </c>
      <c r="H450" t="s">
        <v>1148</v>
      </c>
      <c r="I450">
        <v>215.67666</v>
      </c>
    </row>
    <row r="451" spans="1:9" ht="71.25" customHeight="1">
      <c r="A451" s="1" t="str">
        <f>"Chemistry 1531"</f>
        <v>Chemistry 1531</v>
      </c>
      <c r="B451" t="s">
        <v>1151</v>
      </c>
      <c r="C451" t="s">
        <v>3</v>
      </c>
      <c r="D451" s="2">
        <v>14000</v>
      </c>
      <c r="E451" s="2">
        <v>9800</v>
      </c>
      <c r="F451" t="s">
        <v>5</v>
      </c>
      <c r="G451" t="s">
        <v>1152</v>
      </c>
      <c r="H451" t="s">
        <v>297</v>
      </c>
      <c r="I451">
        <v>256.34125999999998</v>
      </c>
    </row>
    <row r="452" spans="1:9" ht="96" customHeight="1">
      <c r="A452" s="1" t="str">
        <f>"Chemistry 1532"</f>
        <v>Chemistry 1532</v>
      </c>
      <c r="B452" t="s">
        <v>1153</v>
      </c>
      <c r="C452" t="s">
        <v>3</v>
      </c>
      <c r="D452" s="2">
        <v>15800</v>
      </c>
      <c r="E452" s="2">
        <v>11060</v>
      </c>
      <c r="F452" t="s">
        <v>5</v>
      </c>
      <c r="G452" t="s">
        <v>1154</v>
      </c>
      <c r="H452" t="s">
        <v>297</v>
      </c>
      <c r="I452">
        <v>256.34125999999998</v>
      </c>
    </row>
    <row r="453" spans="1:9" ht="78.599999999999994" customHeight="1">
      <c r="A453" s="1" t="str">
        <f>"Chemistry 1536"</f>
        <v>Chemistry 1536</v>
      </c>
      <c r="B453" t="s">
        <v>1158</v>
      </c>
      <c r="C453" t="s">
        <v>3</v>
      </c>
      <c r="D453" s="2">
        <v>12300</v>
      </c>
      <c r="E453" s="2">
        <v>8610</v>
      </c>
      <c r="F453" t="s">
        <v>5</v>
      </c>
      <c r="G453" t="s">
        <v>1159</v>
      </c>
      <c r="H453" t="s">
        <v>1157</v>
      </c>
      <c r="I453">
        <v>203.24041</v>
      </c>
    </row>
    <row r="454" spans="1:9" ht="71.25" customHeight="1">
      <c r="A454" s="1" t="str">
        <f>"Chemistry 1537"</f>
        <v>Chemistry 1537</v>
      </c>
      <c r="B454" t="s">
        <v>1160</v>
      </c>
      <c r="C454" t="s">
        <v>3</v>
      </c>
      <c r="D454" s="2">
        <v>8800</v>
      </c>
      <c r="E454" s="2">
        <v>6160</v>
      </c>
      <c r="F454" t="s">
        <v>5</v>
      </c>
      <c r="G454" t="s">
        <v>1161</v>
      </c>
      <c r="H454" t="s">
        <v>1162</v>
      </c>
      <c r="I454">
        <v>358.39850000000001</v>
      </c>
    </row>
    <row r="455" spans="1:9" ht="69.599999999999994" customHeight="1">
      <c r="A455" s="1" t="str">
        <f>"Chemistry 1538"</f>
        <v>Chemistry 1538</v>
      </c>
      <c r="B455" t="s">
        <v>1163</v>
      </c>
      <c r="C455" t="s">
        <v>3</v>
      </c>
      <c r="D455" s="2">
        <v>14000</v>
      </c>
      <c r="E455" s="2">
        <v>9800</v>
      </c>
      <c r="F455" t="s">
        <v>5</v>
      </c>
      <c r="G455" t="s">
        <v>1164</v>
      </c>
      <c r="H455" t="s">
        <v>297</v>
      </c>
      <c r="I455">
        <v>256.34125999999998</v>
      </c>
    </row>
    <row r="456" spans="1:9" ht="44.25" customHeight="1">
      <c r="A456" s="1" t="str">
        <f>"Chemistry 1539"</f>
        <v>Chemistry 1539</v>
      </c>
      <c r="B456" t="s">
        <v>1165</v>
      </c>
      <c r="C456" t="s">
        <v>3</v>
      </c>
      <c r="D456" s="2">
        <v>17500</v>
      </c>
      <c r="E456" s="2">
        <v>12250</v>
      </c>
      <c r="F456" t="s">
        <v>5</v>
      </c>
      <c r="G456" t="s">
        <v>1166</v>
      </c>
      <c r="H456" t="s">
        <v>1167</v>
      </c>
      <c r="I456">
        <v>156.22543999999999</v>
      </c>
    </row>
    <row r="457" spans="1:9" ht="71.25" customHeight="1">
      <c r="A457" s="1" t="str">
        <f>"Chemistry 1541"</f>
        <v>Chemistry 1541</v>
      </c>
      <c r="B457" t="s">
        <v>1169</v>
      </c>
      <c r="C457" t="s">
        <v>3</v>
      </c>
      <c r="D457" s="2">
        <v>9700</v>
      </c>
      <c r="E457" s="2">
        <v>6790</v>
      </c>
      <c r="F457" t="s">
        <v>5</v>
      </c>
      <c r="G457" t="s">
        <v>1170</v>
      </c>
      <c r="H457" t="s">
        <v>1171</v>
      </c>
      <c r="I457">
        <v>213.16252</v>
      </c>
    </row>
    <row r="458" spans="1:9" ht="67.95" customHeight="1">
      <c r="A458" s="1" t="str">
        <f>"Chemistry 1554"</f>
        <v>Chemistry 1554</v>
      </c>
      <c r="B458" t="s">
        <v>1174</v>
      </c>
      <c r="C458" t="s">
        <v>3</v>
      </c>
      <c r="D458" s="2">
        <v>12300</v>
      </c>
      <c r="E458" s="2">
        <v>8610</v>
      </c>
      <c r="F458" t="s">
        <v>5</v>
      </c>
      <c r="G458" t="s">
        <v>1175</v>
      </c>
      <c r="H458" t="s">
        <v>1155</v>
      </c>
      <c r="I458">
        <v>191.20490000000001</v>
      </c>
    </row>
    <row r="459" spans="1:9" ht="64.5" customHeight="1">
      <c r="A459" s="1" t="str">
        <f>"Chemistry 1561"</f>
        <v>Chemistry 1561</v>
      </c>
      <c r="B459" t="s">
        <v>1177</v>
      </c>
      <c r="C459" t="s">
        <v>3</v>
      </c>
      <c r="D459" s="2">
        <v>14000</v>
      </c>
      <c r="E459" s="2">
        <v>9800</v>
      </c>
      <c r="F459" t="s">
        <v>5</v>
      </c>
      <c r="G459" t="s">
        <v>1178</v>
      </c>
      <c r="H459" t="s">
        <v>1179</v>
      </c>
      <c r="I459">
        <v>177.17832000000001</v>
      </c>
    </row>
    <row r="460" spans="1:9" ht="79.2" customHeight="1">
      <c r="A460" s="1" t="str">
        <f>"Chemistry 1566"</f>
        <v>Chemistry 1566</v>
      </c>
      <c r="B460" t="s">
        <v>1182</v>
      </c>
      <c r="C460" t="s">
        <v>3</v>
      </c>
      <c r="D460" s="2">
        <v>12300</v>
      </c>
      <c r="E460" s="2">
        <v>8610</v>
      </c>
      <c r="F460" t="s">
        <v>5</v>
      </c>
      <c r="G460" t="s">
        <v>1183</v>
      </c>
      <c r="H460" t="s">
        <v>1184</v>
      </c>
      <c r="I460">
        <v>207.65949000000001</v>
      </c>
    </row>
    <row r="461" spans="1:9" ht="78.599999999999994" customHeight="1">
      <c r="A461" s="1" t="str">
        <f>"Chemistry 1567"</f>
        <v>Chemistry 1567</v>
      </c>
      <c r="B461" t="s">
        <v>1185</v>
      </c>
      <c r="C461" t="s">
        <v>3</v>
      </c>
      <c r="D461" s="2">
        <v>12300</v>
      </c>
      <c r="E461" s="2">
        <v>8610</v>
      </c>
      <c r="F461" t="s">
        <v>5</v>
      </c>
      <c r="G461" t="s">
        <v>1186</v>
      </c>
      <c r="H461" t="s">
        <v>1184</v>
      </c>
      <c r="I461">
        <v>207.65949000000001</v>
      </c>
    </row>
    <row r="462" spans="1:9" ht="68.55" customHeight="1">
      <c r="A462" s="1" t="str">
        <f>"Chemistry 1574"</f>
        <v>Chemistry 1574</v>
      </c>
      <c r="B462" t="s">
        <v>1187</v>
      </c>
      <c r="C462" t="s">
        <v>3</v>
      </c>
      <c r="D462" s="2">
        <v>14000</v>
      </c>
      <c r="E462" s="2">
        <v>9800</v>
      </c>
      <c r="F462" t="s">
        <v>5</v>
      </c>
      <c r="G462" t="s">
        <v>1188</v>
      </c>
      <c r="H462" t="s">
        <v>1189</v>
      </c>
      <c r="I462">
        <v>206.17318</v>
      </c>
    </row>
    <row r="463" spans="1:9" ht="71.849999999999994" customHeight="1">
      <c r="A463" s="1" t="str">
        <f>"Chemistry 1576"</f>
        <v>Chemistry 1576</v>
      </c>
      <c r="B463" t="s">
        <v>1190</v>
      </c>
      <c r="C463" t="s">
        <v>3</v>
      </c>
      <c r="D463" s="2">
        <v>14000</v>
      </c>
      <c r="E463" s="2">
        <v>9800</v>
      </c>
      <c r="F463" t="s">
        <v>5</v>
      </c>
      <c r="G463" t="s">
        <v>1191</v>
      </c>
      <c r="H463" t="s">
        <v>1189</v>
      </c>
      <c r="I463">
        <v>206.17318</v>
      </c>
    </row>
    <row r="464" spans="1:9" ht="98.25" customHeight="1">
      <c r="A464" s="1" t="str">
        <f>"Chemistry 1577"</f>
        <v>Chemistry 1577</v>
      </c>
      <c r="B464" t="s">
        <v>1192</v>
      </c>
      <c r="C464" t="s">
        <v>3</v>
      </c>
      <c r="D464" s="2">
        <v>14000</v>
      </c>
      <c r="E464" s="2">
        <v>9800</v>
      </c>
      <c r="F464" t="s">
        <v>5</v>
      </c>
      <c r="G464" t="s">
        <v>1193</v>
      </c>
      <c r="H464" t="s">
        <v>1194</v>
      </c>
      <c r="I464">
        <v>218.20869999999999</v>
      </c>
    </row>
    <row r="465" spans="1:9" ht="58.35" customHeight="1">
      <c r="A465" s="1" t="str">
        <f>"Chemistry 1578"</f>
        <v>Chemistry 1578</v>
      </c>
      <c r="B465" t="s">
        <v>1195</v>
      </c>
      <c r="C465" t="s">
        <v>3</v>
      </c>
      <c r="D465" s="2">
        <v>14000</v>
      </c>
      <c r="E465" s="2">
        <v>9800</v>
      </c>
      <c r="F465" t="s">
        <v>5</v>
      </c>
      <c r="G465" t="s">
        <v>1196</v>
      </c>
      <c r="H465" t="s">
        <v>1197</v>
      </c>
      <c r="I465">
        <v>220.19976</v>
      </c>
    </row>
    <row r="466" spans="1:9" ht="55.05" customHeight="1">
      <c r="A466" s="1" t="str">
        <f>"Chemistry 1579"</f>
        <v>Chemistry 1579</v>
      </c>
      <c r="B466" t="s">
        <v>1198</v>
      </c>
      <c r="C466" t="s">
        <v>3</v>
      </c>
      <c r="D466" s="2">
        <v>14000</v>
      </c>
      <c r="E466" s="2">
        <v>9800</v>
      </c>
      <c r="F466" t="s">
        <v>5</v>
      </c>
      <c r="G466" t="s">
        <v>1199</v>
      </c>
      <c r="H466" t="s">
        <v>1197</v>
      </c>
      <c r="I466">
        <v>220.19976</v>
      </c>
    </row>
    <row r="467" spans="1:9" ht="55.5" customHeight="1">
      <c r="A467" s="1" t="str">
        <f>"Chemistry 1594"</f>
        <v>Chemistry 1594</v>
      </c>
      <c r="B467" t="s">
        <v>1203</v>
      </c>
      <c r="C467" t="s">
        <v>3</v>
      </c>
      <c r="D467" s="2">
        <v>12300</v>
      </c>
      <c r="E467" s="2">
        <v>8610</v>
      </c>
      <c r="F467" t="s">
        <v>5</v>
      </c>
      <c r="G467" t="s">
        <v>1204</v>
      </c>
      <c r="H467" t="s">
        <v>1205</v>
      </c>
      <c r="I467">
        <v>167.16525999999999</v>
      </c>
    </row>
    <row r="468" spans="1:9" ht="55.5" customHeight="1">
      <c r="A468" s="1" t="str">
        <f>"Chemistry 1595"</f>
        <v>Chemistry 1595</v>
      </c>
      <c r="B468" t="s">
        <v>1206</v>
      </c>
      <c r="C468" t="s">
        <v>3</v>
      </c>
      <c r="D468" s="2">
        <v>12300</v>
      </c>
      <c r="E468" s="2">
        <v>8610</v>
      </c>
      <c r="F468" t="s">
        <v>5</v>
      </c>
      <c r="G468" t="s">
        <v>1207</v>
      </c>
      <c r="H468" t="s">
        <v>1172</v>
      </c>
      <c r="I468">
        <v>165.18913000000001</v>
      </c>
    </row>
    <row r="469" spans="1:9" ht="76.95" customHeight="1">
      <c r="A469" s="1" t="str">
        <f>"Chemistry 1598"</f>
        <v>Chemistry 1598</v>
      </c>
      <c r="B469" t="s">
        <v>1208</v>
      </c>
      <c r="C469" t="s">
        <v>3</v>
      </c>
      <c r="D469" s="2">
        <v>17500</v>
      </c>
      <c r="E469" s="2">
        <v>12250</v>
      </c>
      <c r="F469" t="s">
        <v>5</v>
      </c>
      <c r="G469" t="s">
        <v>1209</v>
      </c>
      <c r="H469" t="s">
        <v>280</v>
      </c>
      <c r="I469">
        <v>242.31468000000001</v>
      </c>
    </row>
    <row r="470" spans="1:9" ht="60.6" customHeight="1">
      <c r="A470" s="1" t="str">
        <f>"Chemistry 1599"</f>
        <v>Chemistry 1599</v>
      </c>
      <c r="B470" t="s">
        <v>1210</v>
      </c>
      <c r="C470" t="s">
        <v>3</v>
      </c>
      <c r="D470" s="2">
        <v>17500</v>
      </c>
      <c r="E470" s="2">
        <v>12250</v>
      </c>
      <c r="F470" t="s">
        <v>5</v>
      </c>
      <c r="G470" t="s">
        <v>1211</v>
      </c>
      <c r="H470" t="s">
        <v>280</v>
      </c>
      <c r="I470">
        <v>242.31468000000001</v>
      </c>
    </row>
    <row r="471" spans="1:9" ht="71.25" customHeight="1">
      <c r="A471" s="1" t="str">
        <f>"Chemistry 1601"</f>
        <v>Chemistry 1601</v>
      </c>
      <c r="B471" t="s">
        <v>1212</v>
      </c>
      <c r="C471" t="s">
        <v>3</v>
      </c>
      <c r="D471" s="2">
        <v>12300</v>
      </c>
      <c r="E471" s="2">
        <v>8610</v>
      </c>
      <c r="F471" t="s">
        <v>5</v>
      </c>
      <c r="G471" t="s">
        <v>1213</v>
      </c>
      <c r="H471" t="s">
        <v>1214</v>
      </c>
      <c r="I471">
        <v>194.184</v>
      </c>
    </row>
    <row r="472" spans="1:9" ht="71.25" customHeight="1">
      <c r="A472" s="1" t="str">
        <f>"Chemistry 1603"</f>
        <v>Chemistry 1603</v>
      </c>
      <c r="B472" t="s">
        <v>1215</v>
      </c>
      <c r="C472" t="s">
        <v>3</v>
      </c>
      <c r="D472" s="2">
        <v>12300</v>
      </c>
      <c r="E472" s="2">
        <v>8610</v>
      </c>
      <c r="F472" t="s">
        <v>5</v>
      </c>
      <c r="G472" t="s">
        <v>1216</v>
      </c>
      <c r="H472" t="s">
        <v>1217</v>
      </c>
      <c r="I472">
        <v>262.18196</v>
      </c>
    </row>
    <row r="473" spans="1:9" ht="85.35" customHeight="1">
      <c r="A473" s="1" t="str">
        <f>"Chemistry 1606"</f>
        <v>Chemistry 1606</v>
      </c>
      <c r="B473" t="s">
        <v>1218</v>
      </c>
      <c r="C473" t="s">
        <v>3</v>
      </c>
      <c r="D473" s="2">
        <v>14000</v>
      </c>
      <c r="E473" s="2">
        <v>9800</v>
      </c>
      <c r="F473" t="s">
        <v>5</v>
      </c>
      <c r="G473" t="s">
        <v>1219</v>
      </c>
      <c r="H473" t="s">
        <v>297</v>
      </c>
      <c r="I473">
        <v>256.34125999999998</v>
      </c>
    </row>
    <row r="474" spans="1:9" ht="57.75" customHeight="1">
      <c r="A474" s="1" t="str">
        <f>"Chemistry 1610"</f>
        <v>Chemistry 1610</v>
      </c>
      <c r="B474" t="s">
        <v>1220</v>
      </c>
      <c r="C474" t="s">
        <v>3</v>
      </c>
      <c r="D474" s="2">
        <v>14000</v>
      </c>
      <c r="E474" s="2">
        <v>9800</v>
      </c>
      <c r="F474" t="s">
        <v>5</v>
      </c>
      <c r="G474" t="s">
        <v>1221</v>
      </c>
      <c r="H474" t="s">
        <v>258</v>
      </c>
      <c r="I474">
        <v>270.36784</v>
      </c>
    </row>
    <row r="475" spans="1:9" ht="75.75" customHeight="1">
      <c r="A475" s="1" t="str">
        <f>"Chemistry 1612"</f>
        <v>Chemistry 1612</v>
      </c>
      <c r="B475" t="s">
        <v>1222</v>
      </c>
      <c r="C475" t="s">
        <v>3</v>
      </c>
      <c r="D475" s="2">
        <v>14000</v>
      </c>
      <c r="E475" s="2">
        <v>9800</v>
      </c>
      <c r="F475" t="s">
        <v>5</v>
      </c>
      <c r="G475" t="s">
        <v>1223</v>
      </c>
      <c r="H475" t="s">
        <v>1224</v>
      </c>
      <c r="I475">
        <v>188.22908000000001</v>
      </c>
    </row>
    <row r="476" spans="1:9" ht="75.75" customHeight="1">
      <c r="A476" s="1" t="str">
        <f>"Chemistry 1613"</f>
        <v>Chemistry 1613</v>
      </c>
      <c r="B476" t="s">
        <v>1225</v>
      </c>
      <c r="C476" t="s">
        <v>3</v>
      </c>
      <c r="D476" s="2">
        <v>14000</v>
      </c>
      <c r="E476" s="2">
        <v>9800</v>
      </c>
      <c r="F476" t="s">
        <v>5</v>
      </c>
      <c r="G476" t="s">
        <v>1226</v>
      </c>
      <c r="H476" t="s">
        <v>1224</v>
      </c>
      <c r="I476">
        <v>188.22908000000001</v>
      </c>
    </row>
    <row r="477" spans="1:9" ht="65.7" customHeight="1">
      <c r="A477" s="1" t="str">
        <f>"Chemistry 1620"</f>
        <v>Chemistry 1620</v>
      </c>
      <c r="B477" t="s">
        <v>1230</v>
      </c>
      <c r="C477" t="s">
        <v>3</v>
      </c>
      <c r="D477" s="2">
        <v>12300</v>
      </c>
      <c r="E477" s="2">
        <v>8610</v>
      </c>
      <c r="F477" t="s">
        <v>5</v>
      </c>
      <c r="G477" t="s">
        <v>1231</v>
      </c>
      <c r="H477" t="s">
        <v>1155</v>
      </c>
      <c r="I477">
        <v>191.20490000000001</v>
      </c>
    </row>
    <row r="478" spans="1:9" ht="75.3" customHeight="1">
      <c r="A478" s="1" t="str">
        <f>"Chemistry 1623"</f>
        <v>Chemistry 1623</v>
      </c>
      <c r="B478" t="s">
        <v>1233</v>
      </c>
      <c r="C478" t="s">
        <v>3</v>
      </c>
      <c r="D478" s="2">
        <v>14000</v>
      </c>
      <c r="E478" s="2">
        <v>9800</v>
      </c>
      <c r="F478" t="s">
        <v>5</v>
      </c>
      <c r="G478" t="s">
        <v>1234</v>
      </c>
      <c r="H478" t="s">
        <v>1235</v>
      </c>
      <c r="I478">
        <v>170.16589999999999</v>
      </c>
    </row>
    <row r="479" spans="1:9" ht="47.7" customHeight="1">
      <c r="A479" s="1" t="str">
        <f>"Chemistry 1628"</f>
        <v>Chemistry 1628</v>
      </c>
      <c r="B479" t="s">
        <v>1238</v>
      </c>
      <c r="C479" t="s">
        <v>270</v>
      </c>
      <c r="D479" s="2">
        <v>11400</v>
      </c>
      <c r="E479" s="2">
        <v>7979.9999999999991</v>
      </c>
      <c r="F479" t="s">
        <v>5</v>
      </c>
      <c r="G479" t="s">
        <v>1239</v>
      </c>
      <c r="H479" t="s">
        <v>1240</v>
      </c>
      <c r="I479">
        <v>189.08345</v>
      </c>
    </row>
    <row r="480" spans="1:9" ht="65.7" customHeight="1">
      <c r="A480" s="1" t="str">
        <f>"Chemistry 1658"</f>
        <v>Chemistry 1658</v>
      </c>
      <c r="B480" t="s">
        <v>1246</v>
      </c>
      <c r="C480" t="s">
        <v>3</v>
      </c>
      <c r="D480" s="2">
        <v>21000</v>
      </c>
      <c r="E480" s="2">
        <v>14699.999999999998</v>
      </c>
      <c r="F480" t="s">
        <v>5</v>
      </c>
      <c r="G480" t="s">
        <v>1247</v>
      </c>
      <c r="H480" t="s">
        <v>1248</v>
      </c>
      <c r="I480">
        <v>142.19886</v>
      </c>
    </row>
    <row r="481" spans="1:9" ht="65.7" customHeight="1">
      <c r="A481" s="1" t="str">
        <f>"Chemistry 1659"</f>
        <v>Chemistry 1659</v>
      </c>
      <c r="B481" t="s">
        <v>1249</v>
      </c>
      <c r="C481" t="s">
        <v>3</v>
      </c>
      <c r="D481" s="2">
        <v>21000</v>
      </c>
      <c r="E481" s="2">
        <v>14699.999999999998</v>
      </c>
      <c r="F481" t="s">
        <v>5</v>
      </c>
      <c r="G481" t="s">
        <v>1250</v>
      </c>
      <c r="H481" t="s">
        <v>1248</v>
      </c>
      <c r="I481">
        <v>142.19886</v>
      </c>
    </row>
    <row r="482" spans="1:9" ht="52.2" customHeight="1">
      <c r="A482" s="1" t="str">
        <f>"Chemistry 1667"</f>
        <v>Chemistry 1667</v>
      </c>
      <c r="B482" t="s">
        <v>1251</v>
      </c>
      <c r="C482" t="s">
        <v>3</v>
      </c>
      <c r="D482" s="2">
        <v>19300</v>
      </c>
      <c r="E482" s="2">
        <v>13510</v>
      </c>
      <c r="F482" t="s">
        <v>5</v>
      </c>
      <c r="G482" t="s">
        <v>1252</v>
      </c>
      <c r="H482" t="s">
        <v>1167</v>
      </c>
      <c r="I482">
        <v>156.22543999999999</v>
      </c>
    </row>
    <row r="483" spans="1:9" ht="61.8" customHeight="1">
      <c r="A483" s="1" t="str">
        <f>"Chemistry 1668"</f>
        <v>Chemistry 1668</v>
      </c>
      <c r="B483" t="s">
        <v>1253</v>
      </c>
      <c r="C483" t="s">
        <v>3</v>
      </c>
      <c r="D483" s="2">
        <v>19300</v>
      </c>
      <c r="E483" s="2">
        <v>13510</v>
      </c>
      <c r="F483" t="s">
        <v>5</v>
      </c>
      <c r="G483" t="s">
        <v>1254</v>
      </c>
      <c r="H483" t="s">
        <v>1167</v>
      </c>
      <c r="I483">
        <v>156.22543999999999</v>
      </c>
    </row>
    <row r="484" spans="1:9" ht="55.5" customHeight="1">
      <c r="A484" s="1" t="str">
        <f>"Chemistry 1671"</f>
        <v>Chemistry 1671</v>
      </c>
      <c r="B484" t="s">
        <v>1255</v>
      </c>
      <c r="C484" t="s">
        <v>3</v>
      </c>
      <c r="D484" s="2">
        <v>19300</v>
      </c>
      <c r="E484" s="2">
        <v>13510</v>
      </c>
      <c r="F484" t="s">
        <v>5</v>
      </c>
      <c r="G484" t="s">
        <v>1256</v>
      </c>
      <c r="H484" t="s">
        <v>777</v>
      </c>
      <c r="I484">
        <v>170.25201999999999</v>
      </c>
    </row>
    <row r="485" spans="1:9" ht="64.05" customHeight="1">
      <c r="A485" s="1" t="str">
        <f>"Chemistry 1675"</f>
        <v>Chemistry 1675</v>
      </c>
      <c r="B485" t="s">
        <v>1257</v>
      </c>
      <c r="C485" t="s">
        <v>3</v>
      </c>
      <c r="D485" s="2">
        <v>15800</v>
      </c>
      <c r="E485" s="2">
        <v>11060</v>
      </c>
      <c r="F485" t="s">
        <v>5</v>
      </c>
      <c r="G485" t="s">
        <v>1258</v>
      </c>
      <c r="H485" t="s">
        <v>1259</v>
      </c>
      <c r="I485">
        <v>137.18233000000001</v>
      </c>
    </row>
    <row r="486" spans="1:9" ht="64.05" customHeight="1">
      <c r="A486" s="1" t="str">
        <f>"Chemistry 1676"</f>
        <v>Chemistry 1676</v>
      </c>
      <c r="B486" t="s">
        <v>1260</v>
      </c>
      <c r="C486" t="s">
        <v>3</v>
      </c>
      <c r="D486" s="2">
        <v>21000</v>
      </c>
      <c r="E486" s="2">
        <v>14699.999999999998</v>
      </c>
      <c r="F486" t="s">
        <v>5</v>
      </c>
      <c r="G486" t="s">
        <v>1261</v>
      </c>
      <c r="H486" t="s">
        <v>1262</v>
      </c>
      <c r="I486">
        <v>139.15516</v>
      </c>
    </row>
    <row r="487" spans="1:9" ht="56.7" customHeight="1">
      <c r="A487" s="1" t="str">
        <f>"Chemistry 1681"</f>
        <v>Chemistry 1681</v>
      </c>
      <c r="B487" t="s">
        <v>1264</v>
      </c>
      <c r="C487" t="s">
        <v>3</v>
      </c>
      <c r="D487" s="2">
        <v>12300</v>
      </c>
      <c r="E487" s="2">
        <v>8610</v>
      </c>
      <c r="F487" t="s">
        <v>5</v>
      </c>
      <c r="G487" t="s">
        <v>1265</v>
      </c>
      <c r="H487" t="s">
        <v>1229</v>
      </c>
      <c r="I487">
        <v>174.20249000000001</v>
      </c>
    </row>
    <row r="488" spans="1:9" ht="69.599999999999994" customHeight="1">
      <c r="A488" s="1" t="str">
        <f>"Chemistry 1683"</f>
        <v>Chemistry 1683</v>
      </c>
      <c r="B488" t="s">
        <v>1266</v>
      </c>
      <c r="C488" t="s">
        <v>3</v>
      </c>
      <c r="D488" s="2">
        <v>12300</v>
      </c>
      <c r="E488" s="2">
        <v>8610</v>
      </c>
      <c r="F488" t="s">
        <v>5</v>
      </c>
      <c r="G488" t="s">
        <v>1267</v>
      </c>
      <c r="H488" t="s">
        <v>1157</v>
      </c>
      <c r="I488">
        <v>203.24042</v>
      </c>
    </row>
    <row r="489" spans="1:9" ht="64.5" customHeight="1">
      <c r="A489" s="1" t="str">
        <f>"Chemistry 1686"</f>
        <v>Chemistry 1686</v>
      </c>
      <c r="B489" t="s">
        <v>1268</v>
      </c>
      <c r="C489" t="s">
        <v>3</v>
      </c>
      <c r="D489" s="2">
        <v>14000</v>
      </c>
      <c r="E489" s="2">
        <v>9800</v>
      </c>
      <c r="F489" t="s">
        <v>5</v>
      </c>
      <c r="G489" t="s">
        <v>1269</v>
      </c>
      <c r="H489" t="s">
        <v>1270</v>
      </c>
      <c r="I489">
        <v>160.17591999999999</v>
      </c>
    </row>
    <row r="490" spans="1:9" ht="67.95" customHeight="1">
      <c r="A490" s="1" t="str">
        <f>"Chemistry 1688"</f>
        <v>Chemistry 1688</v>
      </c>
      <c r="B490" t="s">
        <v>1271</v>
      </c>
      <c r="C490" t="s">
        <v>3</v>
      </c>
      <c r="D490" s="2">
        <v>14000</v>
      </c>
      <c r="E490" s="2">
        <v>9800</v>
      </c>
      <c r="F490" t="s">
        <v>5</v>
      </c>
      <c r="G490" t="s">
        <v>1272</v>
      </c>
      <c r="H490" t="s">
        <v>1179</v>
      </c>
      <c r="I490">
        <v>177.17832000000001</v>
      </c>
    </row>
    <row r="491" spans="1:9" ht="64.5" customHeight="1">
      <c r="A491" s="1" t="str">
        <f>"Chemistry 1689"</f>
        <v>Chemistry 1689</v>
      </c>
      <c r="B491" t="s">
        <v>1273</v>
      </c>
      <c r="C491" t="s">
        <v>3</v>
      </c>
      <c r="D491" s="2">
        <v>14000</v>
      </c>
      <c r="E491" s="2">
        <v>9800</v>
      </c>
      <c r="F491" t="s">
        <v>5</v>
      </c>
      <c r="G491" t="s">
        <v>1274</v>
      </c>
      <c r="H491" t="s">
        <v>1180</v>
      </c>
      <c r="I491">
        <v>193.63292000000001</v>
      </c>
    </row>
    <row r="492" spans="1:9" ht="67.95" customHeight="1">
      <c r="A492" s="1" t="str">
        <f>"Chemistry 1690"</f>
        <v>Chemistry 1690</v>
      </c>
      <c r="B492" t="s">
        <v>1275</v>
      </c>
      <c r="C492" t="s">
        <v>3</v>
      </c>
      <c r="D492" s="2">
        <v>14000</v>
      </c>
      <c r="E492" s="2">
        <v>9800</v>
      </c>
      <c r="F492" t="s">
        <v>5</v>
      </c>
      <c r="G492" t="s">
        <v>1276</v>
      </c>
      <c r="H492" t="s">
        <v>1180</v>
      </c>
      <c r="I492">
        <v>193.63292000000001</v>
      </c>
    </row>
    <row r="493" spans="1:9" ht="67.95" customHeight="1">
      <c r="A493" s="1" t="str">
        <f>"Chemistry 1692"</f>
        <v>Chemistry 1692</v>
      </c>
      <c r="B493" t="s">
        <v>1277</v>
      </c>
      <c r="C493" t="s">
        <v>3</v>
      </c>
      <c r="D493" s="2">
        <v>14000</v>
      </c>
      <c r="E493" s="2">
        <v>9800</v>
      </c>
      <c r="F493" t="s">
        <v>5</v>
      </c>
      <c r="G493" t="s">
        <v>1278</v>
      </c>
      <c r="H493" t="s">
        <v>1181</v>
      </c>
      <c r="I493">
        <v>238.08392000000001</v>
      </c>
    </row>
    <row r="494" spans="1:9" ht="74.099999999999994" customHeight="1">
      <c r="A494" s="1" t="str">
        <f>"Chemistry 1695"</f>
        <v>Chemistry 1695</v>
      </c>
      <c r="B494" t="s">
        <v>1279</v>
      </c>
      <c r="C494" t="s">
        <v>3</v>
      </c>
      <c r="D494" s="2">
        <v>14000</v>
      </c>
      <c r="E494" s="2">
        <v>9800</v>
      </c>
      <c r="F494" t="s">
        <v>5</v>
      </c>
      <c r="G494" t="s">
        <v>1280</v>
      </c>
      <c r="H494" t="s">
        <v>1281</v>
      </c>
      <c r="I494">
        <v>189.21383</v>
      </c>
    </row>
    <row r="495" spans="1:9" ht="83.7" customHeight="1">
      <c r="A495" s="1" t="str">
        <f>"Chemistry 1698"</f>
        <v>Chemistry 1698</v>
      </c>
      <c r="B495" t="s">
        <v>1282</v>
      </c>
      <c r="C495" t="s">
        <v>3</v>
      </c>
      <c r="D495" s="2">
        <v>14000</v>
      </c>
      <c r="E495" s="2">
        <v>9800</v>
      </c>
      <c r="F495" t="s">
        <v>5</v>
      </c>
      <c r="G495" t="s">
        <v>1283</v>
      </c>
      <c r="H495" t="s">
        <v>1284</v>
      </c>
      <c r="I495">
        <v>227.18582000000001</v>
      </c>
    </row>
    <row r="496" spans="1:9" ht="78.599999999999994" customHeight="1">
      <c r="A496" s="1" t="str">
        <f>"Chemistry 1699"</f>
        <v>Chemistry 1699</v>
      </c>
      <c r="B496" t="s">
        <v>1285</v>
      </c>
      <c r="C496" t="s">
        <v>3</v>
      </c>
      <c r="D496" s="2">
        <v>14000</v>
      </c>
      <c r="E496" s="2">
        <v>9800</v>
      </c>
      <c r="F496" t="s">
        <v>5</v>
      </c>
      <c r="G496" t="s">
        <v>1286</v>
      </c>
      <c r="H496" t="s">
        <v>1284</v>
      </c>
      <c r="I496">
        <v>227.18582000000001</v>
      </c>
    </row>
    <row r="497" spans="1:9" ht="67.349999999999994" customHeight="1">
      <c r="A497" s="1" t="str">
        <f>"Chemistry 1700"</f>
        <v>Chemistry 1700</v>
      </c>
      <c r="B497" t="s">
        <v>1287</v>
      </c>
      <c r="C497" t="s">
        <v>3</v>
      </c>
      <c r="D497" s="2">
        <v>14000</v>
      </c>
      <c r="E497" s="2">
        <v>9800</v>
      </c>
      <c r="F497" t="s">
        <v>5</v>
      </c>
      <c r="G497" t="s">
        <v>1288</v>
      </c>
      <c r="H497" t="s">
        <v>1284</v>
      </c>
      <c r="I497">
        <v>227.18582000000001</v>
      </c>
    </row>
    <row r="498" spans="1:9" ht="67.349999999999994" customHeight="1">
      <c r="A498" s="1" t="str">
        <f>"Chemistry 1701"</f>
        <v>Chemistry 1701</v>
      </c>
      <c r="B498" t="s">
        <v>1289</v>
      </c>
      <c r="C498" t="s">
        <v>3</v>
      </c>
      <c r="D498" s="2">
        <v>14000</v>
      </c>
      <c r="E498" s="2">
        <v>9800</v>
      </c>
      <c r="F498" t="s">
        <v>5</v>
      </c>
      <c r="G498" t="s">
        <v>1290</v>
      </c>
      <c r="H498" t="s">
        <v>1291</v>
      </c>
      <c r="I498">
        <v>151.20892000000001</v>
      </c>
    </row>
    <row r="499" spans="1:9" ht="61.2" customHeight="1">
      <c r="A499" s="1" t="str">
        <f>"Chemistry 1703"</f>
        <v>Chemistry 1703</v>
      </c>
      <c r="B499" t="s">
        <v>1292</v>
      </c>
      <c r="C499" t="s">
        <v>3</v>
      </c>
      <c r="D499" s="2">
        <v>14000</v>
      </c>
      <c r="E499" s="2">
        <v>9800</v>
      </c>
      <c r="F499" t="s">
        <v>5</v>
      </c>
      <c r="G499" t="s">
        <v>1293</v>
      </c>
      <c r="H499" t="s">
        <v>1263</v>
      </c>
      <c r="I499">
        <v>141.17103</v>
      </c>
    </row>
    <row r="500" spans="1:9" ht="61.2" customHeight="1">
      <c r="A500" s="1" t="str">
        <f>"Chemistry 1704"</f>
        <v>Chemistry 1704</v>
      </c>
      <c r="B500" t="s">
        <v>1294</v>
      </c>
      <c r="C500" t="s">
        <v>3</v>
      </c>
      <c r="D500" s="2">
        <v>14000</v>
      </c>
      <c r="E500" s="2">
        <v>9800</v>
      </c>
      <c r="F500" t="s">
        <v>5</v>
      </c>
      <c r="G500" t="s">
        <v>1295</v>
      </c>
      <c r="H500" t="s">
        <v>1296</v>
      </c>
      <c r="I500">
        <v>155.19761</v>
      </c>
    </row>
    <row r="501" spans="1:9" ht="61.2" customHeight="1">
      <c r="A501" s="1" t="str">
        <f>"Chemistry 1705"</f>
        <v>Chemistry 1705</v>
      </c>
      <c r="B501" t="s">
        <v>1297</v>
      </c>
      <c r="C501" t="s">
        <v>3</v>
      </c>
      <c r="D501" s="2">
        <v>14000</v>
      </c>
      <c r="E501" s="2">
        <v>9800</v>
      </c>
      <c r="F501" t="s">
        <v>5</v>
      </c>
      <c r="G501" t="s">
        <v>1298</v>
      </c>
      <c r="H501" t="s">
        <v>1291</v>
      </c>
      <c r="I501">
        <v>151.20891</v>
      </c>
    </row>
    <row r="502" spans="1:9" ht="75.75" customHeight="1">
      <c r="A502" s="1" t="str">
        <f>"Chemistry 1707"</f>
        <v>Chemistry 1707</v>
      </c>
      <c r="B502" t="s">
        <v>1299</v>
      </c>
      <c r="C502" t="s">
        <v>3</v>
      </c>
      <c r="D502" s="2">
        <v>14000</v>
      </c>
      <c r="E502" s="2">
        <v>9800</v>
      </c>
      <c r="F502" t="s">
        <v>5</v>
      </c>
      <c r="G502" t="s">
        <v>1300</v>
      </c>
      <c r="H502" t="s">
        <v>1224</v>
      </c>
      <c r="I502">
        <v>188.22908000000001</v>
      </c>
    </row>
    <row r="503" spans="1:9" ht="75.75" customHeight="1">
      <c r="A503" s="1" t="str">
        <f>"Chemistry 1708"</f>
        <v>Chemistry 1708</v>
      </c>
      <c r="B503" t="s">
        <v>1301</v>
      </c>
      <c r="C503" t="s">
        <v>3</v>
      </c>
      <c r="D503" s="2">
        <v>14000</v>
      </c>
      <c r="E503" s="2">
        <v>9800</v>
      </c>
      <c r="F503" t="s">
        <v>5</v>
      </c>
      <c r="G503" t="s">
        <v>1302</v>
      </c>
      <c r="H503" t="s">
        <v>1227</v>
      </c>
      <c r="I503">
        <v>205.23148</v>
      </c>
    </row>
    <row r="504" spans="1:9" ht="101.7" customHeight="1">
      <c r="A504" s="1" t="str">
        <f>"Chemistry 1711"</f>
        <v>Chemistry 1711</v>
      </c>
      <c r="B504" t="s">
        <v>1305</v>
      </c>
      <c r="C504" t="s">
        <v>3</v>
      </c>
      <c r="D504" s="2">
        <v>14000</v>
      </c>
      <c r="E504" s="2">
        <v>9800</v>
      </c>
      <c r="F504" t="s">
        <v>5</v>
      </c>
      <c r="G504" t="s">
        <v>1306</v>
      </c>
      <c r="H504" t="s">
        <v>1304</v>
      </c>
      <c r="I504">
        <v>255.23898</v>
      </c>
    </row>
    <row r="505" spans="1:9" ht="83.1" customHeight="1">
      <c r="A505" s="1" t="str">
        <f>"Chemistry 1712"</f>
        <v>Chemistry 1712</v>
      </c>
      <c r="B505" t="s">
        <v>1307</v>
      </c>
      <c r="C505" t="s">
        <v>3</v>
      </c>
      <c r="D505" s="2">
        <v>14000</v>
      </c>
      <c r="E505" s="2">
        <v>9800</v>
      </c>
      <c r="F505" t="s">
        <v>5</v>
      </c>
      <c r="G505" t="s">
        <v>1308</v>
      </c>
      <c r="H505" t="s">
        <v>1304</v>
      </c>
      <c r="I505">
        <v>255.23898</v>
      </c>
    </row>
    <row r="506" spans="1:9" ht="61.2" customHeight="1">
      <c r="A506" s="1" t="str">
        <f>"Chemistry 1718"</f>
        <v>Chemistry 1718</v>
      </c>
      <c r="B506" t="s">
        <v>1309</v>
      </c>
      <c r="C506" t="s">
        <v>3</v>
      </c>
      <c r="D506" s="2">
        <v>14000</v>
      </c>
      <c r="E506" s="2">
        <v>9800</v>
      </c>
      <c r="F506" t="s">
        <v>5</v>
      </c>
      <c r="G506" t="s">
        <v>1310</v>
      </c>
      <c r="H506" t="s">
        <v>1303</v>
      </c>
      <c r="I506">
        <v>217.26698999999999</v>
      </c>
    </row>
    <row r="507" spans="1:9" ht="69.599999999999994" customHeight="1">
      <c r="A507" s="1" t="str">
        <f>"Chemistry 1721"</f>
        <v>Chemistry 1721</v>
      </c>
      <c r="B507" t="s">
        <v>1311</v>
      </c>
      <c r="C507" t="s">
        <v>3</v>
      </c>
      <c r="D507" s="2">
        <v>14000</v>
      </c>
      <c r="E507" s="2">
        <v>9800</v>
      </c>
      <c r="F507" t="s">
        <v>5</v>
      </c>
      <c r="G507" t="s">
        <v>1312</v>
      </c>
      <c r="H507" t="s">
        <v>1227</v>
      </c>
      <c r="I507">
        <v>205.23148</v>
      </c>
    </row>
    <row r="508" spans="1:9" ht="66.3" customHeight="1">
      <c r="A508" s="1" t="str">
        <f>"Chemistry 1723"</f>
        <v>Chemistry 1723</v>
      </c>
      <c r="B508" t="s">
        <v>1313</v>
      </c>
      <c r="C508" t="s">
        <v>3</v>
      </c>
      <c r="D508" s="2">
        <v>14000</v>
      </c>
      <c r="E508" s="2">
        <v>9800</v>
      </c>
      <c r="F508" t="s">
        <v>5</v>
      </c>
      <c r="G508" t="s">
        <v>1314</v>
      </c>
      <c r="H508" t="s">
        <v>1228</v>
      </c>
      <c r="I508">
        <v>266.13708000000003</v>
      </c>
    </row>
    <row r="509" spans="1:9" ht="69.599999999999994" customHeight="1">
      <c r="A509" s="1" t="str">
        <f>"Chemistry 1724"</f>
        <v>Chemistry 1724</v>
      </c>
      <c r="B509" t="s">
        <v>1315</v>
      </c>
      <c r="C509" t="s">
        <v>3</v>
      </c>
      <c r="D509" s="2">
        <v>14000</v>
      </c>
      <c r="E509" s="2">
        <v>9800</v>
      </c>
      <c r="F509" t="s">
        <v>5</v>
      </c>
      <c r="G509" t="s">
        <v>1316</v>
      </c>
      <c r="H509" t="s">
        <v>1228</v>
      </c>
      <c r="I509">
        <v>266.13708000000003</v>
      </c>
    </row>
    <row r="510" spans="1:9" ht="72.45" customHeight="1">
      <c r="A510" s="1" t="str">
        <f>"Chemistry 1725"</f>
        <v>Chemistry 1725</v>
      </c>
      <c r="B510" t="s">
        <v>1317</v>
      </c>
      <c r="C510" t="s">
        <v>3</v>
      </c>
      <c r="D510" s="2">
        <v>14000</v>
      </c>
      <c r="E510" s="2">
        <v>9800</v>
      </c>
      <c r="F510" t="s">
        <v>5</v>
      </c>
      <c r="G510" t="s">
        <v>1318</v>
      </c>
      <c r="H510" t="s">
        <v>1303</v>
      </c>
      <c r="I510">
        <v>217.267</v>
      </c>
    </row>
    <row r="511" spans="1:9" ht="83.7" customHeight="1">
      <c r="A511" s="1" t="str">
        <f>"Chemistry 1728"</f>
        <v>Chemistry 1728</v>
      </c>
      <c r="B511" t="s">
        <v>1319</v>
      </c>
      <c r="C511" t="s">
        <v>3</v>
      </c>
      <c r="D511" s="2">
        <v>14000</v>
      </c>
      <c r="E511" s="2">
        <v>9800</v>
      </c>
      <c r="F511" t="s">
        <v>5</v>
      </c>
      <c r="G511" t="s">
        <v>1320</v>
      </c>
      <c r="H511" t="s">
        <v>1304</v>
      </c>
      <c r="I511">
        <v>255.23898</v>
      </c>
    </row>
    <row r="512" spans="1:9" ht="75.3" customHeight="1">
      <c r="A512" s="1" t="str">
        <f>"Chemistry 1729"</f>
        <v>Chemistry 1729</v>
      </c>
      <c r="B512" t="s">
        <v>1321</v>
      </c>
      <c r="C512" t="s">
        <v>3</v>
      </c>
      <c r="D512" s="2">
        <v>14000</v>
      </c>
      <c r="E512" s="2">
        <v>9800</v>
      </c>
      <c r="F512" t="s">
        <v>5</v>
      </c>
      <c r="G512" t="s">
        <v>1322</v>
      </c>
      <c r="H512" t="s">
        <v>1304</v>
      </c>
      <c r="I512">
        <v>255.23898</v>
      </c>
    </row>
    <row r="513" spans="1:9" ht="75.3" customHeight="1">
      <c r="A513" s="1" t="str">
        <f>"Chemistry 1730"</f>
        <v>Chemistry 1730</v>
      </c>
      <c r="B513" t="s">
        <v>1323</v>
      </c>
      <c r="C513" t="s">
        <v>3</v>
      </c>
      <c r="D513" s="2">
        <v>14000</v>
      </c>
      <c r="E513" s="2">
        <v>9800</v>
      </c>
      <c r="F513" t="s">
        <v>5</v>
      </c>
      <c r="G513" t="s">
        <v>1324</v>
      </c>
      <c r="H513" t="s">
        <v>1304</v>
      </c>
      <c r="I513">
        <v>255.23898</v>
      </c>
    </row>
    <row r="514" spans="1:9" ht="64.05" customHeight="1">
      <c r="A514" s="1" t="str">
        <f>"Chemistry 1735"</f>
        <v>Chemistry 1735</v>
      </c>
      <c r="B514" t="s">
        <v>1327</v>
      </c>
      <c r="C514" t="s">
        <v>3</v>
      </c>
      <c r="D514" s="2">
        <v>14000</v>
      </c>
      <c r="E514" s="2">
        <v>9800</v>
      </c>
      <c r="F514" t="s">
        <v>5</v>
      </c>
      <c r="G514" t="s">
        <v>1328</v>
      </c>
      <c r="H514" t="s">
        <v>1329</v>
      </c>
      <c r="I514">
        <v>156.13930999999999</v>
      </c>
    </row>
    <row r="515" spans="1:9" ht="75.3" customHeight="1">
      <c r="A515" s="1" t="str">
        <f>"Chemistry 1736"</f>
        <v>Chemistry 1736</v>
      </c>
      <c r="B515" t="s">
        <v>1330</v>
      </c>
      <c r="C515" t="s">
        <v>3</v>
      </c>
      <c r="D515" s="2">
        <v>14000</v>
      </c>
      <c r="E515" s="2">
        <v>9800</v>
      </c>
      <c r="F515" t="s">
        <v>5</v>
      </c>
      <c r="G515" t="s">
        <v>1331</v>
      </c>
      <c r="H515" t="s">
        <v>1173</v>
      </c>
      <c r="I515">
        <v>166.1772</v>
      </c>
    </row>
    <row r="516" spans="1:9" ht="75.3" customHeight="1">
      <c r="A516" s="1" t="str">
        <f>"Chemistry 1737"</f>
        <v>Chemistry 1737</v>
      </c>
      <c r="B516" t="s">
        <v>1332</v>
      </c>
      <c r="C516" t="s">
        <v>3</v>
      </c>
      <c r="D516" s="2">
        <v>14000</v>
      </c>
      <c r="E516" s="2">
        <v>9800</v>
      </c>
      <c r="F516" t="s">
        <v>5</v>
      </c>
      <c r="G516" t="s">
        <v>1333</v>
      </c>
      <c r="H516" t="s">
        <v>1326</v>
      </c>
      <c r="I516">
        <v>180.20377999999999</v>
      </c>
    </row>
    <row r="517" spans="1:9" ht="68.55" customHeight="1">
      <c r="A517" s="1" t="str">
        <f>"Chemistry 1741"</f>
        <v>Chemistry 1741</v>
      </c>
      <c r="B517" t="s">
        <v>1334</v>
      </c>
      <c r="C517" t="s">
        <v>3</v>
      </c>
      <c r="D517" s="2">
        <v>14000</v>
      </c>
      <c r="E517" s="2">
        <v>9800</v>
      </c>
      <c r="F517" t="s">
        <v>5</v>
      </c>
      <c r="G517" t="s">
        <v>1335</v>
      </c>
      <c r="H517" t="s">
        <v>1336</v>
      </c>
      <c r="I517">
        <v>189.17078000000001</v>
      </c>
    </row>
    <row r="518" spans="1:9" ht="55.05" customHeight="1">
      <c r="A518" s="1" t="str">
        <f>"Chemistry 1743"</f>
        <v>Chemistry 1743</v>
      </c>
      <c r="B518" t="s">
        <v>1337</v>
      </c>
      <c r="C518" t="s">
        <v>3</v>
      </c>
      <c r="D518" s="2">
        <v>14000</v>
      </c>
      <c r="E518" s="2">
        <v>9800</v>
      </c>
      <c r="F518" t="s">
        <v>5</v>
      </c>
      <c r="G518" t="s">
        <v>1338</v>
      </c>
      <c r="H518" t="s">
        <v>1339</v>
      </c>
      <c r="I518">
        <v>203.19735</v>
      </c>
    </row>
    <row r="519" spans="1:9" ht="55.05" customHeight="1">
      <c r="A519" s="1" t="str">
        <f>"Chemistry 1744"</f>
        <v>Chemistry 1744</v>
      </c>
      <c r="B519" t="s">
        <v>1340</v>
      </c>
      <c r="C519" t="s">
        <v>3</v>
      </c>
      <c r="D519" s="2">
        <v>14000</v>
      </c>
      <c r="E519" s="2">
        <v>9800</v>
      </c>
      <c r="F519" t="s">
        <v>5</v>
      </c>
      <c r="G519" t="s">
        <v>1341</v>
      </c>
      <c r="H519" t="s">
        <v>1339</v>
      </c>
      <c r="I519">
        <v>203.19735</v>
      </c>
    </row>
    <row r="520" spans="1:9" ht="78.599999999999994" customHeight="1">
      <c r="A520" s="1" t="str">
        <f>"Chemistry 1746"</f>
        <v>Chemistry 1746</v>
      </c>
      <c r="B520" t="s">
        <v>1342</v>
      </c>
      <c r="C520" t="s">
        <v>3</v>
      </c>
      <c r="D520" s="2">
        <v>14000</v>
      </c>
      <c r="E520" s="2">
        <v>9800</v>
      </c>
      <c r="F520" t="s">
        <v>5</v>
      </c>
      <c r="G520" t="s">
        <v>1343</v>
      </c>
      <c r="H520" t="s">
        <v>1344</v>
      </c>
      <c r="I520">
        <v>232.23527999999999</v>
      </c>
    </row>
    <row r="521" spans="1:9" ht="58.35" customHeight="1">
      <c r="A521" s="1" t="str">
        <f>"Chemistry 1747"</f>
        <v>Chemistry 1747</v>
      </c>
      <c r="B521" t="s">
        <v>1345</v>
      </c>
      <c r="C521" t="s">
        <v>3</v>
      </c>
      <c r="D521" s="2">
        <v>14000</v>
      </c>
      <c r="E521" s="2">
        <v>9800</v>
      </c>
      <c r="F521" t="s">
        <v>5</v>
      </c>
      <c r="G521" t="s">
        <v>1346</v>
      </c>
      <c r="H521" t="s">
        <v>1344</v>
      </c>
      <c r="I521">
        <v>232.23527999999999</v>
      </c>
    </row>
    <row r="522" spans="1:9" ht="71.849999999999994" customHeight="1">
      <c r="A522" s="1" t="str">
        <f>"Chemistry 1749"</f>
        <v>Chemistry 1749</v>
      </c>
      <c r="B522" t="s">
        <v>1347</v>
      </c>
      <c r="C522" t="s">
        <v>3</v>
      </c>
      <c r="D522" s="2">
        <v>14000</v>
      </c>
      <c r="E522" s="2">
        <v>9800</v>
      </c>
      <c r="F522" t="s">
        <v>5</v>
      </c>
      <c r="G522" t="s">
        <v>1348</v>
      </c>
      <c r="H522" t="s">
        <v>1237</v>
      </c>
      <c r="I522">
        <v>270.20726000000002</v>
      </c>
    </row>
    <row r="523" spans="1:9" ht="38.700000000000003" customHeight="1">
      <c r="A523" s="1" t="str">
        <f>"Chemistry 1750"</f>
        <v>Chemistry 1750</v>
      </c>
      <c r="B523" t="s">
        <v>1349</v>
      </c>
      <c r="C523" t="s">
        <v>270</v>
      </c>
      <c r="D523" s="2">
        <v>10500</v>
      </c>
      <c r="E523" s="2">
        <v>7349.9999999999991</v>
      </c>
      <c r="F523" t="s">
        <v>5</v>
      </c>
      <c r="G523" t="s">
        <v>1350</v>
      </c>
      <c r="H523" t="s">
        <v>1351</v>
      </c>
      <c r="I523">
        <v>159.05748</v>
      </c>
    </row>
    <row r="524" spans="1:9" ht="42" customHeight="1">
      <c r="A524" s="1" t="str">
        <f>"Chemistry 1751"</f>
        <v>Chemistry 1751</v>
      </c>
      <c r="B524" t="s">
        <v>1352</v>
      </c>
      <c r="C524" t="s">
        <v>270</v>
      </c>
      <c r="D524" s="2">
        <v>10500</v>
      </c>
      <c r="E524" s="2">
        <v>7349.9999999999991</v>
      </c>
      <c r="F524" t="s">
        <v>5</v>
      </c>
      <c r="G524" t="s">
        <v>1353</v>
      </c>
      <c r="H524" t="s">
        <v>1351</v>
      </c>
      <c r="I524">
        <v>159.05748</v>
      </c>
    </row>
    <row r="525" spans="1:9" ht="47.7" customHeight="1">
      <c r="A525" s="1" t="str">
        <f>"Chemistry 1754"</f>
        <v>Chemistry 1754</v>
      </c>
      <c r="B525" t="s">
        <v>1354</v>
      </c>
      <c r="C525" t="s">
        <v>498</v>
      </c>
      <c r="D525" s="2">
        <v>12300</v>
      </c>
      <c r="E525" s="2">
        <v>8610</v>
      </c>
      <c r="F525" t="s">
        <v>5</v>
      </c>
      <c r="G525" t="s">
        <v>1355</v>
      </c>
      <c r="H525" t="s">
        <v>1200</v>
      </c>
      <c r="I525">
        <v>232.53858</v>
      </c>
    </row>
    <row r="526" spans="1:9" ht="82.05" customHeight="1">
      <c r="A526" s="1" t="str">
        <f>"Chemistry 1762"</f>
        <v>Chemistry 1762</v>
      </c>
      <c r="B526" t="s">
        <v>1356</v>
      </c>
      <c r="C526" t="s">
        <v>3</v>
      </c>
      <c r="D526" s="2">
        <v>14000</v>
      </c>
      <c r="E526" s="2">
        <v>9800</v>
      </c>
      <c r="F526" t="s">
        <v>5</v>
      </c>
      <c r="G526" t="s">
        <v>1357</v>
      </c>
      <c r="H526" t="s">
        <v>1303</v>
      </c>
      <c r="I526">
        <v>217.26698999999999</v>
      </c>
    </row>
    <row r="527" spans="1:9" ht="74.7" customHeight="1">
      <c r="A527" s="1" t="str">
        <f>"Chemistry 1765"</f>
        <v>Chemistry 1765</v>
      </c>
      <c r="B527" t="s">
        <v>1358</v>
      </c>
      <c r="C527" t="s">
        <v>3</v>
      </c>
      <c r="D527" s="2">
        <v>14000</v>
      </c>
      <c r="E527" s="2">
        <v>9800</v>
      </c>
      <c r="F527" t="s">
        <v>5</v>
      </c>
      <c r="G527" t="s">
        <v>1359</v>
      </c>
      <c r="H527" t="s">
        <v>1339</v>
      </c>
      <c r="I527">
        <v>203.19735</v>
      </c>
    </row>
    <row r="528" spans="1:9" ht="78.599999999999994" customHeight="1">
      <c r="A528" s="1" t="str">
        <f>"Chemistry 1766"</f>
        <v>Chemistry 1766</v>
      </c>
      <c r="B528" t="s">
        <v>1360</v>
      </c>
      <c r="C528" t="s">
        <v>3</v>
      </c>
      <c r="D528" s="2">
        <v>14000</v>
      </c>
      <c r="E528" s="2">
        <v>9800</v>
      </c>
      <c r="F528" t="s">
        <v>5</v>
      </c>
      <c r="G528" t="s">
        <v>1361</v>
      </c>
      <c r="H528" t="s">
        <v>1339</v>
      </c>
      <c r="I528">
        <v>203.19735</v>
      </c>
    </row>
    <row r="529" spans="1:9" ht="52.2" customHeight="1">
      <c r="A529" s="1" t="str">
        <f>"Chemistry 1769"</f>
        <v>Chemistry 1769</v>
      </c>
      <c r="B529" t="s">
        <v>1362</v>
      </c>
      <c r="C529" t="s">
        <v>270</v>
      </c>
      <c r="D529" s="2">
        <v>14000</v>
      </c>
      <c r="E529" s="2">
        <v>9800</v>
      </c>
      <c r="F529" t="s">
        <v>5</v>
      </c>
      <c r="G529" t="s">
        <v>1363</v>
      </c>
      <c r="H529" t="s">
        <v>1364</v>
      </c>
      <c r="I529">
        <v>251.15613999999999</v>
      </c>
    </row>
    <row r="530" spans="1:9" ht="73.5" customHeight="1">
      <c r="A530" s="1" t="str">
        <f>"Chemistry 1774"</f>
        <v>Chemistry 1774</v>
      </c>
      <c r="B530" t="s">
        <v>1365</v>
      </c>
      <c r="C530" t="s">
        <v>3</v>
      </c>
      <c r="D530" s="2">
        <v>15800</v>
      </c>
      <c r="E530" s="2">
        <v>11060</v>
      </c>
      <c r="F530" t="s">
        <v>5</v>
      </c>
      <c r="G530" t="s">
        <v>1366</v>
      </c>
      <c r="H530" t="s">
        <v>17</v>
      </c>
      <c r="I530">
        <v>221.25239999999999</v>
      </c>
    </row>
    <row r="531" spans="1:9" ht="65.7" customHeight="1">
      <c r="A531" s="1" t="str">
        <f>"Chemistry 1779"</f>
        <v>Chemistry 1779</v>
      </c>
      <c r="B531" t="s">
        <v>1368</v>
      </c>
      <c r="C531" t="s">
        <v>3</v>
      </c>
      <c r="D531" s="2">
        <v>15800</v>
      </c>
      <c r="E531" s="2">
        <v>11060</v>
      </c>
      <c r="F531" t="s">
        <v>5</v>
      </c>
      <c r="G531" t="s">
        <v>1369</v>
      </c>
      <c r="H531" t="s">
        <v>1229</v>
      </c>
      <c r="I531">
        <v>174.20249000000001</v>
      </c>
    </row>
    <row r="532" spans="1:9" ht="67.95" customHeight="1">
      <c r="A532" s="1" t="str">
        <f>"Chemistry 1783"</f>
        <v>Chemistry 1783</v>
      </c>
      <c r="B532" t="s">
        <v>1370</v>
      </c>
      <c r="C532" t="s">
        <v>3</v>
      </c>
      <c r="D532" s="2">
        <v>14000</v>
      </c>
      <c r="E532" s="2">
        <v>9800</v>
      </c>
      <c r="F532" t="s">
        <v>5</v>
      </c>
      <c r="G532" t="s">
        <v>1371</v>
      </c>
      <c r="H532" t="s">
        <v>1176</v>
      </c>
      <c r="I532">
        <v>241.2124</v>
      </c>
    </row>
    <row r="533" spans="1:9" ht="74.7" customHeight="1">
      <c r="A533" s="1" t="str">
        <f>"Chemistry 1784"</f>
        <v>Chemistry 1784</v>
      </c>
      <c r="B533" t="s">
        <v>1372</v>
      </c>
      <c r="C533" t="s">
        <v>3</v>
      </c>
      <c r="D533" s="2">
        <v>14000</v>
      </c>
      <c r="E533" s="2">
        <v>9800</v>
      </c>
      <c r="F533" t="s">
        <v>5</v>
      </c>
      <c r="G533" t="s">
        <v>1373</v>
      </c>
      <c r="H533" t="s">
        <v>1374</v>
      </c>
      <c r="I533">
        <v>194.1113</v>
      </c>
    </row>
    <row r="534" spans="1:9" ht="47.7" customHeight="1">
      <c r="A534" s="1" t="str">
        <f>"Chemistry 1786"</f>
        <v>Chemistry 1786</v>
      </c>
      <c r="B534" t="s">
        <v>1375</v>
      </c>
      <c r="C534" t="s">
        <v>270</v>
      </c>
      <c r="D534" s="2">
        <v>14000</v>
      </c>
      <c r="E534" s="2">
        <v>9800</v>
      </c>
      <c r="F534" t="s">
        <v>5</v>
      </c>
      <c r="G534" t="s">
        <v>1376</v>
      </c>
      <c r="H534" t="s">
        <v>1377</v>
      </c>
      <c r="I534">
        <v>203.11004</v>
      </c>
    </row>
    <row r="535" spans="1:9" ht="47.7" customHeight="1">
      <c r="A535" s="1" t="str">
        <f>"Chemistry 1792"</f>
        <v>Chemistry 1792</v>
      </c>
      <c r="B535" t="s">
        <v>1378</v>
      </c>
      <c r="C535" t="s">
        <v>270</v>
      </c>
      <c r="D535" s="2">
        <v>12300</v>
      </c>
      <c r="E535" s="2">
        <v>8610</v>
      </c>
      <c r="F535" t="s">
        <v>5</v>
      </c>
      <c r="G535" t="s">
        <v>1379</v>
      </c>
      <c r="H535" t="s">
        <v>1380</v>
      </c>
      <c r="I535">
        <v>250.16807</v>
      </c>
    </row>
    <row r="536" spans="1:9" ht="47.7" customHeight="1">
      <c r="A536" s="1" t="str">
        <f>"Chemistry 1793"</f>
        <v>Chemistry 1793</v>
      </c>
      <c r="B536" t="s">
        <v>1381</v>
      </c>
      <c r="C536" t="s">
        <v>270</v>
      </c>
      <c r="D536" s="2">
        <v>12300</v>
      </c>
      <c r="E536" s="2">
        <v>8610</v>
      </c>
      <c r="F536" t="s">
        <v>5</v>
      </c>
      <c r="G536" t="s">
        <v>1382</v>
      </c>
      <c r="H536" t="s">
        <v>1364</v>
      </c>
      <c r="I536">
        <v>251.15612999999999</v>
      </c>
    </row>
    <row r="537" spans="1:9" ht="61.8" customHeight="1">
      <c r="A537" s="1" t="str">
        <f>"Chemistry 1794"</f>
        <v>Chemistry 1794</v>
      </c>
      <c r="B537" t="s">
        <v>1383</v>
      </c>
      <c r="C537" t="s">
        <v>270</v>
      </c>
      <c r="D537" s="2">
        <v>12300</v>
      </c>
      <c r="E537" s="2">
        <v>8610</v>
      </c>
      <c r="F537" t="s">
        <v>5</v>
      </c>
      <c r="G537" t="s">
        <v>1384</v>
      </c>
      <c r="H537" t="s">
        <v>1385</v>
      </c>
      <c r="I537">
        <v>265.18272000000002</v>
      </c>
    </row>
    <row r="538" spans="1:9" ht="78.599999999999994" customHeight="1">
      <c r="A538" s="1" t="str">
        <f>"Chemistry 1795"</f>
        <v>Chemistry 1795</v>
      </c>
      <c r="B538" t="s">
        <v>1386</v>
      </c>
      <c r="C538" t="s">
        <v>270</v>
      </c>
      <c r="D538" s="2">
        <v>12300</v>
      </c>
      <c r="E538" s="2">
        <v>8610</v>
      </c>
      <c r="F538" t="s">
        <v>5</v>
      </c>
      <c r="G538" t="s">
        <v>1387</v>
      </c>
      <c r="H538" t="s">
        <v>1388</v>
      </c>
      <c r="I538">
        <v>319.15410000000003</v>
      </c>
    </row>
    <row r="539" spans="1:9" ht="52.2" customHeight="1">
      <c r="A539" s="1" t="str">
        <f>"Chemistry 1802"</f>
        <v>Chemistry 1802</v>
      </c>
      <c r="B539" t="s">
        <v>1389</v>
      </c>
      <c r="C539" t="s">
        <v>270</v>
      </c>
      <c r="D539" s="2">
        <v>14000</v>
      </c>
      <c r="E539" s="2">
        <v>9800</v>
      </c>
      <c r="F539" t="s">
        <v>5</v>
      </c>
      <c r="G539" t="s">
        <v>1390</v>
      </c>
      <c r="H539" t="s">
        <v>1364</v>
      </c>
      <c r="I539">
        <v>251.15612999999999</v>
      </c>
    </row>
    <row r="540" spans="1:9" ht="67.95" customHeight="1">
      <c r="A540" s="1" t="str">
        <f>"Chemistry 1803"</f>
        <v>Chemistry 1803</v>
      </c>
      <c r="B540" t="s">
        <v>1391</v>
      </c>
      <c r="C540" t="s">
        <v>270</v>
      </c>
      <c r="D540" s="2">
        <v>14000</v>
      </c>
      <c r="E540" s="2">
        <v>9800</v>
      </c>
      <c r="F540" t="s">
        <v>5</v>
      </c>
      <c r="G540" t="s">
        <v>1392</v>
      </c>
      <c r="H540" t="s">
        <v>1385</v>
      </c>
      <c r="I540">
        <v>265.18270999999999</v>
      </c>
    </row>
    <row r="541" spans="1:9" ht="65.7" customHeight="1">
      <c r="A541" s="1" t="str">
        <f>"Chemistry 1804"</f>
        <v>Chemistry 1804</v>
      </c>
      <c r="B541" t="s">
        <v>1393</v>
      </c>
      <c r="C541" t="s">
        <v>270</v>
      </c>
      <c r="D541" s="2">
        <v>14000</v>
      </c>
      <c r="E541" s="2">
        <v>9800</v>
      </c>
      <c r="F541" t="s">
        <v>5</v>
      </c>
      <c r="G541" t="s">
        <v>1394</v>
      </c>
      <c r="H541" t="s">
        <v>1388</v>
      </c>
      <c r="I541">
        <v>319.15410000000003</v>
      </c>
    </row>
    <row r="542" spans="1:9" ht="52.2" customHeight="1">
      <c r="A542" s="1" t="str">
        <f>"Chemistry 1805"</f>
        <v>Chemistry 1805</v>
      </c>
      <c r="B542" t="s">
        <v>1395</v>
      </c>
      <c r="C542" t="s">
        <v>270</v>
      </c>
      <c r="D542" s="2">
        <v>14000</v>
      </c>
      <c r="E542" s="2">
        <v>9800</v>
      </c>
      <c r="F542" t="s">
        <v>5</v>
      </c>
      <c r="G542" t="s">
        <v>1396</v>
      </c>
      <c r="H542" t="s">
        <v>1364</v>
      </c>
      <c r="I542">
        <v>251.15613999999999</v>
      </c>
    </row>
    <row r="543" spans="1:9" ht="92.1" customHeight="1">
      <c r="A543" s="1" t="str">
        <f>"Chemistry 1809"</f>
        <v>Chemistry 1809</v>
      </c>
      <c r="B543" t="s">
        <v>1397</v>
      </c>
      <c r="C543" t="s">
        <v>3</v>
      </c>
      <c r="D543" s="2">
        <v>12300</v>
      </c>
      <c r="E543" s="2">
        <v>8610</v>
      </c>
      <c r="F543" t="s">
        <v>5</v>
      </c>
      <c r="G543" t="s">
        <v>1398</v>
      </c>
      <c r="H543" t="s">
        <v>1399</v>
      </c>
      <c r="I543">
        <v>332.32146</v>
      </c>
    </row>
    <row r="544" spans="1:9" ht="52.2" customHeight="1">
      <c r="A544" s="1" t="str">
        <f>"Chemistry 1810"</f>
        <v>Chemistry 1810</v>
      </c>
      <c r="B544" t="s">
        <v>1400</v>
      </c>
      <c r="C544" t="s">
        <v>270</v>
      </c>
      <c r="D544" s="2">
        <v>14000</v>
      </c>
      <c r="E544" s="2">
        <v>9800</v>
      </c>
      <c r="F544" t="s">
        <v>5</v>
      </c>
      <c r="G544" t="s">
        <v>1401</v>
      </c>
      <c r="H544" t="s">
        <v>1367</v>
      </c>
      <c r="I544">
        <v>237.12954999999999</v>
      </c>
    </row>
    <row r="545" spans="1:9" ht="87" customHeight="1">
      <c r="A545" s="1" t="str">
        <f>"Chemistry 1812"</f>
        <v>Chemistry 1812</v>
      </c>
      <c r="B545" t="s">
        <v>1402</v>
      </c>
      <c r="C545" t="s">
        <v>270</v>
      </c>
      <c r="D545" s="2">
        <v>14000</v>
      </c>
      <c r="E545" s="2">
        <v>9800</v>
      </c>
      <c r="F545" t="s">
        <v>5</v>
      </c>
      <c r="G545" t="s">
        <v>1403</v>
      </c>
      <c r="H545" t="s">
        <v>1404</v>
      </c>
      <c r="I545">
        <v>305.12752</v>
      </c>
    </row>
    <row r="546" spans="1:9" ht="52.2" customHeight="1">
      <c r="A546" s="1" t="str">
        <f>"Chemistry 1815"</f>
        <v>Chemistry 1815</v>
      </c>
      <c r="B546" t="s">
        <v>1405</v>
      </c>
      <c r="C546" t="s">
        <v>270</v>
      </c>
      <c r="D546" s="2">
        <v>14000</v>
      </c>
      <c r="E546" s="2">
        <v>9800</v>
      </c>
      <c r="F546" t="s">
        <v>5</v>
      </c>
      <c r="G546" t="s">
        <v>1406</v>
      </c>
      <c r="H546" t="s">
        <v>1367</v>
      </c>
      <c r="I546">
        <v>237.12954999999999</v>
      </c>
    </row>
    <row r="547" spans="1:9" ht="64.5" customHeight="1">
      <c r="A547" s="1" t="str">
        <f>"Chemistry 1823"</f>
        <v>Chemistry 1823</v>
      </c>
      <c r="B547" t="s">
        <v>1408</v>
      </c>
      <c r="C547" t="s">
        <v>3</v>
      </c>
      <c r="D547" s="2">
        <v>14000</v>
      </c>
      <c r="E547" s="2">
        <v>9800</v>
      </c>
      <c r="F547" t="s">
        <v>5</v>
      </c>
      <c r="G547" t="s">
        <v>1409</v>
      </c>
      <c r="H547" t="s">
        <v>1270</v>
      </c>
      <c r="I547">
        <v>160.17591999999999</v>
      </c>
    </row>
    <row r="548" spans="1:9" ht="59.55" customHeight="1">
      <c r="A548" s="1" t="str">
        <f>"Chemistry 1827"</f>
        <v>Chemistry 1827</v>
      </c>
      <c r="B548" t="s">
        <v>1411</v>
      </c>
      <c r="C548" t="s">
        <v>3</v>
      </c>
      <c r="D548" s="2">
        <v>14000</v>
      </c>
      <c r="E548" s="2">
        <v>9800</v>
      </c>
      <c r="F548" t="s">
        <v>5</v>
      </c>
      <c r="G548" t="s">
        <v>1412</v>
      </c>
      <c r="H548" t="s">
        <v>1413</v>
      </c>
      <c r="I548">
        <v>257.33085999999997</v>
      </c>
    </row>
    <row r="549" spans="1:9" ht="64.05" customHeight="1">
      <c r="A549" s="1" t="str">
        <f>"Chemistry 1829"</f>
        <v>Chemistry 1829</v>
      </c>
      <c r="B549" t="s">
        <v>1415</v>
      </c>
      <c r="C549" t="s">
        <v>3</v>
      </c>
      <c r="D549" s="2">
        <v>15800</v>
      </c>
      <c r="E549" s="2">
        <v>11060</v>
      </c>
      <c r="F549" t="s">
        <v>5</v>
      </c>
      <c r="G549" t="s">
        <v>1416</v>
      </c>
      <c r="H549" t="s">
        <v>1417</v>
      </c>
      <c r="I549">
        <v>153.18173999999999</v>
      </c>
    </row>
    <row r="550" spans="1:9" ht="66.3" customHeight="1">
      <c r="A550" s="1" t="str">
        <f>"Chemistry 1832"</f>
        <v>Chemistry 1832</v>
      </c>
      <c r="B550" t="s">
        <v>1418</v>
      </c>
      <c r="C550" t="s">
        <v>3</v>
      </c>
      <c r="D550" s="2">
        <v>14000</v>
      </c>
      <c r="E550" s="2">
        <v>9800</v>
      </c>
      <c r="F550" t="s">
        <v>5</v>
      </c>
      <c r="G550" t="s">
        <v>1419</v>
      </c>
      <c r="H550" t="s">
        <v>1224</v>
      </c>
      <c r="I550">
        <v>188.22908000000001</v>
      </c>
    </row>
    <row r="551" spans="1:9" ht="67.95" customHeight="1">
      <c r="A551" s="1" t="str">
        <f>"Chemistry 1839"</f>
        <v>Chemistry 1839</v>
      </c>
      <c r="B551" t="s">
        <v>1420</v>
      </c>
      <c r="C551" t="s">
        <v>3</v>
      </c>
      <c r="D551" s="2">
        <v>14000</v>
      </c>
      <c r="E551" s="2">
        <v>9800</v>
      </c>
      <c r="F551" t="s">
        <v>5</v>
      </c>
      <c r="G551" t="s">
        <v>1421</v>
      </c>
      <c r="H551" t="s">
        <v>1156</v>
      </c>
      <c r="I551">
        <v>187.24101999999999</v>
      </c>
    </row>
    <row r="552" spans="1:9" ht="55.05" customHeight="1">
      <c r="A552" s="1" t="str">
        <f>"Chemistry 1842"</f>
        <v>Chemistry 1842</v>
      </c>
      <c r="B552" t="s">
        <v>1422</v>
      </c>
      <c r="C552" t="s">
        <v>3</v>
      </c>
      <c r="D552" s="2">
        <v>14000</v>
      </c>
      <c r="E552" s="2">
        <v>9800</v>
      </c>
      <c r="F552" t="s">
        <v>5</v>
      </c>
      <c r="G552" t="s">
        <v>1423</v>
      </c>
      <c r="H552" t="s">
        <v>13</v>
      </c>
      <c r="I552">
        <v>210.22976</v>
      </c>
    </row>
    <row r="553" spans="1:9" ht="72.45" customHeight="1">
      <c r="A553" s="1" t="str">
        <f>"Chemistry 1844"</f>
        <v>Chemistry 1844</v>
      </c>
      <c r="B553" t="s">
        <v>1424</v>
      </c>
      <c r="C553" t="s">
        <v>3</v>
      </c>
      <c r="D553" s="2">
        <v>14000</v>
      </c>
      <c r="E553" s="2">
        <v>9800</v>
      </c>
      <c r="F553" t="s">
        <v>5</v>
      </c>
      <c r="G553" t="s">
        <v>1425</v>
      </c>
      <c r="H553" t="s">
        <v>1344</v>
      </c>
      <c r="I553">
        <v>232.23527999999999</v>
      </c>
    </row>
    <row r="554" spans="1:9" ht="52.2" customHeight="1">
      <c r="A554" s="1" t="str">
        <f>"Chemistry 1845"</f>
        <v>Chemistry 1845</v>
      </c>
      <c r="B554" t="s">
        <v>1426</v>
      </c>
      <c r="C554" t="s">
        <v>128</v>
      </c>
      <c r="D554" s="2">
        <v>29800</v>
      </c>
      <c r="E554" s="2">
        <v>17880</v>
      </c>
      <c r="F554" t="s">
        <v>5</v>
      </c>
      <c r="G554" t="s">
        <v>1427</v>
      </c>
      <c r="H554" t="s">
        <v>1428</v>
      </c>
      <c r="I554">
        <v>123.5813</v>
      </c>
    </row>
    <row r="555" spans="1:9" ht="69" customHeight="1">
      <c r="A555" s="1" t="str">
        <f>"Chemistry 1849"</f>
        <v>Chemistry 1849</v>
      </c>
      <c r="B555" t="s">
        <v>1431</v>
      </c>
      <c r="C555" t="s">
        <v>3</v>
      </c>
      <c r="D555" s="2">
        <v>19300</v>
      </c>
      <c r="E555" s="2">
        <v>16800</v>
      </c>
      <c r="F555" t="s">
        <v>5</v>
      </c>
      <c r="G555" t="s">
        <v>1432</v>
      </c>
      <c r="H555" t="s">
        <v>1430</v>
      </c>
      <c r="I555">
        <v>218.23024000000001</v>
      </c>
    </row>
    <row r="556" spans="1:9" ht="60" customHeight="1">
      <c r="A556" s="1" t="str">
        <f>"Chemistry 1853"</f>
        <v>Chemistry 1853</v>
      </c>
      <c r="B556" t="s">
        <v>1435</v>
      </c>
      <c r="C556" t="s">
        <v>128</v>
      </c>
      <c r="D556" s="2">
        <v>28000</v>
      </c>
      <c r="E556" s="2">
        <v>16800</v>
      </c>
      <c r="F556" t="s">
        <v>5</v>
      </c>
      <c r="G556" t="s">
        <v>1436</v>
      </c>
      <c r="H556" t="s">
        <v>1434</v>
      </c>
      <c r="I556">
        <v>151.63444999999999</v>
      </c>
    </row>
    <row r="557" spans="1:9" ht="52.2" customHeight="1">
      <c r="A557" s="1" t="str">
        <f>"Chemistry 1860"</f>
        <v>Chemistry 1860</v>
      </c>
      <c r="B557" t="s">
        <v>1438</v>
      </c>
      <c r="C557" t="s">
        <v>270</v>
      </c>
      <c r="D557" s="2">
        <v>14000</v>
      </c>
      <c r="E557" s="2">
        <v>16800</v>
      </c>
      <c r="F557" t="s">
        <v>5</v>
      </c>
      <c r="G557" t="s">
        <v>1439</v>
      </c>
      <c r="H557" t="s">
        <v>1364</v>
      </c>
      <c r="I557">
        <v>251.15613999999999</v>
      </c>
    </row>
    <row r="558" spans="1:9" ht="55.05" customHeight="1">
      <c r="A558" s="1" t="str">
        <f>"Chemistry 1862"</f>
        <v>Chemistry 1862</v>
      </c>
      <c r="B558" t="s">
        <v>1440</v>
      </c>
      <c r="C558" t="s">
        <v>128</v>
      </c>
      <c r="D558" s="2">
        <v>14000</v>
      </c>
      <c r="E558" s="2">
        <v>21000</v>
      </c>
      <c r="F558" t="s">
        <v>5</v>
      </c>
      <c r="G558" t="s">
        <v>1441</v>
      </c>
      <c r="H558" t="s">
        <v>1442</v>
      </c>
      <c r="I558">
        <v>200.66861</v>
      </c>
    </row>
    <row r="559" spans="1:9" ht="55.05" customHeight="1">
      <c r="A559" s="1" t="str">
        <f>"Chemistry 1865"</f>
        <v>Chemistry 1865</v>
      </c>
      <c r="B559" t="s">
        <v>1443</v>
      </c>
      <c r="C559" t="s">
        <v>128</v>
      </c>
      <c r="D559" s="2">
        <v>14000</v>
      </c>
      <c r="E559" s="2">
        <v>17880</v>
      </c>
      <c r="F559" t="s">
        <v>5</v>
      </c>
      <c r="G559" t="s">
        <v>1444</v>
      </c>
      <c r="H559" t="s">
        <v>1442</v>
      </c>
      <c r="I559">
        <v>200.66861</v>
      </c>
    </row>
    <row r="560" spans="1:9" ht="64.05" customHeight="1">
      <c r="A560" s="1" t="str">
        <f>"Chemistry 1868"</f>
        <v>Chemistry 1868</v>
      </c>
      <c r="B560" t="s">
        <v>1445</v>
      </c>
      <c r="C560" t="s">
        <v>3</v>
      </c>
      <c r="D560" s="2">
        <v>14000</v>
      </c>
      <c r="E560" s="2">
        <v>15780</v>
      </c>
      <c r="F560" t="s">
        <v>5</v>
      </c>
      <c r="G560" t="s">
        <v>1446</v>
      </c>
      <c r="H560" t="s">
        <v>1291</v>
      </c>
      <c r="I560">
        <v>151.20892000000001</v>
      </c>
    </row>
    <row r="561" spans="1:9" ht="61.2" customHeight="1">
      <c r="A561" s="1" t="str">
        <f>"Chemistry 1870"</f>
        <v>Chemistry 1870</v>
      </c>
      <c r="B561" t="s">
        <v>1447</v>
      </c>
      <c r="C561" t="s">
        <v>3</v>
      </c>
      <c r="D561" s="2">
        <v>14000</v>
      </c>
      <c r="E561" s="2">
        <v>9800</v>
      </c>
      <c r="F561" t="s">
        <v>5</v>
      </c>
      <c r="G561" t="s">
        <v>1448</v>
      </c>
      <c r="H561" t="s">
        <v>1263</v>
      </c>
      <c r="I561">
        <v>141.17104</v>
      </c>
    </row>
    <row r="562" spans="1:9" ht="84.3" customHeight="1">
      <c r="A562" s="1" t="str">
        <f>"Chemistry 1875"</f>
        <v>Chemistry 1875</v>
      </c>
      <c r="B562" t="s">
        <v>1449</v>
      </c>
      <c r="C562" t="s">
        <v>3</v>
      </c>
      <c r="D562" s="2">
        <v>14000</v>
      </c>
      <c r="E562" s="2">
        <v>9800</v>
      </c>
      <c r="F562" t="s">
        <v>5</v>
      </c>
      <c r="G562" t="s">
        <v>1450</v>
      </c>
      <c r="H562" t="s">
        <v>1451</v>
      </c>
      <c r="I562">
        <v>208.13788</v>
      </c>
    </row>
    <row r="563" spans="1:9" ht="74.7" customHeight="1">
      <c r="A563" s="1" t="str">
        <f>"Chemistry 1881"</f>
        <v>Chemistry 1881</v>
      </c>
      <c r="B563" t="s">
        <v>1453</v>
      </c>
      <c r="C563" t="s">
        <v>3</v>
      </c>
      <c r="D563" s="2">
        <v>15800</v>
      </c>
      <c r="E563" s="2">
        <v>11060</v>
      </c>
      <c r="F563" t="s">
        <v>5</v>
      </c>
      <c r="G563" t="s">
        <v>1454</v>
      </c>
      <c r="H563" t="s">
        <v>1410</v>
      </c>
      <c r="I563">
        <v>190.15882999999999</v>
      </c>
    </row>
    <row r="564" spans="1:9" ht="64.05" customHeight="1">
      <c r="A564" s="1" t="str">
        <f>"Chemistry 1891"</f>
        <v>Chemistry 1891</v>
      </c>
      <c r="B564" t="s">
        <v>1455</v>
      </c>
      <c r="C564" t="s">
        <v>3</v>
      </c>
      <c r="D564" s="2">
        <v>19300</v>
      </c>
      <c r="E564" s="2">
        <v>13510</v>
      </c>
      <c r="F564" t="s">
        <v>5</v>
      </c>
      <c r="G564" t="s">
        <v>1456</v>
      </c>
      <c r="H564" t="s">
        <v>1457</v>
      </c>
      <c r="I564">
        <v>138.1704</v>
      </c>
    </row>
    <row r="565" spans="1:9" ht="77.55" customHeight="1">
      <c r="A565" s="1" t="str">
        <f>"Chemistry 1901"</f>
        <v>Chemistry 1901</v>
      </c>
      <c r="B565" t="s">
        <v>1458</v>
      </c>
      <c r="C565" t="s">
        <v>3</v>
      </c>
      <c r="D565" s="2">
        <v>12300</v>
      </c>
      <c r="E565" s="2">
        <v>8610</v>
      </c>
      <c r="F565" t="s">
        <v>5</v>
      </c>
      <c r="G565" t="s">
        <v>1459</v>
      </c>
      <c r="H565" t="s">
        <v>1399</v>
      </c>
      <c r="I565">
        <v>332.32146</v>
      </c>
    </row>
    <row r="566" spans="1:9" ht="55.05" customHeight="1">
      <c r="A566" s="1" t="str">
        <f>"Chemistry 1903"</f>
        <v>Chemistry 1903</v>
      </c>
      <c r="B566" t="s">
        <v>1460</v>
      </c>
      <c r="C566" t="s">
        <v>270</v>
      </c>
      <c r="D566" s="2">
        <v>14000</v>
      </c>
      <c r="E566" s="2">
        <v>9800</v>
      </c>
      <c r="F566" t="s">
        <v>5</v>
      </c>
      <c r="G566" t="s">
        <v>1461</v>
      </c>
      <c r="H566" t="s">
        <v>1367</v>
      </c>
      <c r="I566">
        <v>237.12954999999999</v>
      </c>
    </row>
    <row r="567" spans="1:9" ht="61.8" customHeight="1">
      <c r="A567" s="1" t="str">
        <f>"Chemistry 1904"</f>
        <v>Chemistry 1904</v>
      </c>
      <c r="B567" t="s">
        <v>1462</v>
      </c>
      <c r="C567" t="s">
        <v>270</v>
      </c>
      <c r="D567" s="2">
        <v>14000</v>
      </c>
      <c r="E567" s="2">
        <v>9800</v>
      </c>
      <c r="F567" t="s">
        <v>5</v>
      </c>
      <c r="G567" t="s">
        <v>1463</v>
      </c>
      <c r="H567" t="s">
        <v>1364</v>
      </c>
      <c r="I567">
        <v>251.15613999999999</v>
      </c>
    </row>
    <row r="568" spans="1:9" ht="67.349999999999994" customHeight="1">
      <c r="A568" s="1" t="str">
        <f>"Chemistry 1905"</f>
        <v>Chemistry 1905</v>
      </c>
      <c r="B568" t="s">
        <v>1464</v>
      </c>
      <c r="C568" t="s">
        <v>270</v>
      </c>
      <c r="D568" s="2">
        <v>14000</v>
      </c>
      <c r="E568" s="2">
        <v>9800</v>
      </c>
      <c r="F568" t="s">
        <v>5</v>
      </c>
      <c r="G568" t="s">
        <v>1465</v>
      </c>
      <c r="H568" t="s">
        <v>1404</v>
      </c>
      <c r="I568">
        <v>305.12752</v>
      </c>
    </row>
    <row r="569" spans="1:9" ht="77.55" customHeight="1">
      <c r="A569" s="1" t="str">
        <f>"Chemistry 1908"</f>
        <v>Chemistry 1908</v>
      </c>
      <c r="B569" t="s">
        <v>1466</v>
      </c>
      <c r="C569" t="s">
        <v>3</v>
      </c>
      <c r="D569" s="2">
        <v>12300</v>
      </c>
      <c r="E569" s="2">
        <v>8610</v>
      </c>
      <c r="F569" t="s">
        <v>5</v>
      </c>
      <c r="G569" t="s">
        <v>1467</v>
      </c>
      <c r="H569" t="s">
        <v>1399</v>
      </c>
      <c r="I569">
        <v>332.32146</v>
      </c>
    </row>
    <row r="570" spans="1:9" ht="67.349999999999994" customHeight="1">
      <c r="A570" s="1" t="str">
        <f>"Chemistry 1912"</f>
        <v>Chemistry 1912</v>
      </c>
      <c r="B570" t="s">
        <v>1468</v>
      </c>
      <c r="C570" t="s">
        <v>270</v>
      </c>
      <c r="D570" s="2">
        <v>14000</v>
      </c>
      <c r="E570" s="2">
        <v>9800</v>
      </c>
      <c r="F570" t="s">
        <v>5</v>
      </c>
      <c r="G570" t="s">
        <v>1469</v>
      </c>
      <c r="H570" t="s">
        <v>1404</v>
      </c>
      <c r="I570">
        <v>305.12752</v>
      </c>
    </row>
    <row r="571" spans="1:9" ht="51.6" customHeight="1">
      <c r="A571" s="1" t="str">
        <f>"Chemistry 1918"</f>
        <v>Chemistry 1918</v>
      </c>
      <c r="B571" t="s">
        <v>1470</v>
      </c>
      <c r="C571" t="s">
        <v>270</v>
      </c>
      <c r="D571" s="2">
        <v>14000</v>
      </c>
      <c r="E571" s="2">
        <v>9800</v>
      </c>
      <c r="F571" t="s">
        <v>5</v>
      </c>
      <c r="G571" t="s">
        <v>1471</v>
      </c>
      <c r="H571" t="s">
        <v>1385</v>
      </c>
      <c r="I571">
        <v>265.18270999999999</v>
      </c>
    </row>
    <row r="572" spans="1:9" ht="66.3" customHeight="1">
      <c r="A572" s="1" t="str">
        <f>"Chemistry 1921"</f>
        <v>Chemistry 1921</v>
      </c>
      <c r="B572" t="s">
        <v>1472</v>
      </c>
      <c r="C572" t="s">
        <v>3</v>
      </c>
      <c r="D572" s="2">
        <v>15800</v>
      </c>
      <c r="E572" s="2">
        <v>11060</v>
      </c>
      <c r="F572" t="s">
        <v>5</v>
      </c>
      <c r="G572" t="s">
        <v>1473</v>
      </c>
      <c r="H572" t="s">
        <v>1474</v>
      </c>
      <c r="I572">
        <v>165.11644000000001</v>
      </c>
    </row>
    <row r="573" spans="1:9" ht="61.2" customHeight="1">
      <c r="A573" s="1" t="str">
        <f>"Chemistry 1923"</f>
        <v>Chemistry 1923</v>
      </c>
      <c r="B573" t="s">
        <v>1475</v>
      </c>
      <c r="C573" t="s">
        <v>3</v>
      </c>
      <c r="D573" s="2">
        <v>14000</v>
      </c>
      <c r="E573" s="2">
        <v>9800</v>
      </c>
      <c r="F573" t="s">
        <v>5</v>
      </c>
      <c r="G573" t="s">
        <v>1476</v>
      </c>
      <c r="H573" t="s">
        <v>1477</v>
      </c>
      <c r="I573">
        <v>179.14302000000001</v>
      </c>
    </row>
    <row r="574" spans="1:9" ht="94.95" customHeight="1">
      <c r="A574" s="1" t="str">
        <f>"Chemistry 1924"</f>
        <v>Chemistry 1924</v>
      </c>
      <c r="B574" t="s">
        <v>1478</v>
      </c>
      <c r="C574" t="s">
        <v>3</v>
      </c>
      <c r="D574" s="2">
        <v>15800</v>
      </c>
      <c r="E574" s="2">
        <v>11060</v>
      </c>
      <c r="F574" t="s">
        <v>5</v>
      </c>
      <c r="G574" t="s">
        <v>1479</v>
      </c>
      <c r="H574" t="s">
        <v>1451</v>
      </c>
      <c r="I574">
        <v>208.13788</v>
      </c>
    </row>
    <row r="575" spans="1:9" ht="66.3" customHeight="1">
      <c r="A575" s="1" t="str">
        <f>"Chemistry 1928"</f>
        <v>Chemistry 1928</v>
      </c>
      <c r="B575" t="s">
        <v>1480</v>
      </c>
      <c r="C575" t="s">
        <v>3</v>
      </c>
      <c r="D575" s="2">
        <v>14000</v>
      </c>
      <c r="E575" s="2">
        <v>9800</v>
      </c>
      <c r="F575" t="s">
        <v>5</v>
      </c>
      <c r="G575" t="s">
        <v>1481</v>
      </c>
      <c r="H575" t="s">
        <v>1176</v>
      </c>
      <c r="I575">
        <v>241.2124</v>
      </c>
    </row>
    <row r="576" spans="1:9" ht="70.8" customHeight="1">
      <c r="A576" s="1" t="str">
        <f>"Chemistry 1930"</f>
        <v>Chemistry 1930</v>
      </c>
      <c r="B576" t="s">
        <v>1483</v>
      </c>
      <c r="C576" t="s">
        <v>3</v>
      </c>
      <c r="D576" s="2">
        <v>14000</v>
      </c>
      <c r="E576" s="2">
        <v>9800</v>
      </c>
      <c r="F576" t="s">
        <v>5</v>
      </c>
      <c r="G576" t="s">
        <v>1484</v>
      </c>
      <c r="H576" t="s">
        <v>19</v>
      </c>
      <c r="I576">
        <v>237.2551</v>
      </c>
    </row>
    <row r="577" spans="1:9" ht="51.6" customHeight="1">
      <c r="A577" s="1" t="str">
        <f>"Chemistry 1934"</f>
        <v>Chemistry 1934</v>
      </c>
      <c r="B577" t="s">
        <v>1485</v>
      </c>
      <c r="C577" t="s">
        <v>3</v>
      </c>
      <c r="D577" s="2">
        <v>17500</v>
      </c>
      <c r="E577" s="2">
        <v>12250</v>
      </c>
      <c r="F577" t="s">
        <v>5</v>
      </c>
      <c r="G577" t="s">
        <v>1486</v>
      </c>
      <c r="H577" t="s">
        <v>1452</v>
      </c>
      <c r="I577">
        <v>179.17596</v>
      </c>
    </row>
    <row r="578" spans="1:9" ht="53.25" customHeight="1">
      <c r="A578" s="1" t="str">
        <f>"Chemistry 1938"</f>
        <v>Chemistry 1938</v>
      </c>
      <c r="B578" t="s">
        <v>1488</v>
      </c>
      <c r="C578" t="s">
        <v>128</v>
      </c>
      <c r="D578" s="2">
        <v>22800</v>
      </c>
      <c r="E578" s="2">
        <v>15959.999999999998</v>
      </c>
      <c r="F578" t="s">
        <v>5</v>
      </c>
      <c r="G578" t="s">
        <v>1489</v>
      </c>
      <c r="H578" t="s">
        <v>1490</v>
      </c>
      <c r="I578">
        <v>171.62739999999999</v>
      </c>
    </row>
    <row r="579" spans="1:9" ht="64.5" customHeight="1">
      <c r="A579" s="1" t="str">
        <f>"Chemistry 1939"</f>
        <v>Chemistry 1939</v>
      </c>
      <c r="B579" t="s">
        <v>1491</v>
      </c>
      <c r="C579" t="s">
        <v>3</v>
      </c>
      <c r="D579" s="2">
        <v>28000</v>
      </c>
      <c r="E579" s="2">
        <v>16800</v>
      </c>
      <c r="F579" t="s">
        <v>5</v>
      </c>
      <c r="G579" t="s">
        <v>1492</v>
      </c>
      <c r="H579" t="s">
        <v>1493</v>
      </c>
      <c r="I579">
        <v>168.23614000000001</v>
      </c>
    </row>
    <row r="580" spans="1:9" ht="68.55" customHeight="1">
      <c r="A580" s="1" t="str">
        <f>"Chemistry 1942"</f>
        <v>Chemistry 1942</v>
      </c>
      <c r="B580" t="s">
        <v>1494</v>
      </c>
      <c r="C580" t="s">
        <v>3</v>
      </c>
      <c r="D580" s="2">
        <v>28000</v>
      </c>
      <c r="E580" s="2">
        <v>16800</v>
      </c>
      <c r="F580" t="s">
        <v>5</v>
      </c>
      <c r="G580" t="s">
        <v>1495</v>
      </c>
      <c r="H580" t="s">
        <v>1496</v>
      </c>
      <c r="I580">
        <v>189.25360000000001</v>
      </c>
    </row>
    <row r="581" spans="1:9" ht="74.099999999999994" customHeight="1">
      <c r="A581" s="1" t="str">
        <f>"Chemistry 1946"</f>
        <v>Chemistry 1946</v>
      </c>
      <c r="B581" t="s">
        <v>1498</v>
      </c>
      <c r="C581" t="s">
        <v>3</v>
      </c>
      <c r="D581" s="2">
        <v>24500</v>
      </c>
      <c r="E581" s="2">
        <v>16800</v>
      </c>
      <c r="F581" t="s">
        <v>5</v>
      </c>
      <c r="G581" t="s">
        <v>1499</v>
      </c>
      <c r="H581" t="s">
        <v>1497</v>
      </c>
      <c r="I581">
        <v>215.25442000000001</v>
      </c>
    </row>
    <row r="582" spans="1:9" ht="77.55" customHeight="1">
      <c r="A582" s="1" t="str">
        <f>"Chemistry 1947"</f>
        <v>Chemistry 1947</v>
      </c>
      <c r="B582" t="s">
        <v>1500</v>
      </c>
      <c r="C582" t="s">
        <v>3</v>
      </c>
      <c r="D582" s="2">
        <v>24500</v>
      </c>
      <c r="E582" s="2">
        <v>16800</v>
      </c>
      <c r="F582" t="s">
        <v>5</v>
      </c>
      <c r="G582" t="s">
        <v>1501</v>
      </c>
      <c r="H582" t="s">
        <v>435</v>
      </c>
      <c r="I582">
        <v>316.39476000000002</v>
      </c>
    </row>
    <row r="583" spans="1:9" ht="67.95" customHeight="1">
      <c r="A583" s="1" t="str">
        <f>"Chemistry 1948"</f>
        <v>Chemistry 1948</v>
      </c>
      <c r="B583" t="s">
        <v>1502</v>
      </c>
      <c r="C583" t="s">
        <v>128</v>
      </c>
      <c r="D583" s="2">
        <v>24500</v>
      </c>
      <c r="E583" s="2">
        <v>21000</v>
      </c>
      <c r="F583" t="s">
        <v>5</v>
      </c>
      <c r="G583" t="s">
        <v>1503</v>
      </c>
      <c r="H583" t="s">
        <v>438</v>
      </c>
      <c r="I583">
        <v>252.73988</v>
      </c>
    </row>
    <row r="584" spans="1:9" ht="63.45" customHeight="1">
      <c r="A584" s="1" t="str">
        <f>"Chemistry 1949"</f>
        <v>Chemistry 1949</v>
      </c>
      <c r="B584" t="s">
        <v>1504</v>
      </c>
      <c r="C584" t="s">
        <v>3</v>
      </c>
      <c r="D584" s="2">
        <v>24500</v>
      </c>
      <c r="E584" s="2">
        <v>17880</v>
      </c>
      <c r="F584" t="s">
        <v>5</v>
      </c>
      <c r="G584" t="s">
        <v>1505</v>
      </c>
      <c r="H584" t="s">
        <v>1506</v>
      </c>
      <c r="I584">
        <v>302.41124000000002</v>
      </c>
    </row>
    <row r="585" spans="1:9" ht="75.75" customHeight="1">
      <c r="A585" s="1" t="str">
        <f>"Chemistry 1955"</f>
        <v>Chemistry 1955</v>
      </c>
      <c r="B585" t="s">
        <v>1508</v>
      </c>
      <c r="C585" t="s">
        <v>3</v>
      </c>
      <c r="D585" s="2">
        <v>19300</v>
      </c>
      <c r="E585" s="2">
        <v>15780</v>
      </c>
      <c r="F585" t="s">
        <v>5</v>
      </c>
      <c r="G585" t="s">
        <v>1509</v>
      </c>
      <c r="H585" t="s">
        <v>1510</v>
      </c>
      <c r="I585">
        <v>166.22355999999999</v>
      </c>
    </row>
    <row r="586" spans="1:9" ht="52.2" customHeight="1">
      <c r="A586" s="1" t="str">
        <f>"Chemistry 1962"</f>
        <v>Chemistry 1962</v>
      </c>
      <c r="B586" t="s">
        <v>1511</v>
      </c>
      <c r="C586" t="s">
        <v>3</v>
      </c>
      <c r="D586" s="2">
        <v>10500</v>
      </c>
      <c r="E586" s="2">
        <v>7349.9999999999991</v>
      </c>
      <c r="F586" t="s">
        <v>5</v>
      </c>
      <c r="G586" t="s">
        <v>1512</v>
      </c>
      <c r="H586" t="s">
        <v>172</v>
      </c>
      <c r="I586">
        <v>178.23096000000001</v>
      </c>
    </row>
    <row r="587" spans="1:9" ht="52.2" customHeight="1">
      <c r="A587" s="1" t="str">
        <f>"Chemistry 1965"</f>
        <v>Chemistry 1965</v>
      </c>
      <c r="B587" t="s">
        <v>1513</v>
      </c>
      <c r="C587" t="s">
        <v>270</v>
      </c>
      <c r="D587" s="2">
        <v>14000</v>
      </c>
      <c r="E587" s="2">
        <v>9800</v>
      </c>
      <c r="F587" t="s">
        <v>5</v>
      </c>
      <c r="G587" t="s">
        <v>1514</v>
      </c>
      <c r="H587" t="s">
        <v>1515</v>
      </c>
      <c r="I587">
        <v>236.14150000000001</v>
      </c>
    </row>
    <row r="588" spans="1:9" ht="74.099999999999994" customHeight="1">
      <c r="A588" s="1" t="str">
        <f>"Chemistry 1966"</f>
        <v>Chemistry 1966</v>
      </c>
      <c r="B588" t="s">
        <v>1516</v>
      </c>
      <c r="C588" t="s">
        <v>3</v>
      </c>
      <c r="D588" s="2">
        <v>14000</v>
      </c>
      <c r="E588" s="2">
        <v>9800</v>
      </c>
      <c r="F588" t="s">
        <v>5</v>
      </c>
      <c r="G588" t="s">
        <v>1517</v>
      </c>
      <c r="H588" t="s">
        <v>1518</v>
      </c>
      <c r="I588">
        <v>214.26635999999999</v>
      </c>
    </row>
    <row r="589" spans="1:9" ht="75.3" customHeight="1">
      <c r="A589" s="1" t="str">
        <f>"Chemistry 1970"</f>
        <v>Chemistry 1970</v>
      </c>
      <c r="B589" t="s">
        <v>1519</v>
      </c>
      <c r="C589" t="s">
        <v>3</v>
      </c>
      <c r="D589" s="2">
        <v>14000</v>
      </c>
      <c r="E589" s="2">
        <v>9800</v>
      </c>
      <c r="F589" t="s">
        <v>5</v>
      </c>
      <c r="G589" t="s">
        <v>1520</v>
      </c>
      <c r="H589" t="s">
        <v>1518</v>
      </c>
      <c r="I589">
        <v>214.26635999999999</v>
      </c>
    </row>
    <row r="590" spans="1:9" ht="47.7" customHeight="1">
      <c r="A590" s="1" t="str">
        <f>"Chemistry 1977"</f>
        <v>Chemistry 1977</v>
      </c>
      <c r="B590" t="s">
        <v>1521</v>
      </c>
      <c r="C590" t="s">
        <v>3</v>
      </c>
      <c r="D590" s="2">
        <v>14000</v>
      </c>
      <c r="E590" s="2">
        <v>9800</v>
      </c>
      <c r="F590" t="s">
        <v>5</v>
      </c>
      <c r="G590" t="s">
        <v>1522</v>
      </c>
      <c r="H590" t="s">
        <v>1523</v>
      </c>
      <c r="I590">
        <v>191.27278000000001</v>
      </c>
    </row>
    <row r="591" spans="1:9" ht="47.7" customHeight="1">
      <c r="A591" s="1" t="str">
        <f>"Chemistry 1978"</f>
        <v>Chemistry 1978</v>
      </c>
      <c r="B591" t="s">
        <v>1524</v>
      </c>
      <c r="C591" t="s">
        <v>3</v>
      </c>
      <c r="D591" s="2">
        <v>14000</v>
      </c>
      <c r="E591" s="2">
        <v>9800</v>
      </c>
      <c r="F591" t="s">
        <v>5</v>
      </c>
      <c r="G591" t="s">
        <v>1525</v>
      </c>
      <c r="H591" t="s">
        <v>1526</v>
      </c>
      <c r="I591">
        <v>192.26084</v>
      </c>
    </row>
    <row r="592" spans="1:9" ht="52.2" customHeight="1">
      <c r="A592" s="1" t="str">
        <f>"Chemistry 1996"</f>
        <v>Chemistry 1996</v>
      </c>
      <c r="B592" t="s">
        <v>1529</v>
      </c>
      <c r="C592" t="s">
        <v>270</v>
      </c>
      <c r="D592" s="2">
        <v>14000</v>
      </c>
      <c r="E592" s="2">
        <v>9800</v>
      </c>
      <c r="F592" t="s">
        <v>5</v>
      </c>
      <c r="G592" t="s">
        <v>1530</v>
      </c>
      <c r="H592" t="s">
        <v>1367</v>
      </c>
      <c r="I592">
        <v>237.12954999999999</v>
      </c>
    </row>
    <row r="593" spans="1:9" ht="74.099999999999994" customHeight="1">
      <c r="A593" s="1" t="str">
        <f>"Chemistry 1997"</f>
        <v>Chemistry 1997</v>
      </c>
      <c r="B593" t="s">
        <v>1531</v>
      </c>
      <c r="C593" t="s">
        <v>3</v>
      </c>
      <c r="D593" s="2">
        <v>14000</v>
      </c>
      <c r="E593" s="2">
        <v>9800</v>
      </c>
      <c r="F593" t="s">
        <v>5</v>
      </c>
      <c r="G593" t="s">
        <v>1532</v>
      </c>
      <c r="H593" t="s">
        <v>1518</v>
      </c>
      <c r="I593">
        <v>214.26635999999999</v>
      </c>
    </row>
    <row r="594" spans="1:9" ht="78.599999999999994" customHeight="1">
      <c r="A594" s="1" t="str">
        <f>"Chemistry 1999"</f>
        <v>Chemistry 1999</v>
      </c>
      <c r="B594" t="s">
        <v>1533</v>
      </c>
      <c r="C594" t="s">
        <v>3</v>
      </c>
      <c r="D594" s="2">
        <v>14000</v>
      </c>
      <c r="E594" s="2">
        <v>9800</v>
      </c>
      <c r="F594" t="s">
        <v>5</v>
      </c>
      <c r="G594" t="s">
        <v>1534</v>
      </c>
      <c r="H594" t="s">
        <v>9</v>
      </c>
      <c r="I594">
        <v>207.22911999999999</v>
      </c>
    </row>
    <row r="595" spans="1:9" ht="75.3" customHeight="1">
      <c r="A595" s="1" t="str">
        <f>"Chemistry 2005"</f>
        <v>Chemistry 2005</v>
      </c>
      <c r="B595" t="s">
        <v>1535</v>
      </c>
      <c r="C595" t="s">
        <v>270</v>
      </c>
      <c r="D595" s="2">
        <v>17500</v>
      </c>
      <c r="E595" s="2">
        <v>12250</v>
      </c>
      <c r="F595" t="s">
        <v>5</v>
      </c>
      <c r="G595" t="s">
        <v>1536</v>
      </c>
      <c r="H595" t="s">
        <v>1537</v>
      </c>
      <c r="I595">
        <v>315.2414</v>
      </c>
    </row>
    <row r="596" spans="1:9" ht="78" customHeight="1">
      <c r="A596" s="1" t="str">
        <f>"Chemistry 2009"</f>
        <v>Chemistry 2009</v>
      </c>
      <c r="B596" t="s">
        <v>1538</v>
      </c>
      <c r="C596" t="s">
        <v>3</v>
      </c>
      <c r="D596" s="2">
        <v>15800</v>
      </c>
      <c r="E596" s="2">
        <v>11060</v>
      </c>
      <c r="F596" t="s">
        <v>5</v>
      </c>
      <c r="G596" t="s">
        <v>1539</v>
      </c>
      <c r="H596" t="s">
        <v>1482</v>
      </c>
      <c r="I596">
        <v>168.19307000000001</v>
      </c>
    </row>
    <row r="597" spans="1:9" ht="71.25" customHeight="1">
      <c r="A597" s="1" t="str">
        <f>"Chemistry 2016"</f>
        <v>Chemistry 2016</v>
      </c>
      <c r="B597" t="s">
        <v>1540</v>
      </c>
      <c r="C597" t="s">
        <v>128</v>
      </c>
      <c r="D597" s="2">
        <v>21000</v>
      </c>
      <c r="E597" s="2">
        <v>14699.999999999998</v>
      </c>
      <c r="F597" t="s">
        <v>5</v>
      </c>
      <c r="G597" t="s">
        <v>1541</v>
      </c>
      <c r="H597" t="s">
        <v>1542</v>
      </c>
      <c r="I597">
        <v>306.62646999999998</v>
      </c>
    </row>
    <row r="598" spans="1:9" ht="71.25" customHeight="1">
      <c r="A598" s="1" t="str">
        <f>"Chemistry 2028"</f>
        <v>Chemistry 2028</v>
      </c>
      <c r="B598" t="s">
        <v>1546</v>
      </c>
      <c r="C598" t="s">
        <v>3</v>
      </c>
      <c r="D598" s="2">
        <v>17500</v>
      </c>
      <c r="E598" s="2">
        <v>12250</v>
      </c>
      <c r="F598" t="s">
        <v>5</v>
      </c>
      <c r="G598" t="s">
        <v>1547</v>
      </c>
      <c r="H598" t="s">
        <v>1545</v>
      </c>
      <c r="I598">
        <v>285.13380999999998</v>
      </c>
    </row>
    <row r="599" spans="1:9" ht="75.3" customHeight="1">
      <c r="A599" s="1" t="str">
        <f>"Chemistry 2031"</f>
        <v>Chemistry 2031</v>
      </c>
      <c r="B599" t="s">
        <v>1549</v>
      </c>
      <c r="C599" t="s">
        <v>3</v>
      </c>
      <c r="D599" s="2">
        <v>17500</v>
      </c>
      <c r="E599" s="2">
        <v>12250</v>
      </c>
      <c r="F599" t="s">
        <v>5</v>
      </c>
      <c r="G599" t="s">
        <v>1550</v>
      </c>
      <c r="H599" t="s">
        <v>1551</v>
      </c>
      <c r="I599">
        <v>274.23572000000001</v>
      </c>
    </row>
    <row r="600" spans="1:9" ht="59.55" customHeight="1">
      <c r="A600" s="1" t="str">
        <f>"Chemistry 2033"</f>
        <v>Chemistry 2033</v>
      </c>
      <c r="B600" t="s">
        <v>1552</v>
      </c>
      <c r="C600" t="s">
        <v>128</v>
      </c>
      <c r="D600" s="2">
        <v>35000</v>
      </c>
      <c r="E600" s="2">
        <v>21000</v>
      </c>
      <c r="F600" t="s">
        <v>5</v>
      </c>
      <c r="G600" t="s">
        <v>1553</v>
      </c>
      <c r="H600" t="s">
        <v>289</v>
      </c>
      <c r="I600">
        <v>190.67049</v>
      </c>
    </row>
    <row r="601" spans="1:9" ht="71.25" customHeight="1">
      <c r="A601" s="1" t="str">
        <f>"Chemistry 2042"</f>
        <v>Chemistry 2042</v>
      </c>
      <c r="B601" t="s">
        <v>1555</v>
      </c>
      <c r="C601" t="s">
        <v>128</v>
      </c>
      <c r="D601" s="2">
        <v>24500</v>
      </c>
      <c r="E601" s="2">
        <v>17150</v>
      </c>
      <c r="F601" t="s">
        <v>5</v>
      </c>
      <c r="G601" t="s">
        <v>1556</v>
      </c>
      <c r="H601" t="s">
        <v>1554</v>
      </c>
      <c r="I601">
        <v>253.72793999999999</v>
      </c>
    </row>
    <row r="602" spans="1:9" ht="85.95" customHeight="1">
      <c r="A602" s="1" t="str">
        <f>"Chemistry 2045"</f>
        <v>Chemistry 2045</v>
      </c>
      <c r="B602" t="s">
        <v>1557</v>
      </c>
      <c r="C602" t="s">
        <v>128</v>
      </c>
      <c r="D602" s="2">
        <v>24500</v>
      </c>
      <c r="E602" s="2">
        <v>17150</v>
      </c>
      <c r="F602" t="s">
        <v>5</v>
      </c>
      <c r="G602" t="s">
        <v>1558</v>
      </c>
      <c r="H602" t="s">
        <v>1559</v>
      </c>
      <c r="I602">
        <v>303.80822000000001</v>
      </c>
    </row>
    <row r="603" spans="1:9" ht="85.95" customHeight="1">
      <c r="A603" s="1" t="str">
        <f>"Chemistry 2047"</f>
        <v>Chemistry 2047</v>
      </c>
      <c r="B603" t="s">
        <v>1560</v>
      </c>
      <c r="C603" t="s">
        <v>128</v>
      </c>
      <c r="D603" s="2">
        <v>24500</v>
      </c>
      <c r="E603" s="2">
        <v>17150</v>
      </c>
      <c r="F603" t="s">
        <v>5</v>
      </c>
      <c r="G603" t="s">
        <v>1561</v>
      </c>
      <c r="H603" t="s">
        <v>1559</v>
      </c>
      <c r="I603">
        <v>303.80822000000001</v>
      </c>
    </row>
    <row r="604" spans="1:9" ht="78" customHeight="1">
      <c r="A604" s="1" t="str">
        <f>"Chemistry 2049"</f>
        <v>Chemistry 2049</v>
      </c>
      <c r="B604" t="s">
        <v>1562</v>
      </c>
      <c r="C604" t="s">
        <v>128</v>
      </c>
      <c r="D604" s="2">
        <v>24500</v>
      </c>
      <c r="E604" s="2">
        <v>17150</v>
      </c>
      <c r="F604" t="s">
        <v>5</v>
      </c>
      <c r="G604" t="s">
        <v>1563</v>
      </c>
      <c r="H604" t="s">
        <v>1564</v>
      </c>
      <c r="I604">
        <v>289.78163999999998</v>
      </c>
    </row>
    <row r="605" spans="1:9" ht="78" customHeight="1">
      <c r="A605" s="1" t="str">
        <f>"Chemistry 2051"</f>
        <v>Chemistry 2051</v>
      </c>
      <c r="B605" t="s">
        <v>1565</v>
      </c>
      <c r="C605" t="s">
        <v>128</v>
      </c>
      <c r="D605" s="2">
        <v>24500</v>
      </c>
      <c r="E605" s="2">
        <v>17150</v>
      </c>
      <c r="F605" t="s">
        <v>5</v>
      </c>
      <c r="G605" t="s">
        <v>1566</v>
      </c>
      <c r="H605" t="s">
        <v>1564</v>
      </c>
      <c r="I605">
        <v>289.78163999999998</v>
      </c>
    </row>
    <row r="606" spans="1:9" ht="78" customHeight="1">
      <c r="A606" s="1" t="str">
        <f>"Chemistry 2054"</f>
        <v>Chemistry 2054</v>
      </c>
      <c r="B606" t="s">
        <v>1568</v>
      </c>
      <c r="C606" t="s">
        <v>3</v>
      </c>
      <c r="D606" s="2">
        <v>22800</v>
      </c>
      <c r="E606" s="2">
        <v>15959.999999999998</v>
      </c>
      <c r="F606" t="s">
        <v>5</v>
      </c>
      <c r="G606" t="s">
        <v>1569</v>
      </c>
      <c r="H606" t="s">
        <v>1570</v>
      </c>
      <c r="I606">
        <v>192.20305999999999</v>
      </c>
    </row>
    <row r="607" spans="1:9" ht="92.7" customHeight="1">
      <c r="A607" s="1" t="str">
        <f>"Chemistry 2058"</f>
        <v>Chemistry 2058</v>
      </c>
      <c r="B607" t="s">
        <v>1571</v>
      </c>
      <c r="C607" t="s">
        <v>3</v>
      </c>
      <c r="D607" s="2">
        <v>22800</v>
      </c>
      <c r="E607" s="2">
        <v>15959.999999999998</v>
      </c>
      <c r="F607" t="s">
        <v>5</v>
      </c>
      <c r="G607" t="s">
        <v>1572</v>
      </c>
      <c r="H607" t="s">
        <v>1573</v>
      </c>
      <c r="I607">
        <v>254.27243999999999</v>
      </c>
    </row>
    <row r="608" spans="1:9" ht="105" customHeight="1">
      <c r="A608" s="1" t="str">
        <f>"Chemistry 2060"</f>
        <v>Chemistry 2060</v>
      </c>
      <c r="B608" t="s">
        <v>1575</v>
      </c>
      <c r="C608" t="s">
        <v>3</v>
      </c>
      <c r="D608" s="2">
        <v>22800</v>
      </c>
      <c r="E608" s="2">
        <v>15959.999999999998</v>
      </c>
      <c r="F608" t="s">
        <v>5</v>
      </c>
      <c r="G608" t="s">
        <v>1576</v>
      </c>
      <c r="H608" t="s">
        <v>1574</v>
      </c>
      <c r="I608">
        <v>272.2629</v>
      </c>
    </row>
    <row r="609" spans="1:9" ht="48.3" customHeight="1">
      <c r="A609" s="1" t="str">
        <f>"Chemistry 2065"</f>
        <v>Chemistry 2065</v>
      </c>
      <c r="B609" t="s">
        <v>1577</v>
      </c>
      <c r="C609" t="s">
        <v>128</v>
      </c>
      <c r="D609" s="2">
        <v>24500</v>
      </c>
      <c r="E609" s="2">
        <v>17150</v>
      </c>
      <c r="F609" t="s">
        <v>5</v>
      </c>
      <c r="G609" t="s">
        <v>1578</v>
      </c>
      <c r="H609" t="s">
        <v>1579</v>
      </c>
      <c r="I609">
        <v>261.73851999999999</v>
      </c>
    </row>
    <row r="610" spans="1:9" ht="67.349999999999994" customHeight="1">
      <c r="A610" s="1" t="str">
        <f>"Chemistry 2067"</f>
        <v>Chemistry 2067</v>
      </c>
      <c r="B610" t="s">
        <v>1581</v>
      </c>
      <c r="C610" t="s">
        <v>128</v>
      </c>
      <c r="D610" s="2">
        <v>24500</v>
      </c>
      <c r="E610" s="2">
        <v>17150</v>
      </c>
      <c r="F610" t="s">
        <v>5</v>
      </c>
      <c r="G610" t="s">
        <v>1582</v>
      </c>
      <c r="H610" t="s">
        <v>1580</v>
      </c>
      <c r="I610">
        <v>279.72897999999998</v>
      </c>
    </row>
    <row r="611" spans="1:9" ht="61.8" customHeight="1">
      <c r="A611" s="1" t="str">
        <f>"Chemistry 2068"</f>
        <v>Chemistry 2068</v>
      </c>
      <c r="B611" t="s">
        <v>1583</v>
      </c>
      <c r="C611" t="s">
        <v>3</v>
      </c>
      <c r="D611" s="2">
        <v>19300</v>
      </c>
      <c r="E611" s="2">
        <v>13510</v>
      </c>
      <c r="F611" t="s">
        <v>5</v>
      </c>
      <c r="G611" t="s">
        <v>1584</v>
      </c>
      <c r="H611" t="s">
        <v>1585</v>
      </c>
      <c r="I611">
        <v>177.19983999999999</v>
      </c>
    </row>
    <row r="612" spans="1:9" ht="72.45" customHeight="1">
      <c r="A612" s="1" t="str">
        <f>"Chemistry 2072"</f>
        <v>Chemistry 2072</v>
      </c>
      <c r="B612" t="s">
        <v>1588</v>
      </c>
      <c r="C612" t="s">
        <v>3</v>
      </c>
      <c r="D612" s="2">
        <v>12300</v>
      </c>
      <c r="E612" s="2">
        <v>8610</v>
      </c>
      <c r="F612" t="s">
        <v>5</v>
      </c>
      <c r="G612" t="s">
        <v>1589</v>
      </c>
      <c r="H612" t="s">
        <v>160</v>
      </c>
      <c r="I612">
        <v>181.18853999999999</v>
      </c>
    </row>
    <row r="613" spans="1:9" ht="67.95" customHeight="1">
      <c r="A613" s="1" t="str">
        <f>"Chemistry 2073"</f>
        <v>Chemistry 2073</v>
      </c>
      <c r="B613" t="s">
        <v>1590</v>
      </c>
      <c r="C613" t="s">
        <v>3</v>
      </c>
      <c r="D613" s="2">
        <v>12300</v>
      </c>
      <c r="E613" s="2">
        <v>8610</v>
      </c>
      <c r="F613" t="s">
        <v>5</v>
      </c>
      <c r="G613" t="s">
        <v>1591</v>
      </c>
      <c r="H613" t="s">
        <v>165</v>
      </c>
      <c r="I613">
        <v>223.22522000000001</v>
      </c>
    </row>
    <row r="614" spans="1:9" ht="75.3" customHeight="1">
      <c r="A614" s="1" t="str">
        <f>"Chemistry 2074"</f>
        <v>Chemistry 2074</v>
      </c>
      <c r="B614" t="s">
        <v>1592</v>
      </c>
      <c r="C614" t="s">
        <v>3</v>
      </c>
      <c r="D614" s="2">
        <v>15800</v>
      </c>
      <c r="E614" s="2">
        <v>11060</v>
      </c>
      <c r="F614" t="s">
        <v>5</v>
      </c>
      <c r="G614" t="s">
        <v>1593</v>
      </c>
      <c r="H614" t="s">
        <v>27</v>
      </c>
      <c r="I614">
        <v>207.22582</v>
      </c>
    </row>
    <row r="615" spans="1:9" ht="72.45" customHeight="1">
      <c r="A615" s="1" t="str">
        <f>"Chemistry 2078"</f>
        <v>Chemistry 2078</v>
      </c>
      <c r="B615" t="s">
        <v>1595</v>
      </c>
      <c r="C615" t="s">
        <v>270</v>
      </c>
      <c r="D615" s="2">
        <v>12300</v>
      </c>
      <c r="E615" s="2">
        <v>8610</v>
      </c>
      <c r="F615" t="s">
        <v>5</v>
      </c>
      <c r="G615" t="s">
        <v>1596</v>
      </c>
      <c r="H615" t="s">
        <v>1404</v>
      </c>
      <c r="I615">
        <v>305.12752</v>
      </c>
    </row>
    <row r="616" spans="1:9" ht="91.05" customHeight="1">
      <c r="A616" s="1" t="str">
        <f>"Chemistry 2085"</f>
        <v>Chemistry 2085</v>
      </c>
      <c r="B616" t="s">
        <v>1598</v>
      </c>
      <c r="C616" t="s">
        <v>128</v>
      </c>
      <c r="D616" s="2">
        <v>21000</v>
      </c>
      <c r="E616" s="2">
        <v>14699.999999999998</v>
      </c>
      <c r="F616" t="s">
        <v>5</v>
      </c>
      <c r="G616" t="s">
        <v>1599</v>
      </c>
      <c r="H616" t="s">
        <v>1542</v>
      </c>
      <c r="I616">
        <v>306.62646999999998</v>
      </c>
    </row>
    <row r="617" spans="1:9" ht="71.25" customHeight="1">
      <c r="A617" s="1" t="str">
        <f>"Chemistry 2086"</f>
        <v>Chemistry 2086</v>
      </c>
      <c r="B617" t="s">
        <v>1600</v>
      </c>
      <c r="C617" t="s">
        <v>3</v>
      </c>
      <c r="D617" s="2">
        <v>21000</v>
      </c>
      <c r="E617" s="2">
        <v>14699.999999999998</v>
      </c>
      <c r="F617" t="s">
        <v>5</v>
      </c>
      <c r="G617" t="s">
        <v>1601</v>
      </c>
      <c r="H617" t="s">
        <v>1602</v>
      </c>
      <c r="I617">
        <v>270.16554000000002</v>
      </c>
    </row>
    <row r="618" spans="1:9" ht="91.5" customHeight="1">
      <c r="A618" s="1" t="str">
        <f>"Chemistry 2088"</f>
        <v>Chemistry 2088</v>
      </c>
      <c r="B618" t="s">
        <v>1603</v>
      </c>
      <c r="C618" t="s">
        <v>128</v>
      </c>
      <c r="D618" s="2">
        <v>21000</v>
      </c>
      <c r="E618" s="2">
        <v>14699.999999999998</v>
      </c>
      <c r="F618" t="s">
        <v>5</v>
      </c>
      <c r="G618" t="s">
        <v>1604</v>
      </c>
      <c r="H618" t="s">
        <v>1544</v>
      </c>
      <c r="I618">
        <v>295.72838000000002</v>
      </c>
    </row>
    <row r="619" spans="1:9" ht="62.85" customHeight="1">
      <c r="A619" s="1" t="str">
        <f>"Chemistry 2090"</f>
        <v>Chemistry 2090</v>
      </c>
      <c r="B619" t="s">
        <v>1605</v>
      </c>
      <c r="C619" t="s">
        <v>128</v>
      </c>
      <c r="D619" s="2">
        <v>22800</v>
      </c>
      <c r="E619" s="2">
        <v>15959.999999999998</v>
      </c>
      <c r="F619" t="s">
        <v>5</v>
      </c>
      <c r="G619" t="s">
        <v>1606</v>
      </c>
      <c r="H619" t="s">
        <v>1607</v>
      </c>
      <c r="I619">
        <v>231.6943</v>
      </c>
    </row>
    <row r="620" spans="1:9" ht="58.95" customHeight="1">
      <c r="A620" s="1" t="str">
        <f>"Chemistry 2092"</f>
        <v>Chemistry 2092</v>
      </c>
      <c r="B620" t="s">
        <v>1609</v>
      </c>
      <c r="C620" t="s">
        <v>128</v>
      </c>
      <c r="D620" s="2">
        <v>22800</v>
      </c>
      <c r="E620" s="2">
        <v>15959.999999999998</v>
      </c>
      <c r="F620" t="s">
        <v>5</v>
      </c>
      <c r="G620" t="s">
        <v>1610</v>
      </c>
      <c r="H620" t="s">
        <v>1608</v>
      </c>
      <c r="I620">
        <v>292.59989999999999</v>
      </c>
    </row>
    <row r="621" spans="1:9" ht="61.2" customHeight="1">
      <c r="A621" s="1" t="str">
        <f>"Chemistry 2094"</f>
        <v>Chemistry 2094</v>
      </c>
      <c r="B621" t="s">
        <v>1612</v>
      </c>
      <c r="C621" t="s">
        <v>128</v>
      </c>
      <c r="D621" s="2">
        <v>22800</v>
      </c>
      <c r="E621" s="2">
        <v>15959.999999999998</v>
      </c>
      <c r="F621" t="s">
        <v>5</v>
      </c>
      <c r="G621" t="s">
        <v>1613</v>
      </c>
      <c r="H621" t="s">
        <v>1611</v>
      </c>
      <c r="I621">
        <v>243.72981999999999</v>
      </c>
    </row>
    <row r="622" spans="1:9" ht="71.25" customHeight="1">
      <c r="A622" s="1" t="str">
        <f>"Chemistry 2105"</f>
        <v>Chemistry 2105</v>
      </c>
      <c r="B622" t="s">
        <v>1615</v>
      </c>
      <c r="C622" t="s">
        <v>3</v>
      </c>
      <c r="D622" s="2">
        <v>17500</v>
      </c>
      <c r="E622" s="2">
        <v>12250</v>
      </c>
      <c r="F622" t="s">
        <v>5</v>
      </c>
      <c r="G622" t="s">
        <v>1616</v>
      </c>
      <c r="H622" t="s">
        <v>1617</v>
      </c>
      <c r="I622">
        <v>224.22821999999999</v>
      </c>
    </row>
    <row r="623" spans="1:9" ht="61.2" customHeight="1">
      <c r="A623" s="1" t="str">
        <f>"Chemistry 2109"</f>
        <v>Chemistry 2109</v>
      </c>
      <c r="B623" t="s">
        <v>1619</v>
      </c>
      <c r="C623" t="s">
        <v>128</v>
      </c>
      <c r="D623" s="2">
        <v>15800</v>
      </c>
      <c r="E623" s="2">
        <v>11060</v>
      </c>
      <c r="F623" t="s">
        <v>5</v>
      </c>
      <c r="G623" t="s">
        <v>1620</v>
      </c>
      <c r="H623" t="s">
        <v>1618</v>
      </c>
      <c r="I623">
        <v>271.78298000000001</v>
      </c>
    </row>
    <row r="624" spans="1:9" ht="47.7" customHeight="1">
      <c r="A624" s="1" t="str">
        <f>"Chemistry 2110"</f>
        <v>Chemistry 2110</v>
      </c>
      <c r="B624" t="s">
        <v>1621</v>
      </c>
      <c r="C624" t="s">
        <v>3</v>
      </c>
      <c r="D624" s="2">
        <v>10500</v>
      </c>
      <c r="E624" s="2">
        <v>7349.9999999999991</v>
      </c>
      <c r="F624" t="s">
        <v>5</v>
      </c>
      <c r="G624" t="s">
        <v>1622</v>
      </c>
      <c r="H624" t="s">
        <v>1623</v>
      </c>
      <c r="I624">
        <v>116.16158</v>
      </c>
    </row>
    <row r="625" spans="1:9" ht="53.85" customHeight="1">
      <c r="A625" s="1" t="str">
        <f>"Chemistry 2111"</f>
        <v>Chemistry 2111</v>
      </c>
      <c r="B625" t="s">
        <v>1624</v>
      </c>
      <c r="C625" t="s">
        <v>3</v>
      </c>
      <c r="D625" s="2">
        <v>10500</v>
      </c>
      <c r="E625" s="2">
        <v>7349.9999999999991</v>
      </c>
      <c r="F625" t="s">
        <v>5</v>
      </c>
      <c r="G625" t="s">
        <v>1625</v>
      </c>
      <c r="H625" t="s">
        <v>1626</v>
      </c>
      <c r="I625">
        <v>114.14570000000001</v>
      </c>
    </row>
    <row r="626" spans="1:9" ht="63.45" customHeight="1">
      <c r="A626" s="1" t="str">
        <f>"Chemistry 2114"</f>
        <v>Chemistry 2114</v>
      </c>
      <c r="B626" t="s">
        <v>1628</v>
      </c>
      <c r="C626" t="s">
        <v>3</v>
      </c>
      <c r="D626" s="2">
        <v>12300</v>
      </c>
      <c r="E626" s="2">
        <v>8610</v>
      </c>
      <c r="F626" t="s">
        <v>5</v>
      </c>
      <c r="G626" t="s">
        <v>1629</v>
      </c>
      <c r="H626" t="s">
        <v>1630</v>
      </c>
      <c r="I626">
        <v>132.11790999999999</v>
      </c>
    </row>
    <row r="627" spans="1:9" ht="68.55" customHeight="1">
      <c r="A627" s="1" t="str">
        <f>"Chemistry 2115"</f>
        <v>Chemistry 2115</v>
      </c>
      <c r="B627" t="s">
        <v>1631</v>
      </c>
      <c r="C627" t="s">
        <v>3</v>
      </c>
      <c r="D627" s="2">
        <v>12300</v>
      </c>
      <c r="E627" s="2">
        <v>8610</v>
      </c>
      <c r="F627" t="s">
        <v>5</v>
      </c>
      <c r="G627" t="s">
        <v>1632</v>
      </c>
      <c r="H627" t="s">
        <v>1329</v>
      </c>
      <c r="I627">
        <v>156.13932</v>
      </c>
    </row>
    <row r="628" spans="1:9" ht="71.25" customHeight="1">
      <c r="A628" s="1" t="str">
        <f>"Chemistry 2116"</f>
        <v>Chemistry 2116</v>
      </c>
      <c r="B628" t="s">
        <v>1633</v>
      </c>
      <c r="C628" t="s">
        <v>3</v>
      </c>
      <c r="D628" s="2">
        <v>19300</v>
      </c>
      <c r="E628" s="2">
        <v>13510</v>
      </c>
      <c r="F628" t="s">
        <v>5</v>
      </c>
      <c r="G628" t="s">
        <v>1634</v>
      </c>
      <c r="H628" t="s">
        <v>1635</v>
      </c>
      <c r="I628">
        <v>209.28806</v>
      </c>
    </row>
    <row r="629" spans="1:9" ht="71.25" customHeight="1">
      <c r="A629" s="1" t="str">
        <f>"Chemistry 2117"</f>
        <v>Chemistry 2117</v>
      </c>
      <c r="B629" t="s">
        <v>1636</v>
      </c>
      <c r="C629" t="s">
        <v>128</v>
      </c>
      <c r="D629" s="2">
        <v>19300</v>
      </c>
      <c r="E629" s="2">
        <v>13510</v>
      </c>
      <c r="F629" t="s">
        <v>5</v>
      </c>
      <c r="G629" t="s">
        <v>1637</v>
      </c>
      <c r="H629" t="s">
        <v>1638</v>
      </c>
      <c r="I629">
        <v>245.749</v>
      </c>
    </row>
    <row r="630" spans="1:9" ht="44.25" customHeight="1">
      <c r="A630" s="1" t="str">
        <f>"Chemistry 2119"</f>
        <v>Chemistry 2119</v>
      </c>
      <c r="B630" t="s">
        <v>1639</v>
      </c>
      <c r="C630" t="s">
        <v>128</v>
      </c>
      <c r="D630" s="2">
        <v>29800</v>
      </c>
      <c r="E630" s="2">
        <v>17880</v>
      </c>
      <c r="F630" t="s">
        <v>5</v>
      </c>
      <c r="G630" t="s">
        <v>1640</v>
      </c>
      <c r="H630" t="s">
        <v>1641</v>
      </c>
      <c r="I630">
        <v>177.67173</v>
      </c>
    </row>
    <row r="631" spans="1:9" ht="87" customHeight="1">
      <c r="A631" s="1" t="str">
        <f>"Chemistry 2121"</f>
        <v>Chemistry 2121</v>
      </c>
      <c r="B631" t="s">
        <v>1642</v>
      </c>
      <c r="C631" t="s">
        <v>128</v>
      </c>
      <c r="D631" s="2">
        <v>24500</v>
      </c>
      <c r="E631" s="2">
        <v>15780</v>
      </c>
      <c r="F631" t="s">
        <v>5</v>
      </c>
      <c r="G631" t="s">
        <v>1643</v>
      </c>
      <c r="H631" t="s">
        <v>328</v>
      </c>
      <c r="I631">
        <v>218.72366</v>
      </c>
    </row>
    <row r="632" spans="1:9" ht="82.5" customHeight="1">
      <c r="A632" s="1" t="str">
        <f>"Chemistry 2122"</f>
        <v>Chemistry 2122</v>
      </c>
      <c r="B632" t="s">
        <v>1644</v>
      </c>
      <c r="C632" t="s">
        <v>128</v>
      </c>
      <c r="D632" s="2">
        <v>24500</v>
      </c>
      <c r="E632" s="2">
        <v>16800</v>
      </c>
      <c r="F632" t="s">
        <v>5</v>
      </c>
      <c r="G632" t="s">
        <v>1645</v>
      </c>
      <c r="H632" t="s">
        <v>1559</v>
      </c>
      <c r="I632">
        <v>303.80822000000001</v>
      </c>
    </row>
    <row r="633" spans="1:9" ht="92.7" customHeight="1">
      <c r="A633" s="1" t="str">
        <f>"Chemistry 2127"</f>
        <v>Chemistry 2127</v>
      </c>
      <c r="B633" t="s">
        <v>1647</v>
      </c>
      <c r="C633" t="s">
        <v>128</v>
      </c>
      <c r="D633" s="2">
        <v>22800</v>
      </c>
      <c r="E633" s="2">
        <v>15959.999999999998</v>
      </c>
      <c r="F633" t="s">
        <v>5</v>
      </c>
      <c r="G633" t="s">
        <v>1648</v>
      </c>
      <c r="H633" t="s">
        <v>1646</v>
      </c>
      <c r="I633">
        <v>291.72143999999997</v>
      </c>
    </row>
    <row r="634" spans="1:9" ht="44.25" customHeight="1">
      <c r="A634" s="1" t="str">
        <f>"Chemistry 2129"</f>
        <v>Chemistry 2129</v>
      </c>
      <c r="B634" t="s">
        <v>1649</v>
      </c>
      <c r="C634" t="s">
        <v>128</v>
      </c>
      <c r="D634" s="2">
        <v>24500</v>
      </c>
      <c r="E634" s="2">
        <v>17150</v>
      </c>
      <c r="F634" t="s">
        <v>5</v>
      </c>
      <c r="G634" t="s">
        <v>1650</v>
      </c>
      <c r="H634" t="s">
        <v>1651</v>
      </c>
      <c r="I634">
        <v>225.70642000000001</v>
      </c>
    </row>
    <row r="635" spans="1:9" ht="48.3" customHeight="1">
      <c r="A635" s="1" t="str">
        <f>"Chemistry 2131"</f>
        <v>Chemistry 2131</v>
      </c>
      <c r="B635" t="s">
        <v>1652</v>
      </c>
      <c r="C635" t="s">
        <v>128</v>
      </c>
      <c r="D635" s="2">
        <v>24500</v>
      </c>
      <c r="E635" s="2">
        <v>17150</v>
      </c>
      <c r="F635" t="s">
        <v>5</v>
      </c>
      <c r="G635" t="s">
        <v>1653</v>
      </c>
      <c r="H635" t="s">
        <v>1580</v>
      </c>
      <c r="I635">
        <v>279.72897999999998</v>
      </c>
    </row>
    <row r="636" spans="1:9" ht="51.6" customHeight="1">
      <c r="A636" s="1" t="str">
        <f>"Chemistry 2132"</f>
        <v>Chemistry 2132</v>
      </c>
      <c r="B636" t="s">
        <v>1654</v>
      </c>
      <c r="C636" t="s">
        <v>270</v>
      </c>
      <c r="D636" s="2">
        <v>24500</v>
      </c>
      <c r="E636" s="2">
        <v>17150</v>
      </c>
      <c r="F636" t="s">
        <v>5</v>
      </c>
      <c r="G636" t="s">
        <v>1655</v>
      </c>
      <c r="H636" t="s">
        <v>569</v>
      </c>
      <c r="I636">
        <v>299.18752000000001</v>
      </c>
    </row>
    <row r="637" spans="1:9" ht="59.55" customHeight="1">
      <c r="A637" s="1" t="str">
        <f>"Chemistry 2134"</f>
        <v>Chemistry 2134</v>
      </c>
      <c r="B637" t="s">
        <v>1656</v>
      </c>
      <c r="C637" t="s">
        <v>128</v>
      </c>
      <c r="D637" s="2">
        <v>26300</v>
      </c>
      <c r="E637" s="2">
        <v>15780</v>
      </c>
      <c r="F637" t="s">
        <v>5</v>
      </c>
      <c r="G637" t="s">
        <v>1657</v>
      </c>
      <c r="H637" t="s">
        <v>316</v>
      </c>
      <c r="I637">
        <v>204.69708</v>
      </c>
    </row>
    <row r="638" spans="1:9" ht="71.25" customHeight="1">
      <c r="A638" s="1" t="str">
        <f>"Chemistry 2140"</f>
        <v>Chemistry 2140</v>
      </c>
      <c r="B638" t="s">
        <v>1659</v>
      </c>
      <c r="C638" t="s">
        <v>3</v>
      </c>
      <c r="D638" s="2">
        <v>19300</v>
      </c>
      <c r="E638" s="2">
        <v>13510</v>
      </c>
      <c r="F638" t="s">
        <v>5</v>
      </c>
      <c r="G638" t="s">
        <v>1660</v>
      </c>
      <c r="H638" t="s">
        <v>1661</v>
      </c>
      <c r="I638">
        <v>196.20648</v>
      </c>
    </row>
    <row r="639" spans="1:9" ht="74.099999999999994" customHeight="1">
      <c r="A639" s="1" t="str">
        <f>"Chemistry 2141"</f>
        <v>Chemistry 2141</v>
      </c>
      <c r="B639" t="s">
        <v>1662</v>
      </c>
      <c r="C639" t="s">
        <v>3</v>
      </c>
      <c r="D639" s="2">
        <v>19300</v>
      </c>
      <c r="E639" s="2">
        <v>13510</v>
      </c>
      <c r="F639" t="s">
        <v>5</v>
      </c>
      <c r="G639" t="s">
        <v>1663</v>
      </c>
      <c r="H639" t="s">
        <v>1664</v>
      </c>
      <c r="I639">
        <v>210.23305999999999</v>
      </c>
    </row>
    <row r="640" spans="1:9" ht="79.2" customHeight="1">
      <c r="A640" s="1" t="str">
        <f>"Chemistry 2142"</f>
        <v>Chemistry 2142</v>
      </c>
      <c r="B640" t="s">
        <v>1665</v>
      </c>
      <c r="C640" t="s">
        <v>3</v>
      </c>
      <c r="D640" s="2">
        <v>21000</v>
      </c>
      <c r="E640" s="2">
        <v>14699.999999999998</v>
      </c>
      <c r="F640" t="s">
        <v>5</v>
      </c>
      <c r="G640" t="s">
        <v>1666</v>
      </c>
      <c r="H640" t="s">
        <v>1667</v>
      </c>
      <c r="I640">
        <v>168.15332000000001</v>
      </c>
    </row>
    <row r="641" spans="1:9" ht="78.599999999999994" customHeight="1">
      <c r="A641" s="1" t="str">
        <f>"Chemistry 2145"</f>
        <v>Chemistry 2145</v>
      </c>
      <c r="B641" t="s">
        <v>1668</v>
      </c>
      <c r="C641" t="s">
        <v>3</v>
      </c>
      <c r="D641" s="2">
        <v>10500</v>
      </c>
      <c r="E641" s="2">
        <v>7349.9999999999991</v>
      </c>
      <c r="F641" t="s">
        <v>5</v>
      </c>
      <c r="G641" t="s">
        <v>1669</v>
      </c>
      <c r="H641" t="s">
        <v>1670</v>
      </c>
      <c r="I641">
        <v>216.1814</v>
      </c>
    </row>
    <row r="642" spans="1:9" ht="67.95" customHeight="1">
      <c r="A642" s="1" t="str">
        <f>"Chemistry 2147"</f>
        <v>Chemistry 2147</v>
      </c>
      <c r="B642" t="s">
        <v>1671</v>
      </c>
      <c r="C642" t="s">
        <v>3</v>
      </c>
      <c r="D642" s="2">
        <v>10500</v>
      </c>
      <c r="E642" s="2">
        <v>7349.9999999999991</v>
      </c>
      <c r="F642" t="s">
        <v>5</v>
      </c>
      <c r="G642" t="s">
        <v>1672</v>
      </c>
      <c r="H642" t="s">
        <v>160</v>
      </c>
      <c r="I642">
        <v>181.18853999999999</v>
      </c>
    </row>
    <row r="643" spans="1:9" ht="67.95" customHeight="1">
      <c r="A643" s="1" t="str">
        <f>"Chemistry 2151"</f>
        <v>Chemistry 2151</v>
      </c>
      <c r="B643" t="s">
        <v>1674</v>
      </c>
      <c r="C643" t="s">
        <v>3</v>
      </c>
      <c r="D643" s="2">
        <v>15800</v>
      </c>
      <c r="E643" s="2">
        <v>11060</v>
      </c>
      <c r="F643" t="s">
        <v>5</v>
      </c>
      <c r="G643" t="s">
        <v>1675</v>
      </c>
      <c r="H643" t="s">
        <v>1586</v>
      </c>
      <c r="I643">
        <v>197.18794</v>
      </c>
    </row>
    <row r="644" spans="1:9" ht="71.25" customHeight="1">
      <c r="A644" s="1" t="str">
        <f>"Chemistry 2153"</f>
        <v>Chemistry 2153</v>
      </c>
      <c r="B644" t="s">
        <v>1676</v>
      </c>
      <c r="C644" t="s">
        <v>3</v>
      </c>
      <c r="D644" s="2">
        <v>11400</v>
      </c>
      <c r="E644" s="2">
        <v>7979.9999999999991</v>
      </c>
      <c r="F644" t="s">
        <v>5</v>
      </c>
      <c r="G644" t="s">
        <v>1677</v>
      </c>
      <c r="H644" t="s">
        <v>1678</v>
      </c>
      <c r="I644">
        <v>221.13334</v>
      </c>
    </row>
    <row r="645" spans="1:9" ht="78.599999999999994" customHeight="1">
      <c r="A645" s="1" t="str">
        <f>"Chemistry 2155"</f>
        <v>Chemistry 2155</v>
      </c>
      <c r="B645" t="s">
        <v>1679</v>
      </c>
      <c r="C645" t="s">
        <v>3</v>
      </c>
      <c r="D645" s="2">
        <v>12300</v>
      </c>
      <c r="E645" s="2">
        <v>8610</v>
      </c>
      <c r="F645" t="s">
        <v>5</v>
      </c>
      <c r="G645" t="s">
        <v>1680</v>
      </c>
      <c r="H645" t="s">
        <v>1681</v>
      </c>
      <c r="I645">
        <v>228.19210000000001</v>
      </c>
    </row>
    <row r="646" spans="1:9" ht="55.5" customHeight="1">
      <c r="A646" s="1" t="str">
        <f>"Chemistry 2160"</f>
        <v>Chemistry 2160</v>
      </c>
      <c r="B646" t="s">
        <v>1682</v>
      </c>
      <c r="C646" t="s">
        <v>3</v>
      </c>
      <c r="D646" s="2">
        <v>15800</v>
      </c>
      <c r="E646" s="2">
        <v>11060</v>
      </c>
      <c r="F646" t="s">
        <v>5</v>
      </c>
      <c r="G646" t="s">
        <v>1683</v>
      </c>
      <c r="H646" t="s">
        <v>1523</v>
      </c>
      <c r="I646">
        <v>191.27278000000001</v>
      </c>
    </row>
    <row r="647" spans="1:9" ht="55.5" customHeight="1">
      <c r="A647" s="1" t="str">
        <f>"Chemistry 2161"</f>
        <v>Chemistry 2161</v>
      </c>
      <c r="B647" t="s">
        <v>1684</v>
      </c>
      <c r="C647" t="s">
        <v>270</v>
      </c>
      <c r="D647" s="2">
        <v>17500</v>
      </c>
      <c r="E647" s="2">
        <v>12250</v>
      </c>
      <c r="F647" t="s">
        <v>5</v>
      </c>
      <c r="G647" t="s">
        <v>1685</v>
      </c>
      <c r="H647" t="s">
        <v>1385</v>
      </c>
      <c r="I647">
        <v>265.18270999999999</v>
      </c>
    </row>
    <row r="648" spans="1:9" ht="75.3" customHeight="1">
      <c r="A648" s="1" t="str">
        <f>"Chemistry 2164"</f>
        <v>Chemistry 2164</v>
      </c>
      <c r="B648" t="s">
        <v>1686</v>
      </c>
      <c r="C648" t="s">
        <v>3</v>
      </c>
      <c r="D648" s="2">
        <v>17500</v>
      </c>
      <c r="E648" s="2">
        <v>12250</v>
      </c>
      <c r="F648" t="s">
        <v>5</v>
      </c>
      <c r="G648" t="s">
        <v>1687</v>
      </c>
      <c r="H648" t="s">
        <v>1688</v>
      </c>
      <c r="I648">
        <v>200.24</v>
      </c>
    </row>
    <row r="649" spans="1:9" ht="91.05" customHeight="1">
      <c r="A649" s="1" t="str">
        <f>"Chemistry 2173"</f>
        <v>Chemistry 2173</v>
      </c>
      <c r="B649" t="s">
        <v>1690</v>
      </c>
      <c r="C649" t="s">
        <v>128</v>
      </c>
      <c r="D649" s="2">
        <v>22800</v>
      </c>
      <c r="E649" s="2">
        <v>15959.999999999998</v>
      </c>
      <c r="F649" t="s">
        <v>5</v>
      </c>
      <c r="G649" t="s">
        <v>1691</v>
      </c>
      <c r="H649" t="s">
        <v>1611</v>
      </c>
      <c r="I649">
        <v>243.72981999999999</v>
      </c>
    </row>
    <row r="650" spans="1:9" ht="66.75" customHeight="1">
      <c r="A650" s="1" t="str">
        <f>"Chemistry 2174"</f>
        <v>Chemistry 2174</v>
      </c>
      <c r="B650" t="s">
        <v>1692</v>
      </c>
      <c r="C650" t="s">
        <v>128</v>
      </c>
      <c r="D650" s="2">
        <v>22800</v>
      </c>
      <c r="E650" s="2">
        <v>15959.999999999998</v>
      </c>
      <c r="F650" t="s">
        <v>5</v>
      </c>
      <c r="G650" t="s">
        <v>1693</v>
      </c>
      <c r="H650" t="s">
        <v>1694</v>
      </c>
      <c r="I650">
        <v>281.70179999999999</v>
      </c>
    </row>
    <row r="651" spans="1:9" ht="65.099999999999994" customHeight="1">
      <c r="A651" s="1" t="str">
        <f>"Chemistry 2175"</f>
        <v>Chemistry 2175</v>
      </c>
      <c r="B651" t="s">
        <v>1695</v>
      </c>
      <c r="C651" t="s">
        <v>128</v>
      </c>
      <c r="D651" s="2">
        <v>22800</v>
      </c>
      <c r="E651" s="2">
        <v>15959.999999999998</v>
      </c>
      <c r="F651" t="s">
        <v>5</v>
      </c>
      <c r="G651" t="s">
        <v>1696</v>
      </c>
      <c r="H651" t="s">
        <v>1694</v>
      </c>
      <c r="I651">
        <v>281.70179999999999</v>
      </c>
    </row>
    <row r="652" spans="1:9" ht="84.75" customHeight="1">
      <c r="A652" s="1" t="str">
        <f>"Chemistry 2176"</f>
        <v>Chemistry 2176</v>
      </c>
      <c r="B652" t="s">
        <v>1697</v>
      </c>
      <c r="C652" t="s">
        <v>270</v>
      </c>
      <c r="D652" s="2">
        <v>22800</v>
      </c>
      <c r="E652" s="2">
        <v>15959.999999999998</v>
      </c>
      <c r="F652" t="s">
        <v>5</v>
      </c>
      <c r="G652" t="s">
        <v>1698</v>
      </c>
      <c r="H652" t="s">
        <v>1614</v>
      </c>
      <c r="I652">
        <v>249.06095999999999</v>
      </c>
    </row>
    <row r="653" spans="1:9" ht="82.5" customHeight="1">
      <c r="A653" s="1" t="str">
        <f>"Chemistry 2179"</f>
        <v>Chemistry 2179</v>
      </c>
      <c r="B653" t="s">
        <v>1699</v>
      </c>
      <c r="C653" t="s">
        <v>3</v>
      </c>
      <c r="D653" s="2">
        <v>19300</v>
      </c>
      <c r="E653" s="2">
        <v>13510</v>
      </c>
      <c r="F653" t="s">
        <v>5</v>
      </c>
      <c r="G653" t="s">
        <v>1700</v>
      </c>
      <c r="H653" t="s">
        <v>1701</v>
      </c>
      <c r="I653">
        <v>238.25479999999999</v>
      </c>
    </row>
    <row r="654" spans="1:9" ht="82.5" customHeight="1">
      <c r="A654" s="1" t="str">
        <f>"Chemistry 2180"</f>
        <v>Chemistry 2180</v>
      </c>
      <c r="B654" t="s">
        <v>1702</v>
      </c>
      <c r="C654" t="s">
        <v>3</v>
      </c>
      <c r="D654" s="2">
        <v>19300</v>
      </c>
      <c r="E654" s="2">
        <v>13510</v>
      </c>
      <c r="F654" t="s">
        <v>5</v>
      </c>
      <c r="G654" t="s">
        <v>1703</v>
      </c>
      <c r="H654" t="s">
        <v>1701</v>
      </c>
      <c r="I654">
        <v>238.25479999999999</v>
      </c>
    </row>
    <row r="655" spans="1:9" ht="61.2" customHeight="1">
      <c r="A655" s="1" t="str">
        <f>"Chemistry 2186"</f>
        <v>Chemistry 2186</v>
      </c>
      <c r="B655" t="s">
        <v>1708</v>
      </c>
      <c r="C655" t="s">
        <v>3</v>
      </c>
      <c r="D655" s="2">
        <v>19300</v>
      </c>
      <c r="E655" s="2">
        <v>13510</v>
      </c>
      <c r="F655" t="s">
        <v>5</v>
      </c>
      <c r="G655" t="s">
        <v>1709</v>
      </c>
      <c r="H655" t="s">
        <v>1707</v>
      </c>
      <c r="I655">
        <v>284.19211999999999</v>
      </c>
    </row>
    <row r="656" spans="1:9" ht="69.599999999999994" customHeight="1">
      <c r="A656" s="1" t="str">
        <f>"Chemistry 2193"</f>
        <v>Chemistry 2193</v>
      </c>
      <c r="B656" t="s">
        <v>1711</v>
      </c>
      <c r="C656" t="s">
        <v>3</v>
      </c>
      <c r="D656" s="2">
        <v>12300</v>
      </c>
      <c r="E656" s="2">
        <v>8610</v>
      </c>
      <c r="F656" t="s">
        <v>5</v>
      </c>
      <c r="G656" t="s">
        <v>1712</v>
      </c>
      <c r="H656" t="s">
        <v>1713</v>
      </c>
      <c r="I656">
        <v>224.25633999999999</v>
      </c>
    </row>
    <row r="657" spans="1:9" ht="74.7" customHeight="1">
      <c r="A657" s="1" t="str">
        <f>"Chemistry 2197"</f>
        <v>Chemistry 2197</v>
      </c>
      <c r="B657" t="s">
        <v>1715</v>
      </c>
      <c r="C657" t="s">
        <v>128</v>
      </c>
      <c r="D657" s="2">
        <v>19300</v>
      </c>
      <c r="E657" s="2">
        <v>13510</v>
      </c>
      <c r="F657" t="s">
        <v>5</v>
      </c>
      <c r="G657" t="s">
        <v>1716</v>
      </c>
      <c r="H657" t="s">
        <v>1714</v>
      </c>
      <c r="I657">
        <v>243.73312000000001</v>
      </c>
    </row>
    <row r="658" spans="1:9" ht="61.2" customHeight="1">
      <c r="A658" s="1" t="str">
        <f>"Chemistry 2199"</f>
        <v>Chemistry 2199</v>
      </c>
      <c r="B658" t="s">
        <v>1717</v>
      </c>
      <c r="C658" t="s">
        <v>128</v>
      </c>
      <c r="D658" s="2">
        <v>28000</v>
      </c>
      <c r="E658" s="2">
        <v>16800</v>
      </c>
      <c r="F658" t="s">
        <v>5</v>
      </c>
      <c r="G658" t="s">
        <v>1718</v>
      </c>
      <c r="H658" t="s">
        <v>289</v>
      </c>
      <c r="I658">
        <v>190.6705</v>
      </c>
    </row>
    <row r="659" spans="1:9" ht="44.25" customHeight="1">
      <c r="A659" s="1" t="str">
        <f>"Chemistry 2200"</f>
        <v>Chemistry 2200</v>
      </c>
      <c r="B659" t="s">
        <v>1719</v>
      </c>
      <c r="C659" t="s">
        <v>128</v>
      </c>
      <c r="D659" s="2">
        <v>28000</v>
      </c>
      <c r="E659" s="2">
        <v>16800</v>
      </c>
      <c r="F659" t="s">
        <v>5</v>
      </c>
      <c r="G659" t="s">
        <v>1720</v>
      </c>
      <c r="H659" t="s">
        <v>1721</v>
      </c>
      <c r="I659">
        <v>191.69832</v>
      </c>
    </row>
    <row r="660" spans="1:9" ht="67.349999999999994" customHeight="1">
      <c r="A660" s="1" t="str">
        <f>"Chemistry 2205"</f>
        <v>Chemistry 2205</v>
      </c>
      <c r="B660" t="s">
        <v>1722</v>
      </c>
      <c r="C660" t="s">
        <v>3</v>
      </c>
      <c r="D660" s="2">
        <v>24500</v>
      </c>
      <c r="E660" s="2">
        <v>17150</v>
      </c>
      <c r="F660" t="s">
        <v>5</v>
      </c>
      <c r="G660" t="s">
        <v>1723</v>
      </c>
      <c r="H660" t="s">
        <v>1157</v>
      </c>
      <c r="I660">
        <v>203.24042</v>
      </c>
    </row>
    <row r="661" spans="1:9" ht="66.3" customHeight="1">
      <c r="A661" s="1" t="str">
        <f>"Chemistry 2212"</f>
        <v>Chemistry 2212</v>
      </c>
      <c r="B661" t="s">
        <v>1724</v>
      </c>
      <c r="C661" t="s">
        <v>128</v>
      </c>
      <c r="D661" s="2">
        <v>17500</v>
      </c>
      <c r="E661" s="2">
        <v>12250</v>
      </c>
      <c r="F661" t="s">
        <v>5</v>
      </c>
      <c r="G661" t="s">
        <v>1725</v>
      </c>
      <c r="H661" t="s">
        <v>1726</v>
      </c>
      <c r="I661">
        <v>231.72242</v>
      </c>
    </row>
    <row r="662" spans="1:9" ht="66.3" customHeight="1">
      <c r="A662" s="1" t="str">
        <f>"Chemistry 2213"</f>
        <v>Chemistry 2213</v>
      </c>
      <c r="B662" t="s">
        <v>1727</v>
      </c>
      <c r="C662" t="s">
        <v>128</v>
      </c>
      <c r="D662" s="2">
        <v>17500</v>
      </c>
      <c r="E662" s="2">
        <v>12250</v>
      </c>
      <c r="F662" t="s">
        <v>5</v>
      </c>
      <c r="G662" t="s">
        <v>1728</v>
      </c>
      <c r="H662" t="s">
        <v>1714</v>
      </c>
      <c r="I662">
        <v>243.73312000000001</v>
      </c>
    </row>
    <row r="663" spans="1:9" ht="86.55" customHeight="1">
      <c r="A663" s="1" t="str">
        <f>"Chemistry 2219"</f>
        <v>Chemistry 2219</v>
      </c>
      <c r="B663" t="s">
        <v>1729</v>
      </c>
      <c r="C663" t="s">
        <v>3</v>
      </c>
      <c r="D663" s="2">
        <v>12300</v>
      </c>
      <c r="E663" s="2">
        <v>8610</v>
      </c>
      <c r="F663" t="s">
        <v>5</v>
      </c>
      <c r="G663" t="s">
        <v>1730</v>
      </c>
      <c r="H663" t="s">
        <v>1594</v>
      </c>
      <c r="I663">
        <v>193.19924</v>
      </c>
    </row>
    <row r="664" spans="1:9" ht="75.3" customHeight="1">
      <c r="A664" s="1" t="str">
        <f>"Chemistry 2221"</f>
        <v>Chemistry 2221</v>
      </c>
      <c r="B664" t="s">
        <v>1731</v>
      </c>
      <c r="C664" t="s">
        <v>3</v>
      </c>
      <c r="D664" s="2">
        <v>15800</v>
      </c>
      <c r="E664" s="2">
        <v>11060</v>
      </c>
      <c r="F664" t="s">
        <v>5</v>
      </c>
      <c r="G664" t="s">
        <v>1732</v>
      </c>
      <c r="H664" t="s">
        <v>1678</v>
      </c>
      <c r="I664">
        <v>221.13334</v>
      </c>
    </row>
    <row r="665" spans="1:9" ht="75.3" customHeight="1">
      <c r="A665" s="1" t="str">
        <f>"Chemistry 2222"</f>
        <v>Chemistry 2222</v>
      </c>
      <c r="B665" t="s">
        <v>1733</v>
      </c>
      <c r="C665" t="s">
        <v>3</v>
      </c>
      <c r="D665" s="2">
        <v>15800</v>
      </c>
      <c r="E665" s="2">
        <v>11060</v>
      </c>
      <c r="F665" t="s">
        <v>5</v>
      </c>
      <c r="G665" t="s">
        <v>1734</v>
      </c>
      <c r="H665" t="s">
        <v>1594</v>
      </c>
      <c r="I665">
        <v>193.19924</v>
      </c>
    </row>
    <row r="666" spans="1:9" ht="85.95" customHeight="1">
      <c r="A666" s="1" t="str">
        <f>"Chemistry 2224"</f>
        <v>Chemistry 2224</v>
      </c>
      <c r="B666" t="s">
        <v>1735</v>
      </c>
      <c r="C666" t="s">
        <v>3</v>
      </c>
      <c r="D666" s="2">
        <v>15800</v>
      </c>
      <c r="E666" s="2">
        <v>11060</v>
      </c>
      <c r="F666" t="s">
        <v>5</v>
      </c>
      <c r="G666" t="s">
        <v>1736</v>
      </c>
      <c r="H666" t="s">
        <v>1594</v>
      </c>
      <c r="I666">
        <v>193.19924</v>
      </c>
    </row>
    <row r="667" spans="1:9" ht="67.95" customHeight="1">
      <c r="A667" s="1" t="str">
        <f>"Chemistry 2225"</f>
        <v>Chemistry 2225</v>
      </c>
      <c r="B667" t="s">
        <v>1737</v>
      </c>
      <c r="C667" t="s">
        <v>3</v>
      </c>
      <c r="D667" s="2">
        <v>15800</v>
      </c>
      <c r="E667" s="2">
        <v>11060</v>
      </c>
      <c r="F667" t="s">
        <v>5</v>
      </c>
      <c r="G667" t="s">
        <v>1738</v>
      </c>
      <c r="H667" t="s">
        <v>1678</v>
      </c>
      <c r="I667">
        <v>221.13334</v>
      </c>
    </row>
    <row r="668" spans="1:9" ht="67.95" customHeight="1">
      <c r="A668" s="1" t="str">
        <f>"Chemistry 2226"</f>
        <v>Chemistry 2226</v>
      </c>
      <c r="B668" t="s">
        <v>1739</v>
      </c>
      <c r="C668" t="s">
        <v>3</v>
      </c>
      <c r="D668" s="2">
        <v>15800</v>
      </c>
      <c r="E668" s="2">
        <v>11060</v>
      </c>
      <c r="F668" t="s">
        <v>5</v>
      </c>
      <c r="G668" t="s">
        <v>1740</v>
      </c>
      <c r="H668" t="s">
        <v>1594</v>
      </c>
      <c r="I668">
        <v>193.19924</v>
      </c>
    </row>
    <row r="669" spans="1:9" ht="72.45" customHeight="1">
      <c r="A669" s="1" t="str">
        <f>"Chemistry 2228"</f>
        <v>Chemistry 2228</v>
      </c>
      <c r="B669" t="s">
        <v>1741</v>
      </c>
      <c r="C669" t="s">
        <v>3</v>
      </c>
      <c r="D669" s="2">
        <v>15800</v>
      </c>
      <c r="E669" s="2">
        <v>11060</v>
      </c>
      <c r="F669" t="s">
        <v>5</v>
      </c>
      <c r="G669" t="s">
        <v>1742</v>
      </c>
      <c r="H669" t="s">
        <v>1743</v>
      </c>
      <c r="I669">
        <v>237.2518</v>
      </c>
    </row>
    <row r="670" spans="1:9" ht="78.599999999999994" customHeight="1">
      <c r="A670" s="1" t="str">
        <f>"Chemistry 2229"</f>
        <v>Chemistry 2229</v>
      </c>
      <c r="B670" t="s">
        <v>1744</v>
      </c>
      <c r="C670" t="s">
        <v>3</v>
      </c>
      <c r="D670" s="2">
        <v>15800</v>
      </c>
      <c r="E670" s="2">
        <v>11060</v>
      </c>
      <c r="F670" t="s">
        <v>5</v>
      </c>
      <c r="G670" t="s">
        <v>1745</v>
      </c>
      <c r="H670" t="s">
        <v>1746</v>
      </c>
      <c r="I670">
        <v>216.19281000000001</v>
      </c>
    </row>
    <row r="671" spans="1:9" ht="75.75" customHeight="1">
      <c r="A671" s="1" t="str">
        <f>"Chemistry 2233"</f>
        <v>Chemistry 2233</v>
      </c>
      <c r="B671" t="s">
        <v>1747</v>
      </c>
      <c r="C671" t="s">
        <v>3</v>
      </c>
      <c r="D671" s="2">
        <v>11400</v>
      </c>
      <c r="E671" s="2">
        <v>7979.9999999999991</v>
      </c>
      <c r="F671" t="s">
        <v>5</v>
      </c>
      <c r="G671" t="s">
        <v>1748</v>
      </c>
      <c r="H671" t="s">
        <v>1743</v>
      </c>
      <c r="I671">
        <v>237.2518</v>
      </c>
    </row>
    <row r="672" spans="1:9" ht="71.25" customHeight="1">
      <c r="A672" s="1" t="str">
        <f>"Chemistry 2234"</f>
        <v>Chemistry 2234</v>
      </c>
      <c r="B672" t="s">
        <v>1749</v>
      </c>
      <c r="C672" t="s">
        <v>3</v>
      </c>
      <c r="D672" s="2">
        <v>11400</v>
      </c>
      <c r="E672" s="2">
        <v>7979.9999999999991</v>
      </c>
      <c r="F672" t="s">
        <v>5</v>
      </c>
      <c r="G672" t="s">
        <v>1750</v>
      </c>
      <c r="H672" t="s">
        <v>1594</v>
      </c>
      <c r="I672">
        <v>193.19924</v>
      </c>
    </row>
    <row r="673" spans="1:9" ht="67.349999999999994" customHeight="1">
      <c r="A673" s="1" t="str">
        <f>"Chemistry 2236"</f>
        <v>Chemistry 2236</v>
      </c>
      <c r="B673" t="s">
        <v>1751</v>
      </c>
      <c r="C673" t="s">
        <v>3</v>
      </c>
      <c r="D673" s="2">
        <v>17500</v>
      </c>
      <c r="E673" s="2">
        <v>12250</v>
      </c>
      <c r="F673" t="s">
        <v>5</v>
      </c>
      <c r="G673" t="s">
        <v>1752</v>
      </c>
      <c r="H673" t="s">
        <v>67</v>
      </c>
      <c r="I673">
        <v>209.25994</v>
      </c>
    </row>
    <row r="674" spans="1:9" ht="91.5" customHeight="1">
      <c r="A674" s="1" t="str">
        <f>"Chemistry 2239"</f>
        <v>Chemistry 2239</v>
      </c>
      <c r="B674" t="s">
        <v>1753</v>
      </c>
      <c r="C674" t="s">
        <v>3</v>
      </c>
      <c r="D674" s="2">
        <v>17500</v>
      </c>
      <c r="E674" s="2">
        <v>12250</v>
      </c>
      <c r="F674" t="s">
        <v>5</v>
      </c>
      <c r="G674" t="s">
        <v>1754</v>
      </c>
      <c r="H674" t="s">
        <v>1551</v>
      </c>
      <c r="I674">
        <v>274.23572000000001</v>
      </c>
    </row>
    <row r="675" spans="1:9" ht="67.349999999999994" customHeight="1">
      <c r="A675" s="1" t="str">
        <f>"Chemistry 2240"</f>
        <v>Chemistry 2240</v>
      </c>
      <c r="B675" t="s">
        <v>1755</v>
      </c>
      <c r="C675" t="s">
        <v>128</v>
      </c>
      <c r="D675" s="2">
        <v>17500</v>
      </c>
      <c r="E675" s="2">
        <v>12250</v>
      </c>
      <c r="F675" t="s">
        <v>5</v>
      </c>
      <c r="G675" t="s">
        <v>1756</v>
      </c>
      <c r="H675" t="s">
        <v>1542</v>
      </c>
      <c r="I675">
        <v>306.62648000000002</v>
      </c>
    </row>
    <row r="676" spans="1:9" ht="61.8" customHeight="1">
      <c r="A676" s="1" t="str">
        <f>"Chemistry 2244"</f>
        <v>Chemistry 2244</v>
      </c>
      <c r="B676" t="s">
        <v>1757</v>
      </c>
      <c r="C676" t="s">
        <v>128</v>
      </c>
      <c r="D676" s="2">
        <v>17500</v>
      </c>
      <c r="E676" s="2">
        <v>12250</v>
      </c>
      <c r="F676" t="s">
        <v>5</v>
      </c>
      <c r="G676" t="s">
        <v>1758</v>
      </c>
      <c r="H676" t="s">
        <v>1544</v>
      </c>
      <c r="I676">
        <v>295.72838000000002</v>
      </c>
    </row>
    <row r="677" spans="1:9" ht="82.5" customHeight="1">
      <c r="A677" s="1" t="str">
        <f>"Chemistry 2253"</f>
        <v>Chemistry 2253</v>
      </c>
      <c r="B677" t="s">
        <v>1760</v>
      </c>
      <c r="C677" t="s">
        <v>3</v>
      </c>
      <c r="D677" s="2">
        <v>19300</v>
      </c>
      <c r="E677" s="2">
        <v>13510</v>
      </c>
      <c r="F677" t="s">
        <v>5</v>
      </c>
      <c r="G677" t="s">
        <v>1761</v>
      </c>
      <c r="H677" t="s">
        <v>1759</v>
      </c>
      <c r="I677">
        <v>288.26229999999998</v>
      </c>
    </row>
    <row r="678" spans="1:9" ht="82.5" customHeight="1">
      <c r="A678" s="1" t="str">
        <f>"Chemistry 2254"</f>
        <v>Chemistry 2254</v>
      </c>
      <c r="B678" t="s">
        <v>1762</v>
      </c>
      <c r="C678" t="s">
        <v>3</v>
      </c>
      <c r="D678" s="2">
        <v>21000</v>
      </c>
      <c r="E678" s="2">
        <v>14699.999999999998</v>
      </c>
      <c r="F678" t="s">
        <v>5</v>
      </c>
      <c r="G678" t="s">
        <v>1763</v>
      </c>
      <c r="H678" t="s">
        <v>1764</v>
      </c>
      <c r="I678">
        <v>158.19496000000001</v>
      </c>
    </row>
    <row r="679" spans="1:9" ht="82.5" customHeight="1">
      <c r="A679" s="1" t="str">
        <f>"Chemistry 2255"</f>
        <v>Chemistry 2255</v>
      </c>
      <c r="B679" t="s">
        <v>1765</v>
      </c>
      <c r="C679" t="s">
        <v>3</v>
      </c>
      <c r="D679" s="2">
        <v>21000</v>
      </c>
      <c r="E679" s="2">
        <v>14699.999999999998</v>
      </c>
      <c r="F679" t="s">
        <v>5</v>
      </c>
      <c r="G679" t="s">
        <v>1766</v>
      </c>
      <c r="H679" t="s">
        <v>1767</v>
      </c>
      <c r="I679">
        <v>186.24812</v>
      </c>
    </row>
    <row r="680" spans="1:9" ht="82.5" customHeight="1">
      <c r="A680" s="1" t="str">
        <f>"Chemistry 2256"</f>
        <v>Chemistry 2256</v>
      </c>
      <c r="B680" t="s">
        <v>1768</v>
      </c>
      <c r="C680" t="s">
        <v>3</v>
      </c>
      <c r="D680" s="2">
        <v>21000</v>
      </c>
      <c r="E680" s="2">
        <v>14699.999999999998</v>
      </c>
      <c r="F680" t="s">
        <v>5</v>
      </c>
      <c r="G680" t="s">
        <v>1769</v>
      </c>
      <c r="H680" t="s">
        <v>1770</v>
      </c>
      <c r="I680">
        <v>184.23223999999999</v>
      </c>
    </row>
    <row r="681" spans="1:9" ht="44.25" customHeight="1">
      <c r="A681" s="1" t="str">
        <f>"Chemistry 2257"</f>
        <v>Chemistry 2257</v>
      </c>
      <c r="B681" t="s">
        <v>1771</v>
      </c>
      <c r="C681" t="s">
        <v>128</v>
      </c>
      <c r="D681" s="2">
        <v>17500</v>
      </c>
      <c r="E681" s="2">
        <v>12250</v>
      </c>
      <c r="F681" t="s">
        <v>5</v>
      </c>
      <c r="G681" t="s">
        <v>1772</v>
      </c>
      <c r="H681" t="s">
        <v>1437</v>
      </c>
      <c r="I681">
        <v>165.66103000000001</v>
      </c>
    </row>
    <row r="682" spans="1:9" ht="45.45" customHeight="1">
      <c r="A682" s="1" t="str">
        <f>"Chemistry 2258"</f>
        <v>Chemistry 2258</v>
      </c>
      <c r="B682" t="s">
        <v>1773</v>
      </c>
      <c r="C682" t="s">
        <v>128</v>
      </c>
      <c r="D682" s="2">
        <v>17500</v>
      </c>
      <c r="E682" s="2">
        <v>12250</v>
      </c>
      <c r="F682" t="s">
        <v>5</v>
      </c>
      <c r="G682" t="s">
        <v>1774</v>
      </c>
      <c r="H682" t="s">
        <v>1775</v>
      </c>
      <c r="I682">
        <v>193.71420000000001</v>
      </c>
    </row>
    <row r="683" spans="1:9" ht="56.7" customHeight="1">
      <c r="A683" s="1" t="str">
        <f>"Chemistry 2259"</f>
        <v>Chemistry 2259</v>
      </c>
      <c r="B683" t="s">
        <v>1776</v>
      </c>
      <c r="C683" t="s">
        <v>128</v>
      </c>
      <c r="D683" s="2">
        <v>15800</v>
      </c>
      <c r="E683" s="2">
        <v>11060</v>
      </c>
      <c r="F683" t="s">
        <v>5</v>
      </c>
      <c r="G683" t="s">
        <v>1777</v>
      </c>
      <c r="H683" t="s">
        <v>1778</v>
      </c>
      <c r="I683">
        <v>179.68762000000001</v>
      </c>
    </row>
    <row r="684" spans="1:9" ht="61.2" customHeight="1">
      <c r="A684" s="1" t="str">
        <f>"Chemistry 2260"</f>
        <v>Chemistry 2260</v>
      </c>
      <c r="B684" t="s">
        <v>1779</v>
      </c>
      <c r="C684" t="s">
        <v>128</v>
      </c>
      <c r="D684" s="2">
        <v>15800</v>
      </c>
      <c r="E684" s="2">
        <v>11060</v>
      </c>
      <c r="F684" t="s">
        <v>5</v>
      </c>
      <c r="G684" t="s">
        <v>1780</v>
      </c>
      <c r="H684" t="s">
        <v>1781</v>
      </c>
      <c r="I684">
        <v>207.74078</v>
      </c>
    </row>
    <row r="685" spans="1:9" ht="60" customHeight="1">
      <c r="A685" s="1" t="str">
        <f>"Chemistry 2261"</f>
        <v>Chemistry 2261</v>
      </c>
      <c r="B685" t="s">
        <v>1782</v>
      </c>
      <c r="C685" t="s">
        <v>3</v>
      </c>
      <c r="D685" s="2">
        <v>15800</v>
      </c>
      <c r="E685" s="2">
        <v>11060</v>
      </c>
      <c r="F685" t="s">
        <v>5</v>
      </c>
      <c r="G685" t="s">
        <v>1783</v>
      </c>
      <c r="H685" t="s">
        <v>1784</v>
      </c>
      <c r="I685">
        <v>169.26396</v>
      </c>
    </row>
    <row r="686" spans="1:9" ht="80.25" customHeight="1">
      <c r="A686" s="1" t="str">
        <f>"Chemistry 2263"</f>
        <v>Chemistry 2263</v>
      </c>
      <c r="B686" t="s">
        <v>1785</v>
      </c>
      <c r="C686" t="s">
        <v>128</v>
      </c>
      <c r="D686" s="2">
        <v>15800</v>
      </c>
      <c r="E686" s="2">
        <v>11060</v>
      </c>
      <c r="F686" t="s">
        <v>5</v>
      </c>
      <c r="G686" t="s">
        <v>1786</v>
      </c>
      <c r="H686" t="s">
        <v>1706</v>
      </c>
      <c r="I686">
        <v>259.74745999999999</v>
      </c>
    </row>
    <row r="687" spans="1:9" ht="69.599999999999994" customHeight="1">
      <c r="A687" s="1" t="str">
        <f>"Chemistry 2266"</f>
        <v>Chemistry 2266</v>
      </c>
      <c r="B687" t="s">
        <v>1788</v>
      </c>
      <c r="C687" t="s">
        <v>3</v>
      </c>
      <c r="D687" s="2">
        <v>12300</v>
      </c>
      <c r="E687" s="2">
        <v>8610</v>
      </c>
      <c r="F687" t="s">
        <v>5</v>
      </c>
      <c r="G687" t="s">
        <v>1789</v>
      </c>
      <c r="H687" t="s">
        <v>1194</v>
      </c>
      <c r="I687">
        <v>218.20869999999999</v>
      </c>
    </row>
    <row r="688" spans="1:9" ht="83.7" customHeight="1">
      <c r="A688" s="1" t="str">
        <f>"Chemistry 2276"</f>
        <v>Chemistry 2276</v>
      </c>
      <c r="B688" t="s">
        <v>1791</v>
      </c>
      <c r="C688" t="s">
        <v>3</v>
      </c>
      <c r="D688" s="2">
        <v>28000</v>
      </c>
      <c r="E688" s="2">
        <v>16800</v>
      </c>
      <c r="F688" t="s">
        <v>5</v>
      </c>
      <c r="G688" t="s">
        <v>1792</v>
      </c>
      <c r="H688" t="s">
        <v>256</v>
      </c>
      <c r="I688">
        <v>254.36843999999999</v>
      </c>
    </row>
    <row r="689" spans="1:9" ht="74.7" customHeight="1">
      <c r="A689" s="1" t="str">
        <f>"Chemistry 2286"</f>
        <v>Chemistry 2286</v>
      </c>
      <c r="B689" t="s">
        <v>1794</v>
      </c>
      <c r="C689" t="s">
        <v>3</v>
      </c>
      <c r="D689" s="2">
        <v>26300</v>
      </c>
      <c r="E689" s="2">
        <v>15780</v>
      </c>
      <c r="F689" t="s">
        <v>5</v>
      </c>
      <c r="G689" t="s">
        <v>1795</v>
      </c>
      <c r="H689" t="s">
        <v>1796</v>
      </c>
      <c r="I689">
        <v>208.3</v>
      </c>
    </row>
    <row r="690" spans="1:9" ht="50.55" customHeight="1">
      <c r="A690" s="1" t="str">
        <f>"Chemistry 2288"</f>
        <v>Chemistry 2288</v>
      </c>
      <c r="B690" t="s">
        <v>1797</v>
      </c>
      <c r="C690" t="s">
        <v>128</v>
      </c>
      <c r="D690" s="2">
        <v>17500</v>
      </c>
      <c r="E690" s="2">
        <v>12250</v>
      </c>
      <c r="F690" t="s">
        <v>5</v>
      </c>
      <c r="G690" t="s">
        <v>1798</v>
      </c>
      <c r="H690" t="s">
        <v>1799</v>
      </c>
      <c r="I690">
        <v>217.69584</v>
      </c>
    </row>
    <row r="691" spans="1:9" ht="53.25" customHeight="1">
      <c r="A691" s="1" t="str">
        <f>"Chemistry 2289"</f>
        <v>Chemistry 2289</v>
      </c>
      <c r="B691" t="s">
        <v>1800</v>
      </c>
      <c r="C691" t="s">
        <v>128</v>
      </c>
      <c r="D691" s="2">
        <v>17500</v>
      </c>
      <c r="E691" s="2">
        <v>12250</v>
      </c>
      <c r="F691" t="s">
        <v>5</v>
      </c>
      <c r="G691" t="s">
        <v>1801</v>
      </c>
      <c r="H691" t="s">
        <v>1638</v>
      </c>
      <c r="I691">
        <v>245.749</v>
      </c>
    </row>
    <row r="692" spans="1:9" ht="66.3" customHeight="1">
      <c r="A692" s="1" t="str">
        <f>"Chemistry 2290"</f>
        <v>Chemistry 2290</v>
      </c>
      <c r="B692" t="s">
        <v>1802</v>
      </c>
      <c r="C692" t="s">
        <v>128</v>
      </c>
      <c r="D692" s="2">
        <v>17500</v>
      </c>
      <c r="E692" s="2">
        <v>12250</v>
      </c>
      <c r="F692" t="s">
        <v>5</v>
      </c>
      <c r="G692" t="s">
        <v>1803</v>
      </c>
      <c r="H692" t="s">
        <v>1726</v>
      </c>
      <c r="I692">
        <v>231.72242</v>
      </c>
    </row>
    <row r="693" spans="1:9" ht="63.45" customHeight="1">
      <c r="A693" s="1" t="str">
        <f>"Chemistry 2291"</f>
        <v>Chemistry 2291</v>
      </c>
      <c r="B693" t="s">
        <v>1804</v>
      </c>
      <c r="C693" t="s">
        <v>128</v>
      </c>
      <c r="D693" s="2">
        <v>17500</v>
      </c>
      <c r="E693" s="2">
        <v>12250</v>
      </c>
      <c r="F693" t="s">
        <v>5</v>
      </c>
      <c r="G693" t="s">
        <v>1805</v>
      </c>
      <c r="H693" t="s">
        <v>1638</v>
      </c>
      <c r="I693">
        <v>245.749</v>
      </c>
    </row>
    <row r="694" spans="1:9" ht="53.25" customHeight="1">
      <c r="A694" s="1" t="str">
        <f>"Chemistry 2295"</f>
        <v>Chemistry 2295</v>
      </c>
      <c r="B694" t="s">
        <v>1807</v>
      </c>
      <c r="C694" t="s">
        <v>128</v>
      </c>
      <c r="D694" s="2">
        <v>17500</v>
      </c>
      <c r="E694" s="2">
        <v>12250</v>
      </c>
      <c r="F694" t="s">
        <v>5</v>
      </c>
      <c r="G694" t="s">
        <v>1808</v>
      </c>
      <c r="H694" t="s">
        <v>1638</v>
      </c>
      <c r="I694">
        <v>245.749</v>
      </c>
    </row>
    <row r="695" spans="1:9" ht="63.45" customHeight="1">
      <c r="A695" s="1" t="str">
        <f>"Chemistry 2296"</f>
        <v>Chemistry 2296</v>
      </c>
      <c r="B695" t="s">
        <v>1809</v>
      </c>
      <c r="C695" t="s">
        <v>128</v>
      </c>
      <c r="D695" s="2">
        <v>17500</v>
      </c>
      <c r="E695" s="2">
        <v>12250</v>
      </c>
      <c r="F695" t="s">
        <v>5</v>
      </c>
      <c r="G695" t="s">
        <v>1810</v>
      </c>
      <c r="H695" t="s">
        <v>1638</v>
      </c>
      <c r="I695">
        <v>245.749</v>
      </c>
    </row>
    <row r="696" spans="1:9" ht="65.099999999999994" customHeight="1">
      <c r="A696" s="1" t="str">
        <f>"Chemistry 2297"</f>
        <v>Chemistry 2297</v>
      </c>
      <c r="B696" t="s">
        <v>1811</v>
      </c>
      <c r="C696" t="s">
        <v>128</v>
      </c>
      <c r="D696" s="2">
        <v>17500</v>
      </c>
      <c r="E696" s="2">
        <v>12250</v>
      </c>
      <c r="F696" t="s">
        <v>5</v>
      </c>
      <c r="G696" t="s">
        <v>1812</v>
      </c>
      <c r="H696" t="s">
        <v>1528</v>
      </c>
      <c r="I696">
        <v>229.70653999999999</v>
      </c>
    </row>
    <row r="697" spans="1:9" ht="82.5" customHeight="1">
      <c r="A697" s="1" t="str">
        <f>"Chemistry 2298"</f>
        <v>Chemistry 2298</v>
      </c>
      <c r="B697" t="s">
        <v>1813</v>
      </c>
      <c r="C697" t="s">
        <v>128</v>
      </c>
      <c r="D697" s="2">
        <v>24500</v>
      </c>
      <c r="E697" s="2">
        <v>17150</v>
      </c>
      <c r="F697" t="s">
        <v>5</v>
      </c>
      <c r="G697" t="s">
        <v>1814</v>
      </c>
      <c r="H697" t="s">
        <v>1793</v>
      </c>
      <c r="I697">
        <v>272.69504000000001</v>
      </c>
    </row>
    <row r="698" spans="1:9" ht="71.25" customHeight="1">
      <c r="A698" s="1" t="str">
        <f>"Chemistry 2304"</f>
        <v>Chemistry 2304</v>
      </c>
      <c r="B698" t="s">
        <v>1815</v>
      </c>
      <c r="C698" t="s">
        <v>3</v>
      </c>
      <c r="D698" s="2">
        <v>15800</v>
      </c>
      <c r="E698" s="2">
        <v>11060</v>
      </c>
      <c r="F698" t="s">
        <v>5</v>
      </c>
      <c r="G698" t="s">
        <v>1816</v>
      </c>
      <c r="H698" t="s">
        <v>1168</v>
      </c>
      <c r="I698">
        <v>195.17205999999999</v>
      </c>
    </row>
    <row r="699" spans="1:9" ht="67.349999999999994" customHeight="1">
      <c r="A699" s="1" t="str">
        <f>"Chemistry 2308"</f>
        <v>Chemistry 2308</v>
      </c>
      <c r="B699" t="s">
        <v>1817</v>
      </c>
      <c r="C699" t="s">
        <v>128</v>
      </c>
      <c r="D699" s="2">
        <v>17500</v>
      </c>
      <c r="E699" s="2">
        <v>12250</v>
      </c>
      <c r="F699" t="s">
        <v>5</v>
      </c>
      <c r="G699" t="s">
        <v>1818</v>
      </c>
      <c r="H699" t="s">
        <v>1542</v>
      </c>
      <c r="I699">
        <v>306.62648000000002</v>
      </c>
    </row>
    <row r="700" spans="1:9" ht="82.5" customHeight="1">
      <c r="A700" s="1" t="str">
        <f>"Chemistry 2310"</f>
        <v>Chemistry 2310</v>
      </c>
      <c r="B700" t="s">
        <v>1819</v>
      </c>
      <c r="C700" t="s">
        <v>3</v>
      </c>
      <c r="D700" s="2">
        <v>19300</v>
      </c>
      <c r="E700" s="2">
        <v>13510</v>
      </c>
      <c r="F700" t="s">
        <v>5</v>
      </c>
      <c r="G700" t="s">
        <v>1820</v>
      </c>
      <c r="H700" t="s">
        <v>1821</v>
      </c>
      <c r="I700">
        <v>220.26434</v>
      </c>
    </row>
    <row r="701" spans="1:9" ht="91.5" customHeight="1">
      <c r="A701" s="1" t="str">
        <f>"Chemistry 2311"</f>
        <v>Chemistry 2311</v>
      </c>
      <c r="B701" t="s">
        <v>1822</v>
      </c>
      <c r="C701" t="s">
        <v>3</v>
      </c>
      <c r="D701" s="2">
        <v>19300</v>
      </c>
      <c r="E701" s="2">
        <v>13510</v>
      </c>
      <c r="F701" t="s">
        <v>5</v>
      </c>
      <c r="G701" t="s">
        <v>1823</v>
      </c>
      <c r="H701" t="s">
        <v>1704</v>
      </c>
      <c r="I701">
        <v>299.16039999999998</v>
      </c>
    </row>
    <row r="702" spans="1:9" ht="82.5" customHeight="1">
      <c r="A702" s="1" t="str">
        <f>"Chemistry 2312"</f>
        <v>Chemistry 2312</v>
      </c>
      <c r="B702" t="s">
        <v>1824</v>
      </c>
      <c r="C702" t="s">
        <v>3</v>
      </c>
      <c r="D702" s="2">
        <v>21000</v>
      </c>
      <c r="E702" s="2">
        <v>14699.999999999998</v>
      </c>
      <c r="F702" t="s">
        <v>5</v>
      </c>
      <c r="G702" t="s">
        <v>1825</v>
      </c>
      <c r="H702" t="s">
        <v>1826</v>
      </c>
      <c r="I702">
        <v>174.19435999999999</v>
      </c>
    </row>
    <row r="703" spans="1:9" ht="82.5" customHeight="1">
      <c r="A703" s="1" t="str">
        <f>"Chemistry 2313"</f>
        <v>Chemistry 2313</v>
      </c>
      <c r="B703" t="s">
        <v>1827</v>
      </c>
      <c r="C703" t="s">
        <v>3</v>
      </c>
      <c r="D703" s="2">
        <v>21000</v>
      </c>
      <c r="E703" s="2">
        <v>14699.999999999998</v>
      </c>
      <c r="F703" t="s">
        <v>5</v>
      </c>
      <c r="G703" t="s">
        <v>1828</v>
      </c>
      <c r="H703" t="s">
        <v>1829</v>
      </c>
      <c r="I703">
        <v>198.25881999999999</v>
      </c>
    </row>
    <row r="704" spans="1:9" ht="45.45" customHeight="1">
      <c r="A704" s="1" t="str">
        <f>"Chemistry 2314"</f>
        <v>Chemistry 2314</v>
      </c>
      <c r="B704" t="s">
        <v>1830</v>
      </c>
      <c r="C704" t="s">
        <v>128</v>
      </c>
      <c r="D704" s="2">
        <v>17500</v>
      </c>
      <c r="E704" s="2">
        <v>12250</v>
      </c>
      <c r="F704" t="s">
        <v>5</v>
      </c>
      <c r="G704" t="s">
        <v>1831</v>
      </c>
      <c r="H704" t="s">
        <v>1832</v>
      </c>
      <c r="I704">
        <v>181.66043999999999</v>
      </c>
    </row>
    <row r="705" spans="1:9" ht="44.25" customHeight="1">
      <c r="A705" s="1" t="str">
        <f>"Chemistry 2315"</f>
        <v>Chemistry 2315</v>
      </c>
      <c r="B705" t="s">
        <v>1833</v>
      </c>
      <c r="C705" t="s">
        <v>3</v>
      </c>
      <c r="D705" s="2">
        <v>17500</v>
      </c>
      <c r="E705" s="2">
        <v>12250</v>
      </c>
      <c r="F705" t="s">
        <v>5</v>
      </c>
      <c r="G705" t="s">
        <v>1834</v>
      </c>
      <c r="H705" t="s">
        <v>1835</v>
      </c>
      <c r="I705">
        <v>155.23738</v>
      </c>
    </row>
    <row r="706" spans="1:9" ht="61.2" customHeight="1">
      <c r="A706" s="1" t="str">
        <f>"Chemistry 2317"</f>
        <v>Chemistry 2317</v>
      </c>
      <c r="B706" t="s">
        <v>1836</v>
      </c>
      <c r="C706" t="s">
        <v>128</v>
      </c>
      <c r="D706" s="2">
        <v>15800</v>
      </c>
      <c r="E706" s="2">
        <v>11060</v>
      </c>
      <c r="F706" t="s">
        <v>5</v>
      </c>
      <c r="G706" t="s">
        <v>1837</v>
      </c>
      <c r="H706" t="s">
        <v>1838</v>
      </c>
      <c r="I706">
        <v>195.68701999999999</v>
      </c>
    </row>
    <row r="707" spans="1:9" ht="80.25" customHeight="1">
      <c r="A707" s="1" t="str">
        <f>"Chemistry 2319"</f>
        <v>Chemistry 2319</v>
      </c>
      <c r="B707" t="s">
        <v>1840</v>
      </c>
      <c r="C707" t="s">
        <v>128</v>
      </c>
      <c r="D707" s="2">
        <v>15800</v>
      </c>
      <c r="E707" s="2">
        <v>11060</v>
      </c>
      <c r="F707" t="s">
        <v>5</v>
      </c>
      <c r="G707" t="s">
        <v>1841</v>
      </c>
      <c r="H707" t="s">
        <v>1842</v>
      </c>
      <c r="I707">
        <v>320.65305999999998</v>
      </c>
    </row>
    <row r="708" spans="1:9" ht="65.099999999999994" customHeight="1">
      <c r="A708" s="1" t="str">
        <f>"Chemistry 2320"</f>
        <v>Chemistry 2320</v>
      </c>
      <c r="B708" t="s">
        <v>1843</v>
      </c>
      <c r="C708" t="s">
        <v>3</v>
      </c>
      <c r="D708" s="2">
        <v>10500</v>
      </c>
      <c r="E708" s="2">
        <v>7349.9999999999991</v>
      </c>
      <c r="F708" t="s">
        <v>5</v>
      </c>
      <c r="G708" t="s">
        <v>1844</v>
      </c>
      <c r="H708" t="s">
        <v>1845</v>
      </c>
      <c r="I708">
        <v>142.07980000000001</v>
      </c>
    </row>
    <row r="709" spans="1:9" ht="69.599999999999994" customHeight="1">
      <c r="A709" s="1" t="str">
        <f>"Chemistry 2325"</f>
        <v>Chemistry 2325</v>
      </c>
      <c r="B709" t="s">
        <v>1847</v>
      </c>
      <c r="C709" t="s">
        <v>3</v>
      </c>
      <c r="D709" s="2">
        <v>12300</v>
      </c>
      <c r="E709" s="2">
        <v>8610</v>
      </c>
      <c r="F709" t="s">
        <v>5</v>
      </c>
      <c r="G709" t="s">
        <v>1848</v>
      </c>
      <c r="H709" t="s">
        <v>1790</v>
      </c>
      <c r="I709">
        <v>219.19676000000001</v>
      </c>
    </row>
    <row r="710" spans="1:9" ht="63.45" customHeight="1">
      <c r="A710" s="1" t="str">
        <f>"Chemistry 2332"</f>
        <v>Chemistry 2332</v>
      </c>
      <c r="B710" t="s">
        <v>1850</v>
      </c>
      <c r="C710" t="s">
        <v>128</v>
      </c>
      <c r="D710" s="2">
        <v>19300</v>
      </c>
      <c r="E710" s="2">
        <v>13510</v>
      </c>
      <c r="F710" t="s">
        <v>5</v>
      </c>
      <c r="G710" t="s">
        <v>1851</v>
      </c>
      <c r="H710" t="s">
        <v>1638</v>
      </c>
      <c r="I710">
        <v>245.749</v>
      </c>
    </row>
    <row r="711" spans="1:9" ht="63.45" customHeight="1">
      <c r="A711" s="1" t="str">
        <f>"Chemistry 2335"</f>
        <v>Chemistry 2335</v>
      </c>
      <c r="B711" t="s">
        <v>1852</v>
      </c>
      <c r="C711" t="s">
        <v>3</v>
      </c>
      <c r="D711" s="2">
        <v>28000</v>
      </c>
      <c r="E711" s="2">
        <v>16800</v>
      </c>
      <c r="F711" t="s">
        <v>5</v>
      </c>
      <c r="G711" t="s">
        <v>1853</v>
      </c>
      <c r="H711" t="s">
        <v>260</v>
      </c>
      <c r="I711">
        <v>240.34186</v>
      </c>
    </row>
    <row r="712" spans="1:9" ht="67.349999999999994" customHeight="1">
      <c r="A712" s="1" t="str">
        <f>"Chemistry 2341"</f>
        <v>Chemistry 2341</v>
      </c>
      <c r="B712" t="s">
        <v>1855</v>
      </c>
      <c r="C712" t="s">
        <v>128</v>
      </c>
      <c r="D712" s="2">
        <v>17500</v>
      </c>
      <c r="E712" s="2">
        <v>12250</v>
      </c>
      <c r="F712" t="s">
        <v>5</v>
      </c>
      <c r="G712" t="s">
        <v>1856</v>
      </c>
      <c r="H712" t="s">
        <v>1806</v>
      </c>
      <c r="I712">
        <v>257.64064000000002</v>
      </c>
    </row>
    <row r="713" spans="1:9" ht="65.7" customHeight="1">
      <c r="A713" s="1" t="str">
        <f>"Chemistry 2343"</f>
        <v>Chemistry 2343</v>
      </c>
      <c r="B713" t="s">
        <v>1857</v>
      </c>
      <c r="C713" t="s">
        <v>3</v>
      </c>
      <c r="D713" s="2">
        <v>28000</v>
      </c>
      <c r="E713" s="2">
        <v>16800</v>
      </c>
      <c r="F713" t="s">
        <v>5</v>
      </c>
      <c r="G713" t="s">
        <v>1858</v>
      </c>
      <c r="H713" t="s">
        <v>281</v>
      </c>
      <c r="I713">
        <v>254.32538</v>
      </c>
    </row>
    <row r="714" spans="1:9" ht="63.45" customHeight="1">
      <c r="A714" s="1" t="str">
        <f>"Chemistry 2344"</f>
        <v>Chemistry 2344</v>
      </c>
      <c r="B714" t="s">
        <v>1859</v>
      </c>
      <c r="C714" t="s">
        <v>3</v>
      </c>
      <c r="D714" s="2">
        <v>28000</v>
      </c>
      <c r="E714" s="2">
        <v>16800</v>
      </c>
      <c r="F714" t="s">
        <v>5</v>
      </c>
      <c r="G714" t="s">
        <v>1860</v>
      </c>
      <c r="H714" t="s">
        <v>1861</v>
      </c>
      <c r="I714">
        <v>240.29879</v>
      </c>
    </row>
    <row r="715" spans="1:9" ht="75.3" customHeight="1">
      <c r="A715" s="1" t="str">
        <f>"Chemistry 2345"</f>
        <v>Chemistry 2345</v>
      </c>
      <c r="B715" t="s">
        <v>1862</v>
      </c>
      <c r="C715" t="s">
        <v>3</v>
      </c>
      <c r="D715" s="2">
        <v>12300</v>
      </c>
      <c r="E715" s="2">
        <v>8610</v>
      </c>
      <c r="F715" t="s">
        <v>5</v>
      </c>
      <c r="G715" t="s">
        <v>1863</v>
      </c>
      <c r="H715" t="s">
        <v>160</v>
      </c>
      <c r="I715">
        <v>181.18853999999999</v>
      </c>
    </row>
    <row r="716" spans="1:9" ht="75.3" customHeight="1">
      <c r="A716" s="1" t="str">
        <f>"Chemistry 2347"</f>
        <v>Chemistry 2347</v>
      </c>
      <c r="B716" t="s">
        <v>1865</v>
      </c>
      <c r="C716" t="s">
        <v>3</v>
      </c>
      <c r="D716" s="2">
        <v>15800</v>
      </c>
      <c r="E716" s="2">
        <v>11060</v>
      </c>
      <c r="F716" t="s">
        <v>5</v>
      </c>
      <c r="G716" t="s">
        <v>1866</v>
      </c>
      <c r="H716" t="s">
        <v>1743</v>
      </c>
      <c r="I716">
        <v>237.2518</v>
      </c>
    </row>
    <row r="717" spans="1:9" ht="61.8" customHeight="1">
      <c r="A717" s="1" t="str">
        <f>"Chemistry 2350"</f>
        <v>Chemistry 2350</v>
      </c>
      <c r="B717" t="s">
        <v>1867</v>
      </c>
      <c r="C717" t="s">
        <v>3</v>
      </c>
      <c r="D717" s="2">
        <v>15800</v>
      </c>
      <c r="E717" s="2">
        <v>11060</v>
      </c>
      <c r="F717" t="s">
        <v>5</v>
      </c>
      <c r="G717" t="s">
        <v>1868</v>
      </c>
      <c r="H717" t="s">
        <v>1743</v>
      </c>
      <c r="I717">
        <v>237.2518</v>
      </c>
    </row>
    <row r="718" spans="1:9" ht="84.75" customHeight="1">
      <c r="A718" s="1" t="str">
        <f>"Chemistry 2353"</f>
        <v>Chemistry 2353</v>
      </c>
      <c r="B718" t="s">
        <v>1869</v>
      </c>
      <c r="C718" t="s">
        <v>3</v>
      </c>
      <c r="D718" s="2">
        <v>10500</v>
      </c>
      <c r="E718" s="2">
        <v>7349.9999999999991</v>
      </c>
      <c r="F718" t="s">
        <v>5</v>
      </c>
      <c r="G718" t="s">
        <v>1870</v>
      </c>
      <c r="H718" t="s">
        <v>1678</v>
      </c>
      <c r="I718">
        <v>221.13334</v>
      </c>
    </row>
    <row r="719" spans="1:9" ht="67.349999999999994" customHeight="1">
      <c r="A719" s="1" t="str">
        <f>"Chemistry 2356"</f>
        <v>Chemistry 2356</v>
      </c>
      <c r="B719" t="s">
        <v>1871</v>
      </c>
      <c r="C719" t="s">
        <v>3</v>
      </c>
      <c r="D719" s="2">
        <v>12300</v>
      </c>
      <c r="E719" s="2">
        <v>8610</v>
      </c>
      <c r="F719" t="s">
        <v>5</v>
      </c>
      <c r="G719" t="s">
        <v>1872</v>
      </c>
      <c r="H719" t="s">
        <v>1678</v>
      </c>
      <c r="I719">
        <v>221.13334</v>
      </c>
    </row>
    <row r="720" spans="1:9" ht="71.25" customHeight="1">
      <c r="A720" s="1" t="str">
        <f>"Chemistry 2358"</f>
        <v>Chemistry 2358</v>
      </c>
      <c r="B720" t="s">
        <v>1873</v>
      </c>
      <c r="C720" t="s">
        <v>3</v>
      </c>
      <c r="D720" s="2">
        <v>11400</v>
      </c>
      <c r="E720" s="2">
        <v>7979.9999999999991</v>
      </c>
      <c r="F720" t="s">
        <v>5</v>
      </c>
      <c r="G720" t="s">
        <v>1874</v>
      </c>
      <c r="H720" t="s">
        <v>1594</v>
      </c>
      <c r="I720">
        <v>193.19924</v>
      </c>
    </row>
    <row r="721" spans="1:9" ht="69.599999999999994" customHeight="1">
      <c r="A721" s="1" t="str">
        <f>"Chemistry 2359"</f>
        <v>Chemistry 2359</v>
      </c>
      <c r="B721" t="s">
        <v>1875</v>
      </c>
      <c r="C721" t="s">
        <v>3</v>
      </c>
      <c r="D721" s="2">
        <v>17500</v>
      </c>
      <c r="E721" s="2">
        <v>12250</v>
      </c>
      <c r="F721" t="s">
        <v>5</v>
      </c>
      <c r="G721" t="s">
        <v>1876</v>
      </c>
      <c r="H721" t="s">
        <v>1543</v>
      </c>
      <c r="I721">
        <v>221.29545999999999</v>
      </c>
    </row>
    <row r="722" spans="1:9" ht="78.599999999999994" customHeight="1">
      <c r="A722" s="1" t="str">
        <f>"Chemistry 2360"</f>
        <v>Chemistry 2360</v>
      </c>
      <c r="B722" t="s">
        <v>1877</v>
      </c>
      <c r="C722" t="s">
        <v>128</v>
      </c>
      <c r="D722" s="2">
        <v>14000</v>
      </c>
      <c r="E722" s="2">
        <v>9800</v>
      </c>
      <c r="F722" t="s">
        <v>5</v>
      </c>
      <c r="G722" t="s">
        <v>1878</v>
      </c>
      <c r="H722" t="s">
        <v>1879</v>
      </c>
      <c r="I722">
        <v>293.73732000000001</v>
      </c>
    </row>
    <row r="723" spans="1:9" ht="91.5" customHeight="1">
      <c r="A723" s="1" t="str">
        <f>"Chemistry 2365"</f>
        <v>Chemistry 2365</v>
      </c>
      <c r="B723" t="s">
        <v>1881</v>
      </c>
      <c r="C723" t="s">
        <v>3</v>
      </c>
      <c r="D723" s="2">
        <v>19300</v>
      </c>
      <c r="E723" s="2">
        <v>13510</v>
      </c>
      <c r="F723" t="s">
        <v>5</v>
      </c>
      <c r="G723" t="s">
        <v>1882</v>
      </c>
      <c r="H723" t="s">
        <v>1705</v>
      </c>
      <c r="I723">
        <v>250.29032000000001</v>
      </c>
    </row>
    <row r="724" spans="1:9" ht="82.5" customHeight="1">
      <c r="A724" s="1" t="str">
        <f>"Chemistry 2366"</f>
        <v>Chemistry 2366</v>
      </c>
      <c r="B724" t="s">
        <v>1883</v>
      </c>
      <c r="C724" t="s">
        <v>3</v>
      </c>
      <c r="D724" s="2">
        <v>21000</v>
      </c>
      <c r="E724" s="2">
        <v>14699.999999999998</v>
      </c>
      <c r="F724" t="s">
        <v>5</v>
      </c>
      <c r="G724" t="s">
        <v>1884</v>
      </c>
      <c r="H724" t="s">
        <v>17</v>
      </c>
      <c r="I724">
        <v>221.25239999999999</v>
      </c>
    </row>
    <row r="725" spans="1:9" ht="82.5" customHeight="1">
      <c r="A725" s="1" t="str">
        <f>"Chemistry 2367"</f>
        <v>Chemistry 2367</v>
      </c>
      <c r="B725" t="s">
        <v>1885</v>
      </c>
      <c r="C725" t="s">
        <v>3</v>
      </c>
      <c r="D725" s="2">
        <v>21000</v>
      </c>
      <c r="E725" s="2">
        <v>14699.999999999998</v>
      </c>
      <c r="F725" t="s">
        <v>5</v>
      </c>
      <c r="G725" t="s">
        <v>1886</v>
      </c>
      <c r="H725" t="s">
        <v>17</v>
      </c>
      <c r="I725">
        <v>221.25239999999999</v>
      </c>
    </row>
    <row r="726" spans="1:9" ht="44.25" customHeight="1">
      <c r="A726" s="1" t="str">
        <f>"Chemistry 2369"</f>
        <v>Chemistry 2369</v>
      </c>
      <c r="B726" t="s">
        <v>1887</v>
      </c>
      <c r="C726" t="s">
        <v>128</v>
      </c>
      <c r="D726" s="2">
        <v>17500</v>
      </c>
      <c r="E726" s="2">
        <v>12250</v>
      </c>
      <c r="F726" t="s">
        <v>5</v>
      </c>
      <c r="G726" t="s">
        <v>1888</v>
      </c>
      <c r="H726" t="s">
        <v>1434</v>
      </c>
      <c r="I726">
        <v>151.63444999999999</v>
      </c>
    </row>
    <row r="727" spans="1:9" ht="44.25" customHeight="1">
      <c r="A727" s="1" t="str">
        <f>"Chemistry 2373"</f>
        <v>Chemistry 2373</v>
      </c>
      <c r="B727" t="s">
        <v>1890</v>
      </c>
      <c r="C727" t="s">
        <v>128</v>
      </c>
      <c r="D727" s="2">
        <v>15800</v>
      </c>
      <c r="E727" s="2">
        <v>11060</v>
      </c>
      <c r="F727" t="s">
        <v>5</v>
      </c>
      <c r="G727" t="s">
        <v>1891</v>
      </c>
      <c r="H727" t="s">
        <v>1437</v>
      </c>
      <c r="I727">
        <v>165.66103000000001</v>
      </c>
    </row>
    <row r="728" spans="1:9" ht="72.45" customHeight="1">
      <c r="A728" s="1" t="str">
        <f>"Chemistry 2374"</f>
        <v>Chemistry 2374</v>
      </c>
      <c r="B728" t="s">
        <v>1892</v>
      </c>
      <c r="C728" t="s">
        <v>3</v>
      </c>
      <c r="D728" s="2">
        <v>15800</v>
      </c>
      <c r="E728" s="2">
        <v>11060</v>
      </c>
      <c r="F728" t="s">
        <v>5</v>
      </c>
      <c r="G728" t="s">
        <v>1893</v>
      </c>
      <c r="H728" t="s">
        <v>1894</v>
      </c>
      <c r="I728">
        <v>235.32203999999999</v>
      </c>
    </row>
    <row r="729" spans="1:9" ht="61.2" customHeight="1">
      <c r="A729" s="1" t="str">
        <f>"Chemistry 2375"</f>
        <v>Chemistry 2375</v>
      </c>
      <c r="B729" t="s">
        <v>1895</v>
      </c>
      <c r="C729" t="s">
        <v>270</v>
      </c>
      <c r="D729" s="2">
        <v>19300</v>
      </c>
      <c r="E729" s="2">
        <v>13510</v>
      </c>
      <c r="F729" t="s">
        <v>5</v>
      </c>
      <c r="G729" t="s">
        <v>1896</v>
      </c>
      <c r="H729" t="s">
        <v>628</v>
      </c>
      <c r="I729">
        <v>279.20600000000002</v>
      </c>
    </row>
    <row r="730" spans="1:9" ht="59.55" customHeight="1">
      <c r="A730" s="1" t="str">
        <f>"Chemistry 2387"</f>
        <v>Chemistry 2387</v>
      </c>
      <c r="B730" t="s">
        <v>1897</v>
      </c>
      <c r="C730" t="s">
        <v>3</v>
      </c>
      <c r="D730" s="2">
        <v>12300</v>
      </c>
      <c r="E730" s="2">
        <v>8610</v>
      </c>
      <c r="F730" t="s">
        <v>5</v>
      </c>
      <c r="G730" t="s">
        <v>1898</v>
      </c>
      <c r="H730" t="s">
        <v>1846</v>
      </c>
      <c r="I730">
        <v>184.19247999999999</v>
      </c>
    </row>
    <row r="731" spans="1:9" ht="74.7" customHeight="1">
      <c r="A731" s="1" t="str">
        <f>"Chemistry 2395"</f>
        <v>Chemistry 2395</v>
      </c>
      <c r="B731" t="s">
        <v>1899</v>
      </c>
      <c r="C731" t="s">
        <v>128</v>
      </c>
      <c r="D731" s="2">
        <v>19300</v>
      </c>
      <c r="E731" s="2">
        <v>13510</v>
      </c>
      <c r="F731" t="s">
        <v>5</v>
      </c>
      <c r="G731" t="s">
        <v>1900</v>
      </c>
      <c r="H731" t="s">
        <v>1854</v>
      </c>
      <c r="I731">
        <v>271.66721999999999</v>
      </c>
    </row>
    <row r="732" spans="1:9" ht="71.25" customHeight="1">
      <c r="A732" s="1" t="str">
        <f>"Chemistry 2396"</f>
        <v>Chemistry 2396</v>
      </c>
      <c r="B732" t="s">
        <v>1901</v>
      </c>
      <c r="C732" t="s">
        <v>128</v>
      </c>
      <c r="D732" s="2">
        <v>19300</v>
      </c>
      <c r="E732" s="2">
        <v>13510</v>
      </c>
      <c r="F732" t="s">
        <v>5</v>
      </c>
      <c r="G732" t="s">
        <v>1902</v>
      </c>
      <c r="H732" t="s">
        <v>1854</v>
      </c>
      <c r="I732">
        <v>271.66721999999999</v>
      </c>
    </row>
    <row r="733" spans="1:9" ht="71.25" customHeight="1">
      <c r="A733" s="1" t="str">
        <f>"Chemistry 2397"</f>
        <v>Chemistry 2397</v>
      </c>
      <c r="B733" t="s">
        <v>1903</v>
      </c>
      <c r="C733" t="s">
        <v>128</v>
      </c>
      <c r="D733" s="2">
        <v>19300</v>
      </c>
      <c r="E733" s="2">
        <v>13510</v>
      </c>
      <c r="F733" t="s">
        <v>5</v>
      </c>
      <c r="G733" t="s">
        <v>1904</v>
      </c>
      <c r="H733" t="s">
        <v>1638</v>
      </c>
      <c r="I733">
        <v>245.749</v>
      </c>
    </row>
    <row r="734" spans="1:9" ht="61.2" customHeight="1">
      <c r="A734" s="1" t="str">
        <f>"Chemistry 2401"</f>
        <v>Chemistry 2401</v>
      </c>
      <c r="B734" t="s">
        <v>1906</v>
      </c>
      <c r="C734" t="s">
        <v>3</v>
      </c>
      <c r="D734" s="2">
        <v>15800</v>
      </c>
      <c r="E734" s="2">
        <v>11060</v>
      </c>
      <c r="F734" t="s">
        <v>5</v>
      </c>
      <c r="G734" t="s">
        <v>1907</v>
      </c>
      <c r="H734" t="s">
        <v>1908</v>
      </c>
      <c r="I734">
        <v>148.16522000000001</v>
      </c>
    </row>
    <row r="735" spans="1:9" ht="67.349999999999994" customHeight="1">
      <c r="A735" s="1" t="str">
        <f>"Chemistry 2404"</f>
        <v>Chemistry 2404</v>
      </c>
      <c r="B735" t="s">
        <v>1909</v>
      </c>
      <c r="C735" t="s">
        <v>128</v>
      </c>
      <c r="D735" s="2">
        <v>17500</v>
      </c>
      <c r="E735" s="2">
        <v>12250</v>
      </c>
      <c r="F735" t="s">
        <v>5</v>
      </c>
      <c r="G735" t="s">
        <v>1910</v>
      </c>
      <c r="H735" t="s">
        <v>1726</v>
      </c>
      <c r="I735">
        <v>231.72242</v>
      </c>
    </row>
    <row r="736" spans="1:9" ht="64.05" customHeight="1">
      <c r="A736" s="1" t="str">
        <f>"Chemistry 2405"</f>
        <v>Chemistry 2405</v>
      </c>
      <c r="B736" t="s">
        <v>1911</v>
      </c>
      <c r="C736" t="s">
        <v>128</v>
      </c>
      <c r="D736" s="2">
        <v>17500</v>
      </c>
      <c r="E736" s="2">
        <v>12250</v>
      </c>
      <c r="F736" t="s">
        <v>5</v>
      </c>
      <c r="G736" t="s">
        <v>1912</v>
      </c>
      <c r="H736" t="s">
        <v>1638</v>
      </c>
      <c r="I736">
        <v>245.749</v>
      </c>
    </row>
    <row r="737" spans="1:9" ht="53.85" customHeight="1">
      <c r="A737" s="1" t="str">
        <f>"Chemistry 2411"</f>
        <v>Chemistry 2411</v>
      </c>
      <c r="B737" t="s">
        <v>1913</v>
      </c>
      <c r="C737" t="s">
        <v>128</v>
      </c>
      <c r="D737" s="2">
        <v>31500</v>
      </c>
      <c r="E737" s="2">
        <v>18900</v>
      </c>
      <c r="F737" t="s">
        <v>5</v>
      </c>
      <c r="G737" t="s">
        <v>1914</v>
      </c>
      <c r="H737" t="s">
        <v>1915</v>
      </c>
      <c r="I737">
        <v>176.64391000000001</v>
      </c>
    </row>
    <row r="738" spans="1:9" ht="75.3" customHeight="1">
      <c r="A738" s="1" t="str">
        <f>"Chemistry 2414"</f>
        <v>Chemistry 2414</v>
      </c>
      <c r="B738" t="s">
        <v>1916</v>
      </c>
      <c r="C738" t="s">
        <v>3</v>
      </c>
      <c r="D738" s="2">
        <v>12300</v>
      </c>
      <c r="E738" s="2">
        <v>8610</v>
      </c>
      <c r="F738" t="s">
        <v>5</v>
      </c>
      <c r="G738" t="s">
        <v>1917</v>
      </c>
      <c r="H738" t="s">
        <v>1594</v>
      </c>
      <c r="I738">
        <v>193.19924</v>
      </c>
    </row>
    <row r="739" spans="1:9" ht="67.95" customHeight="1">
      <c r="A739" s="1" t="str">
        <f>"Chemistry 2415"</f>
        <v>Chemistry 2415</v>
      </c>
      <c r="B739" t="s">
        <v>1918</v>
      </c>
      <c r="C739" t="s">
        <v>3</v>
      </c>
      <c r="D739" s="2">
        <v>12300</v>
      </c>
      <c r="E739" s="2">
        <v>8610</v>
      </c>
      <c r="F739" t="s">
        <v>5</v>
      </c>
      <c r="G739" t="s">
        <v>1919</v>
      </c>
      <c r="H739" t="s">
        <v>165</v>
      </c>
      <c r="I739">
        <v>223.22522000000001</v>
      </c>
    </row>
    <row r="740" spans="1:9" ht="75.3" customHeight="1">
      <c r="A740" s="1" t="str">
        <f>"Chemistry 2416"</f>
        <v>Chemistry 2416</v>
      </c>
      <c r="B740" t="s">
        <v>1920</v>
      </c>
      <c r="C740" t="s">
        <v>3</v>
      </c>
      <c r="D740" s="2">
        <v>15800</v>
      </c>
      <c r="E740" s="2">
        <v>11060</v>
      </c>
      <c r="F740" t="s">
        <v>5</v>
      </c>
      <c r="G740" t="s">
        <v>1921</v>
      </c>
      <c r="H740" t="s">
        <v>1168</v>
      </c>
      <c r="I740">
        <v>195.17205999999999</v>
      </c>
    </row>
    <row r="741" spans="1:9" ht="78.599999999999994" customHeight="1">
      <c r="A741" s="1" t="str">
        <f>"Chemistry 2419"</f>
        <v>Chemistry 2419</v>
      </c>
      <c r="B741" t="s">
        <v>1922</v>
      </c>
      <c r="C741" t="s">
        <v>3</v>
      </c>
      <c r="D741" s="2">
        <v>11400</v>
      </c>
      <c r="E741" s="2">
        <v>7979.9999999999991</v>
      </c>
      <c r="F741" t="s">
        <v>5</v>
      </c>
      <c r="G741" t="s">
        <v>1923</v>
      </c>
      <c r="H741" t="s">
        <v>1743</v>
      </c>
      <c r="I741">
        <v>237.2518</v>
      </c>
    </row>
    <row r="742" spans="1:9" ht="61.8" customHeight="1">
      <c r="A742" s="1" t="str">
        <f>"Chemistry 2421"</f>
        <v>Chemistry 2421</v>
      </c>
      <c r="B742" t="s">
        <v>1924</v>
      </c>
      <c r="C742" t="s">
        <v>3</v>
      </c>
      <c r="D742" s="2">
        <v>11400</v>
      </c>
      <c r="E742" s="2">
        <v>7979.9999999999991</v>
      </c>
      <c r="F742" t="s">
        <v>5</v>
      </c>
      <c r="G742" t="s">
        <v>1925</v>
      </c>
      <c r="H742" t="s">
        <v>1743</v>
      </c>
      <c r="I742">
        <v>237.2518</v>
      </c>
    </row>
    <row r="743" spans="1:9" ht="71.25" customHeight="1">
      <c r="A743" s="1" t="str">
        <f>"Chemistry 2422"</f>
        <v>Chemistry 2422</v>
      </c>
      <c r="B743" t="s">
        <v>1926</v>
      </c>
      <c r="C743" t="s">
        <v>3</v>
      </c>
      <c r="D743" s="2">
        <v>14000</v>
      </c>
      <c r="E743" s="2">
        <v>9800</v>
      </c>
      <c r="F743" t="s">
        <v>5</v>
      </c>
      <c r="G743" t="s">
        <v>1927</v>
      </c>
      <c r="H743" t="s">
        <v>1168</v>
      </c>
      <c r="I743">
        <v>195.17205999999999</v>
      </c>
    </row>
    <row r="744" spans="1:9" ht="75.3" customHeight="1">
      <c r="A744" s="1" t="str">
        <f>"Chemistry 2424"</f>
        <v>Chemistry 2424</v>
      </c>
      <c r="B744" t="s">
        <v>1928</v>
      </c>
      <c r="C744" t="s">
        <v>3</v>
      </c>
      <c r="D744" s="2">
        <v>11400</v>
      </c>
      <c r="E744" s="2">
        <v>7979.9999999999991</v>
      </c>
      <c r="F744" t="s">
        <v>5</v>
      </c>
      <c r="G744" t="s">
        <v>1929</v>
      </c>
      <c r="H744" t="s">
        <v>1673</v>
      </c>
      <c r="I744">
        <v>167.16195999999999</v>
      </c>
    </row>
    <row r="745" spans="1:9" ht="92.1" customHeight="1">
      <c r="A745" s="1" t="str">
        <f>"Chemistry 2427"</f>
        <v>Chemistry 2427</v>
      </c>
      <c r="B745" t="s">
        <v>1930</v>
      </c>
      <c r="C745" t="s">
        <v>3</v>
      </c>
      <c r="D745" s="2">
        <v>15800</v>
      </c>
      <c r="E745" s="2">
        <v>11060</v>
      </c>
      <c r="F745" t="s">
        <v>5</v>
      </c>
      <c r="G745" t="s">
        <v>1931</v>
      </c>
      <c r="H745" t="s">
        <v>1932</v>
      </c>
      <c r="I745">
        <v>198.17599999999999</v>
      </c>
    </row>
    <row r="746" spans="1:9" ht="53.85" customHeight="1">
      <c r="A746" s="1" t="str">
        <f>"Chemistry 2429"</f>
        <v>Chemistry 2429</v>
      </c>
      <c r="B746" t="s">
        <v>1933</v>
      </c>
      <c r="C746" t="s">
        <v>3</v>
      </c>
      <c r="D746" s="2">
        <v>8800</v>
      </c>
      <c r="E746" s="2">
        <v>6160</v>
      </c>
      <c r="F746" t="s">
        <v>5</v>
      </c>
      <c r="G746" t="s">
        <v>1934</v>
      </c>
      <c r="H746" t="s">
        <v>1626</v>
      </c>
      <c r="I746">
        <v>114.14569</v>
      </c>
    </row>
    <row r="747" spans="1:9" ht="51.6" customHeight="1">
      <c r="A747" s="1" t="str">
        <f>"Chemistry 2430"</f>
        <v>Chemistry 2430</v>
      </c>
      <c r="B747" t="s">
        <v>1935</v>
      </c>
      <c r="C747" t="s">
        <v>3</v>
      </c>
      <c r="D747" s="2">
        <v>8800</v>
      </c>
      <c r="E747" s="2">
        <v>6160</v>
      </c>
      <c r="F747" t="s">
        <v>5</v>
      </c>
      <c r="G747" t="s">
        <v>1936</v>
      </c>
      <c r="H747" t="s">
        <v>1627</v>
      </c>
      <c r="I747">
        <v>144.17168000000001</v>
      </c>
    </row>
    <row r="748" spans="1:9" ht="51.6" customHeight="1">
      <c r="A748" s="1" t="str">
        <f>"Chemistry 2431"</f>
        <v>Chemistry 2431</v>
      </c>
      <c r="B748" t="s">
        <v>1937</v>
      </c>
      <c r="C748" t="s">
        <v>270</v>
      </c>
      <c r="D748" s="2">
        <v>17500</v>
      </c>
      <c r="E748" s="2">
        <v>12250</v>
      </c>
      <c r="F748" t="s">
        <v>5</v>
      </c>
      <c r="G748" t="s">
        <v>1938</v>
      </c>
      <c r="H748" t="s">
        <v>1939</v>
      </c>
      <c r="I748">
        <v>265.17941999999999</v>
      </c>
    </row>
    <row r="749" spans="1:9" ht="51.6" customHeight="1">
      <c r="A749" s="1" t="str">
        <f>"Chemistry 2432"</f>
        <v>Chemistry 2432</v>
      </c>
      <c r="B749" t="s">
        <v>1940</v>
      </c>
      <c r="C749" t="s">
        <v>270</v>
      </c>
      <c r="D749" s="2">
        <v>17500</v>
      </c>
      <c r="E749" s="2">
        <v>12250</v>
      </c>
      <c r="F749" t="s">
        <v>5</v>
      </c>
      <c r="G749" t="s">
        <v>1941</v>
      </c>
      <c r="H749" t="s">
        <v>1939</v>
      </c>
      <c r="I749">
        <v>265.17941999999999</v>
      </c>
    </row>
    <row r="750" spans="1:9" ht="82.5" customHeight="1">
      <c r="A750" s="1" t="str">
        <f>"Chemistry 2435"</f>
        <v>Chemistry 2435</v>
      </c>
      <c r="B750" t="s">
        <v>1942</v>
      </c>
      <c r="C750" t="s">
        <v>3</v>
      </c>
      <c r="D750" s="2">
        <v>21000</v>
      </c>
      <c r="E750" s="2">
        <v>14699.999999999998</v>
      </c>
      <c r="F750" t="s">
        <v>5</v>
      </c>
      <c r="G750" t="s">
        <v>1943</v>
      </c>
      <c r="H750" t="s">
        <v>17</v>
      </c>
      <c r="I750">
        <v>221.25239999999999</v>
      </c>
    </row>
    <row r="751" spans="1:9" ht="47.1" customHeight="1">
      <c r="A751" s="1" t="str">
        <f>"Chemistry 2438"</f>
        <v>Chemistry 2438</v>
      </c>
      <c r="B751" t="s">
        <v>1944</v>
      </c>
      <c r="C751" t="s">
        <v>128</v>
      </c>
      <c r="D751" s="2">
        <v>29800</v>
      </c>
      <c r="E751" s="2">
        <v>17880</v>
      </c>
      <c r="F751" t="s">
        <v>5</v>
      </c>
      <c r="G751" t="s">
        <v>1945</v>
      </c>
      <c r="H751" t="s">
        <v>1641</v>
      </c>
      <c r="I751">
        <v>177.67173</v>
      </c>
    </row>
    <row r="752" spans="1:9" ht="91.05" customHeight="1">
      <c r="A752" s="1" t="str">
        <f>"Chemistry 2441"</f>
        <v>Chemistry 2441</v>
      </c>
      <c r="B752" t="s">
        <v>1946</v>
      </c>
      <c r="C752" t="s">
        <v>3</v>
      </c>
      <c r="D752" s="2">
        <v>15800</v>
      </c>
      <c r="E752" s="2">
        <v>11060</v>
      </c>
      <c r="F752" t="s">
        <v>5</v>
      </c>
      <c r="G752" t="s">
        <v>1947</v>
      </c>
      <c r="H752" t="s">
        <v>1905</v>
      </c>
      <c r="I752">
        <v>292.10647999999998</v>
      </c>
    </row>
    <row r="753" spans="1:9" ht="75.3" customHeight="1">
      <c r="A753" s="1" t="str">
        <f>"Chemistry 2445"</f>
        <v>Chemistry 2445</v>
      </c>
      <c r="B753" t="s">
        <v>1948</v>
      </c>
      <c r="C753" t="s">
        <v>3</v>
      </c>
      <c r="D753" s="2">
        <v>29800</v>
      </c>
      <c r="E753" s="2">
        <v>17880</v>
      </c>
      <c r="F753" t="s">
        <v>5</v>
      </c>
      <c r="G753" t="s">
        <v>1949</v>
      </c>
      <c r="H753" t="s">
        <v>1950</v>
      </c>
      <c r="I753">
        <v>334.38522</v>
      </c>
    </row>
    <row r="754" spans="1:9" ht="71.25" customHeight="1">
      <c r="A754" s="1" t="str">
        <f>"Chemistry 2460"</f>
        <v>Chemistry 2460</v>
      </c>
      <c r="B754" t="s">
        <v>1951</v>
      </c>
      <c r="C754" t="s">
        <v>3</v>
      </c>
      <c r="D754" s="2">
        <v>9700</v>
      </c>
      <c r="E754" s="2">
        <v>6790</v>
      </c>
      <c r="F754" t="s">
        <v>5</v>
      </c>
      <c r="G754" t="s">
        <v>1952</v>
      </c>
      <c r="H754" t="s">
        <v>1953</v>
      </c>
      <c r="I754">
        <v>234.17186000000001</v>
      </c>
    </row>
    <row r="755" spans="1:9" ht="67.95" customHeight="1">
      <c r="A755" s="1" t="str">
        <f>"Chemistry 2466"</f>
        <v>Chemistry 2466</v>
      </c>
      <c r="B755" t="s">
        <v>1954</v>
      </c>
      <c r="C755" t="s">
        <v>3</v>
      </c>
      <c r="D755" s="2">
        <v>15800</v>
      </c>
      <c r="E755" s="2">
        <v>11060</v>
      </c>
      <c r="F755" t="s">
        <v>5</v>
      </c>
      <c r="G755" t="s">
        <v>1955</v>
      </c>
      <c r="H755" t="s">
        <v>1746</v>
      </c>
      <c r="I755">
        <v>216.19282000000001</v>
      </c>
    </row>
    <row r="756" spans="1:9" ht="75.3" customHeight="1">
      <c r="A756" s="1" t="str">
        <f>"Chemistry 2467"</f>
        <v>Chemistry 2467</v>
      </c>
      <c r="B756" t="s">
        <v>1956</v>
      </c>
      <c r="C756" t="s">
        <v>3</v>
      </c>
      <c r="D756" s="2">
        <v>10500</v>
      </c>
      <c r="E756" s="2">
        <v>7349.9999999999991</v>
      </c>
      <c r="F756" t="s">
        <v>5</v>
      </c>
      <c r="G756" t="s">
        <v>1957</v>
      </c>
      <c r="H756" t="s">
        <v>1746</v>
      </c>
      <c r="I756">
        <v>216.19282000000001</v>
      </c>
    </row>
    <row r="757" spans="1:9" ht="75.75" customHeight="1">
      <c r="A757" s="1" t="str">
        <f>"Chemistry 2470"</f>
        <v>Chemistry 2470</v>
      </c>
      <c r="B757" t="s">
        <v>1958</v>
      </c>
      <c r="C757" t="s">
        <v>3</v>
      </c>
      <c r="D757" s="2">
        <v>11400</v>
      </c>
      <c r="E757" s="2">
        <v>7979.9999999999991</v>
      </c>
      <c r="F757" t="s">
        <v>5</v>
      </c>
      <c r="G757" t="s">
        <v>1959</v>
      </c>
      <c r="H757" t="s">
        <v>1743</v>
      </c>
      <c r="I757">
        <v>237.2518</v>
      </c>
    </row>
    <row r="758" spans="1:9" ht="81.45" customHeight="1">
      <c r="A758" s="1" t="str">
        <f>"Chemistry 2471"</f>
        <v>Chemistry 2471</v>
      </c>
      <c r="B758" t="s">
        <v>1960</v>
      </c>
      <c r="C758" t="s">
        <v>3</v>
      </c>
      <c r="D758" s="2">
        <v>15800</v>
      </c>
      <c r="E758" s="2">
        <v>11060</v>
      </c>
      <c r="F758" t="s">
        <v>5</v>
      </c>
      <c r="G758" t="s">
        <v>1961</v>
      </c>
      <c r="H758" t="s">
        <v>1962</v>
      </c>
      <c r="I758">
        <v>194.18729999999999</v>
      </c>
    </row>
    <row r="759" spans="1:9" ht="48.3" customHeight="1">
      <c r="A759" s="1" t="str">
        <f>"Chemistry 2472"</f>
        <v>Chemistry 2472</v>
      </c>
      <c r="B759" t="s">
        <v>1963</v>
      </c>
      <c r="C759" t="s">
        <v>270</v>
      </c>
      <c r="D759" s="2">
        <v>17500</v>
      </c>
      <c r="E759" s="2">
        <v>12250</v>
      </c>
      <c r="F759" t="s">
        <v>5</v>
      </c>
      <c r="G759" t="s">
        <v>1964</v>
      </c>
      <c r="H759" t="s">
        <v>1939</v>
      </c>
      <c r="I759">
        <v>265.17941999999999</v>
      </c>
    </row>
    <row r="760" spans="1:9" ht="82.5" customHeight="1">
      <c r="A760" s="1" t="str">
        <f>"Chemistry 2479"</f>
        <v>Chemistry 2479</v>
      </c>
      <c r="B760" t="s">
        <v>1965</v>
      </c>
      <c r="C760" t="s">
        <v>3</v>
      </c>
      <c r="D760" s="2">
        <v>12300</v>
      </c>
      <c r="E760" s="2">
        <v>8610</v>
      </c>
      <c r="F760" t="s">
        <v>5</v>
      </c>
      <c r="G760" t="s">
        <v>1966</v>
      </c>
      <c r="H760" t="s">
        <v>1849</v>
      </c>
      <c r="I760">
        <v>212.24563000000001</v>
      </c>
    </row>
    <row r="761" spans="1:9" ht="75.75" customHeight="1">
      <c r="A761" s="1" t="str">
        <f>"Chemistry 2498"</f>
        <v>Chemistry 2498</v>
      </c>
      <c r="B761" t="s">
        <v>1969</v>
      </c>
      <c r="C761" t="s">
        <v>3</v>
      </c>
      <c r="D761" s="2">
        <v>12300</v>
      </c>
      <c r="E761" s="2">
        <v>8610</v>
      </c>
      <c r="F761" t="s">
        <v>5</v>
      </c>
      <c r="G761" t="s">
        <v>1970</v>
      </c>
      <c r="H761" t="s">
        <v>1548</v>
      </c>
      <c r="I761">
        <v>236.26374000000001</v>
      </c>
    </row>
    <row r="762" spans="1:9" ht="55.5" customHeight="1">
      <c r="A762" s="1" t="str">
        <f>"Chemistry 2499"</f>
        <v>Chemistry 2499</v>
      </c>
      <c r="B762" t="s">
        <v>1971</v>
      </c>
      <c r="C762" t="s">
        <v>3</v>
      </c>
      <c r="D762" s="2">
        <v>15800</v>
      </c>
      <c r="E762" s="2">
        <v>11060</v>
      </c>
      <c r="F762" t="s">
        <v>5</v>
      </c>
      <c r="G762" t="s">
        <v>1972</v>
      </c>
      <c r="H762" t="s">
        <v>1962</v>
      </c>
      <c r="I762">
        <v>194.18729999999999</v>
      </c>
    </row>
    <row r="763" spans="1:9" ht="82.5" customHeight="1">
      <c r="A763" s="1" t="str">
        <f>"Chemistry 2502"</f>
        <v>Chemistry 2502</v>
      </c>
      <c r="B763" t="s">
        <v>1974</v>
      </c>
      <c r="C763" t="s">
        <v>3</v>
      </c>
      <c r="D763" s="2">
        <v>17500</v>
      </c>
      <c r="E763" s="2">
        <v>12250</v>
      </c>
      <c r="F763" t="s">
        <v>5</v>
      </c>
      <c r="G763" t="s">
        <v>1975</v>
      </c>
      <c r="H763" t="s">
        <v>1976</v>
      </c>
      <c r="I763">
        <v>217.22394</v>
      </c>
    </row>
    <row r="764" spans="1:9" ht="91.05" customHeight="1">
      <c r="A764" s="1" t="str">
        <f>"Chemistry 2503"</f>
        <v>Chemistry 2503</v>
      </c>
      <c r="B764" t="s">
        <v>1977</v>
      </c>
      <c r="C764" t="s">
        <v>3</v>
      </c>
      <c r="D764" s="2">
        <v>17500</v>
      </c>
      <c r="E764" s="2">
        <v>12250</v>
      </c>
      <c r="F764" t="s">
        <v>5</v>
      </c>
      <c r="G764" t="s">
        <v>1978</v>
      </c>
      <c r="H764" t="s">
        <v>1979</v>
      </c>
      <c r="I764">
        <v>239.22945999999999</v>
      </c>
    </row>
    <row r="765" spans="1:9" ht="75.3" customHeight="1">
      <c r="A765" s="1" t="str">
        <f>"Chemistry 2506"</f>
        <v>Chemistry 2506</v>
      </c>
      <c r="B765" t="s">
        <v>1981</v>
      </c>
      <c r="C765" t="s">
        <v>3</v>
      </c>
      <c r="D765" s="2">
        <v>11400</v>
      </c>
      <c r="E765" s="2">
        <v>7979.9999999999991</v>
      </c>
      <c r="F765" t="s">
        <v>5</v>
      </c>
      <c r="G765" t="s">
        <v>1982</v>
      </c>
      <c r="H765" t="s">
        <v>1594</v>
      </c>
      <c r="I765">
        <v>193.19924</v>
      </c>
    </row>
    <row r="766" spans="1:9" ht="75.3" customHeight="1">
      <c r="A766" s="1" t="str">
        <f>"Chemistry 2507"</f>
        <v>Chemistry 2507</v>
      </c>
      <c r="B766" t="s">
        <v>1983</v>
      </c>
      <c r="C766" t="s">
        <v>3</v>
      </c>
      <c r="D766" s="2">
        <v>12300</v>
      </c>
      <c r="E766" s="2">
        <v>8610</v>
      </c>
      <c r="F766" t="s">
        <v>5</v>
      </c>
      <c r="G766" t="s">
        <v>1984</v>
      </c>
      <c r="H766" t="s">
        <v>165</v>
      </c>
      <c r="I766">
        <v>223.22522000000001</v>
      </c>
    </row>
    <row r="767" spans="1:9" ht="71.25" customHeight="1">
      <c r="A767" s="1" t="str">
        <f>"Chemistry 2509"</f>
        <v>Chemistry 2509</v>
      </c>
      <c r="B767" t="s">
        <v>1985</v>
      </c>
      <c r="C767" t="s">
        <v>3</v>
      </c>
      <c r="D767" s="2">
        <v>15800</v>
      </c>
      <c r="E767" s="2">
        <v>11060</v>
      </c>
      <c r="F767" t="s">
        <v>5</v>
      </c>
      <c r="G767" t="s">
        <v>1986</v>
      </c>
      <c r="H767" t="s">
        <v>1962</v>
      </c>
      <c r="I767">
        <v>194.18729999999999</v>
      </c>
    </row>
    <row r="768" spans="1:9" ht="69" customHeight="1">
      <c r="A768" s="1" t="str">
        <f>"Chemistry 2513"</f>
        <v>Chemistry 2513</v>
      </c>
      <c r="B768" t="s">
        <v>1987</v>
      </c>
      <c r="C768" t="s">
        <v>128</v>
      </c>
      <c r="D768" s="2">
        <v>14000</v>
      </c>
      <c r="E768" s="2">
        <v>9800</v>
      </c>
      <c r="F768" t="s">
        <v>5</v>
      </c>
      <c r="G768" t="s">
        <v>1988</v>
      </c>
      <c r="H768" t="s">
        <v>1989</v>
      </c>
      <c r="I768">
        <v>255.66452000000001</v>
      </c>
    </row>
    <row r="769" spans="1:9" ht="61.2" customHeight="1">
      <c r="A769" s="1" t="str">
        <f>"Chemistry 2520"</f>
        <v>Chemistry 2520</v>
      </c>
      <c r="B769" t="s">
        <v>1991</v>
      </c>
      <c r="C769" t="s">
        <v>270</v>
      </c>
      <c r="D769" s="2">
        <v>19300</v>
      </c>
      <c r="E769" s="2">
        <v>13510</v>
      </c>
      <c r="F769" t="s">
        <v>5</v>
      </c>
      <c r="G769" t="s">
        <v>1992</v>
      </c>
      <c r="H769" t="s">
        <v>628</v>
      </c>
      <c r="I769">
        <v>279.20600000000002</v>
      </c>
    </row>
    <row r="770" spans="1:9" ht="88.2" customHeight="1">
      <c r="A770" s="1" t="str">
        <f>"Chemistry 2525"</f>
        <v>Chemistry 2525</v>
      </c>
      <c r="B770" t="s">
        <v>1996</v>
      </c>
      <c r="C770" t="s">
        <v>3</v>
      </c>
      <c r="D770" s="2">
        <v>21000</v>
      </c>
      <c r="E770" s="2">
        <v>14699.999999999998</v>
      </c>
      <c r="F770" t="s">
        <v>5</v>
      </c>
      <c r="G770" t="s">
        <v>1997</v>
      </c>
      <c r="H770" t="s">
        <v>1995</v>
      </c>
      <c r="I770">
        <v>228.22506000000001</v>
      </c>
    </row>
    <row r="771" spans="1:9" ht="51.6" customHeight="1">
      <c r="A771" s="1" t="str">
        <f>"Chemistry 2536"</f>
        <v>Chemistry 2536</v>
      </c>
      <c r="B771" t="s">
        <v>1998</v>
      </c>
      <c r="C771" t="s">
        <v>3</v>
      </c>
      <c r="D771" s="2">
        <v>28000</v>
      </c>
      <c r="E771" s="2">
        <v>16800</v>
      </c>
      <c r="F771" t="s">
        <v>5</v>
      </c>
      <c r="G771" t="s">
        <v>1999</v>
      </c>
      <c r="H771" t="s">
        <v>2000</v>
      </c>
      <c r="I771">
        <v>171.19372000000001</v>
      </c>
    </row>
    <row r="772" spans="1:9" ht="91.5" customHeight="1">
      <c r="A772" s="1" t="str">
        <f>"Chemistry 2543"</f>
        <v>Chemistry 2543</v>
      </c>
      <c r="B772" t="s">
        <v>2001</v>
      </c>
      <c r="C772" t="s">
        <v>3</v>
      </c>
      <c r="D772" s="2">
        <v>11400</v>
      </c>
      <c r="E772" s="2">
        <v>7979.9999999999991</v>
      </c>
      <c r="F772" t="s">
        <v>5</v>
      </c>
      <c r="G772" t="s">
        <v>2002</v>
      </c>
      <c r="H772" t="s">
        <v>2003</v>
      </c>
      <c r="I772">
        <v>252.26313999999999</v>
      </c>
    </row>
    <row r="773" spans="1:9" ht="68.55" customHeight="1">
      <c r="A773" s="1" t="str">
        <f>"Chemistry 2544"</f>
        <v>Chemistry 2544</v>
      </c>
      <c r="B773" t="s">
        <v>2004</v>
      </c>
      <c r="C773" t="s">
        <v>3</v>
      </c>
      <c r="D773" s="2">
        <v>21000</v>
      </c>
      <c r="E773" s="2">
        <v>14699.999999999998</v>
      </c>
      <c r="F773" t="s">
        <v>5</v>
      </c>
      <c r="G773" t="s">
        <v>2005</v>
      </c>
      <c r="H773" t="s">
        <v>2006</v>
      </c>
      <c r="I773">
        <v>177.16007999999999</v>
      </c>
    </row>
    <row r="774" spans="1:9" ht="79.2" customHeight="1">
      <c r="A774" s="1" t="str">
        <f>"Chemistry 2546"</f>
        <v>Chemistry 2546</v>
      </c>
      <c r="B774" t="s">
        <v>2007</v>
      </c>
      <c r="C774" t="s">
        <v>3</v>
      </c>
      <c r="D774" s="2">
        <v>14000</v>
      </c>
      <c r="E774" s="2">
        <v>9800</v>
      </c>
      <c r="F774" t="s">
        <v>5</v>
      </c>
      <c r="G774" t="s">
        <v>2008</v>
      </c>
      <c r="H774" t="s">
        <v>1864</v>
      </c>
      <c r="I774">
        <v>168.15002000000001</v>
      </c>
    </row>
    <row r="775" spans="1:9" ht="91.05" customHeight="1">
      <c r="A775" s="1" t="str">
        <f>"Chemistry 2550"</f>
        <v>Chemistry 2550</v>
      </c>
      <c r="B775" t="s">
        <v>2011</v>
      </c>
      <c r="C775" t="s">
        <v>3</v>
      </c>
      <c r="D775" s="2">
        <v>17500</v>
      </c>
      <c r="E775" s="2">
        <v>12250</v>
      </c>
      <c r="F775" t="s">
        <v>5</v>
      </c>
      <c r="G775" t="s">
        <v>2012</v>
      </c>
      <c r="H775" t="s">
        <v>1980</v>
      </c>
      <c r="I775">
        <v>257.21992</v>
      </c>
    </row>
    <row r="776" spans="1:9" ht="75.75" customHeight="1">
      <c r="A776" s="1" t="str">
        <f>"Chemistry 2551"</f>
        <v>Chemistry 2551</v>
      </c>
      <c r="B776" t="s">
        <v>2013</v>
      </c>
      <c r="C776" t="s">
        <v>3</v>
      </c>
      <c r="D776" s="2">
        <v>11400</v>
      </c>
      <c r="E776" s="2">
        <v>7979.9999999999991</v>
      </c>
      <c r="F776" t="s">
        <v>5</v>
      </c>
      <c r="G776" t="s">
        <v>2014</v>
      </c>
      <c r="H776" t="s">
        <v>1678</v>
      </c>
      <c r="I776">
        <v>221.13334</v>
      </c>
    </row>
    <row r="777" spans="1:9" ht="71.25" customHeight="1">
      <c r="A777" s="1" t="str">
        <f>"Chemistry 2555"</f>
        <v>Chemistry 2555</v>
      </c>
      <c r="B777" t="s">
        <v>2015</v>
      </c>
      <c r="C777" t="s">
        <v>270</v>
      </c>
      <c r="D777" s="2">
        <v>21000</v>
      </c>
      <c r="E777" s="2">
        <v>14699.999999999998</v>
      </c>
      <c r="F777" t="s">
        <v>5</v>
      </c>
      <c r="G777" t="s">
        <v>2016</v>
      </c>
      <c r="H777" t="s">
        <v>1939</v>
      </c>
      <c r="I777">
        <v>265.17941000000002</v>
      </c>
    </row>
    <row r="778" spans="1:9" ht="64.5" customHeight="1">
      <c r="A778" s="1" t="str">
        <f>"Chemistry 2560"</f>
        <v>Chemistry 2560</v>
      </c>
      <c r="B778" t="s">
        <v>2018</v>
      </c>
      <c r="C778" t="s">
        <v>270</v>
      </c>
      <c r="D778" s="2">
        <v>21000</v>
      </c>
      <c r="E778" s="2">
        <v>14699.999999999998</v>
      </c>
      <c r="F778" t="s">
        <v>5</v>
      </c>
      <c r="G778" t="s">
        <v>2019</v>
      </c>
      <c r="H778" t="s">
        <v>2020</v>
      </c>
      <c r="I778">
        <v>251.15284</v>
      </c>
    </row>
    <row r="779" spans="1:9" ht="49.95" customHeight="1">
      <c r="A779" s="1" t="str">
        <f>"Chemistry 2561"</f>
        <v>Chemistry 2561</v>
      </c>
      <c r="B779" t="s">
        <v>2021</v>
      </c>
      <c r="C779" t="s">
        <v>270</v>
      </c>
      <c r="D779" s="2">
        <v>21000</v>
      </c>
      <c r="E779" s="2">
        <v>14699.999999999998</v>
      </c>
      <c r="F779" t="s">
        <v>5</v>
      </c>
      <c r="G779" t="s">
        <v>2022</v>
      </c>
      <c r="H779" t="s">
        <v>2023</v>
      </c>
      <c r="I779">
        <v>241.13319999999999</v>
      </c>
    </row>
    <row r="780" spans="1:9" ht="61.8" customHeight="1">
      <c r="A780" s="1" t="str">
        <f>"Chemistry 2565"</f>
        <v>Chemistry 2565</v>
      </c>
      <c r="B780" t="s">
        <v>2024</v>
      </c>
      <c r="C780" t="s">
        <v>3</v>
      </c>
      <c r="D780" s="2">
        <v>24500</v>
      </c>
      <c r="E780" s="2">
        <v>17150</v>
      </c>
      <c r="F780" t="s">
        <v>5</v>
      </c>
      <c r="G780" t="s">
        <v>2025</v>
      </c>
      <c r="H780" t="s">
        <v>2026</v>
      </c>
      <c r="I780">
        <v>181.16372000000001</v>
      </c>
    </row>
    <row r="781" spans="1:9" ht="82.5" customHeight="1">
      <c r="A781" s="1" t="str">
        <f>"Chemistry 2566"</f>
        <v>Chemistry 2566</v>
      </c>
      <c r="B781" t="s">
        <v>2027</v>
      </c>
      <c r="C781" t="s">
        <v>3</v>
      </c>
      <c r="D781" s="2">
        <v>24500</v>
      </c>
      <c r="E781" s="2">
        <v>17150</v>
      </c>
      <c r="F781" t="s">
        <v>5</v>
      </c>
      <c r="G781" t="s">
        <v>2028</v>
      </c>
      <c r="H781" t="s">
        <v>2026</v>
      </c>
      <c r="I781">
        <v>181.16372000000001</v>
      </c>
    </row>
    <row r="782" spans="1:9" ht="79.2" customHeight="1">
      <c r="A782" s="1" t="str">
        <f>"Chemistry 2567"</f>
        <v>Chemistry 2567</v>
      </c>
      <c r="B782" t="s">
        <v>2029</v>
      </c>
      <c r="C782" t="s">
        <v>3</v>
      </c>
      <c r="D782" s="2">
        <v>24500</v>
      </c>
      <c r="E782" s="2">
        <v>17150</v>
      </c>
      <c r="F782" t="s">
        <v>5</v>
      </c>
      <c r="G782" t="s">
        <v>2030</v>
      </c>
      <c r="H782" t="s">
        <v>1585</v>
      </c>
      <c r="I782">
        <v>177.19982999999999</v>
      </c>
    </row>
    <row r="783" spans="1:9" ht="71.25" customHeight="1">
      <c r="A783" s="1" t="str">
        <f>"Chemistry 2569"</f>
        <v>Chemistry 2569</v>
      </c>
      <c r="B783" t="s">
        <v>2031</v>
      </c>
      <c r="C783" t="s">
        <v>128</v>
      </c>
      <c r="D783" s="2">
        <v>19300</v>
      </c>
      <c r="E783" s="2">
        <v>13510</v>
      </c>
      <c r="F783" t="s">
        <v>5</v>
      </c>
      <c r="G783" t="s">
        <v>2032</v>
      </c>
      <c r="H783" t="s">
        <v>1993</v>
      </c>
      <c r="I783">
        <v>259.77557999999999</v>
      </c>
    </row>
    <row r="784" spans="1:9" ht="77.55" customHeight="1">
      <c r="A784" s="1" t="str">
        <f>"Chemistry 2573"</f>
        <v>Chemistry 2573</v>
      </c>
      <c r="B784" t="s">
        <v>2033</v>
      </c>
      <c r="C784" t="s">
        <v>3</v>
      </c>
      <c r="D784" s="2">
        <v>28000</v>
      </c>
      <c r="E784" s="2">
        <v>16800</v>
      </c>
      <c r="F784" t="s">
        <v>5</v>
      </c>
      <c r="G784" t="s">
        <v>2034</v>
      </c>
      <c r="H784" t="s">
        <v>2035</v>
      </c>
      <c r="I784">
        <v>226.31528</v>
      </c>
    </row>
    <row r="785" spans="1:9" ht="56.7" customHeight="1">
      <c r="A785" s="1" t="str">
        <f>"Chemistry 2574"</f>
        <v>Chemistry 2574</v>
      </c>
      <c r="B785" t="s">
        <v>2036</v>
      </c>
      <c r="C785" t="s">
        <v>3</v>
      </c>
      <c r="D785" s="2">
        <v>28000</v>
      </c>
      <c r="E785" s="2">
        <v>16800</v>
      </c>
      <c r="F785" t="s">
        <v>5</v>
      </c>
      <c r="G785" t="s">
        <v>2037</v>
      </c>
      <c r="H785" t="s">
        <v>1861</v>
      </c>
      <c r="I785">
        <v>240.29879</v>
      </c>
    </row>
    <row r="786" spans="1:9" ht="64.5" customHeight="1">
      <c r="A786" s="1" t="str">
        <f>"Chemistry 2575"</f>
        <v>Chemistry 2575</v>
      </c>
      <c r="B786" t="s">
        <v>2038</v>
      </c>
      <c r="C786" t="s">
        <v>3</v>
      </c>
      <c r="D786" s="2">
        <v>22800</v>
      </c>
      <c r="E786" s="2">
        <v>15959.999999999998</v>
      </c>
      <c r="F786" t="s">
        <v>5</v>
      </c>
      <c r="G786" t="s">
        <v>2039</v>
      </c>
      <c r="H786" t="s">
        <v>1594</v>
      </c>
      <c r="I786">
        <v>193.19924</v>
      </c>
    </row>
    <row r="787" spans="1:9" ht="64.05" customHeight="1">
      <c r="A787" s="1" t="str">
        <f>"Chemistry 2579"</f>
        <v>Chemistry 2579</v>
      </c>
      <c r="B787" t="s">
        <v>2040</v>
      </c>
      <c r="C787" t="s">
        <v>3</v>
      </c>
      <c r="D787" s="2">
        <v>17500</v>
      </c>
      <c r="E787" s="2">
        <v>12250</v>
      </c>
      <c r="F787" t="s">
        <v>5</v>
      </c>
      <c r="G787" t="s">
        <v>2041</v>
      </c>
      <c r="H787" t="s">
        <v>2042</v>
      </c>
      <c r="I787">
        <v>234.26939999999999</v>
      </c>
    </row>
    <row r="788" spans="1:9" ht="67.349999999999994" customHeight="1">
      <c r="A788" s="1" t="str">
        <f>"Chemistry 2580"</f>
        <v>Chemistry 2580</v>
      </c>
      <c r="B788" t="s">
        <v>2043</v>
      </c>
      <c r="C788" t="s">
        <v>128</v>
      </c>
      <c r="D788" s="2">
        <v>17500</v>
      </c>
      <c r="E788" s="2">
        <v>12250</v>
      </c>
      <c r="F788" t="s">
        <v>5</v>
      </c>
      <c r="G788" t="s">
        <v>2044</v>
      </c>
      <c r="H788" t="s">
        <v>1968</v>
      </c>
      <c r="I788">
        <v>270.73034000000001</v>
      </c>
    </row>
    <row r="789" spans="1:9" ht="68.55" customHeight="1">
      <c r="A789" s="1" t="str">
        <f>"Chemistry 2588"</f>
        <v>Chemistry 2588</v>
      </c>
      <c r="B789" t="s">
        <v>2047</v>
      </c>
      <c r="C789" t="s">
        <v>3</v>
      </c>
      <c r="D789" s="2">
        <v>17500</v>
      </c>
      <c r="E789" s="2">
        <v>12250</v>
      </c>
      <c r="F789" t="s">
        <v>5</v>
      </c>
      <c r="G789" t="s">
        <v>2048</v>
      </c>
      <c r="H789" t="s">
        <v>2049</v>
      </c>
      <c r="I789">
        <v>191.18665999999999</v>
      </c>
    </row>
    <row r="790" spans="1:9" ht="71.25" customHeight="1">
      <c r="A790" s="1" t="str">
        <f>"Chemistry 2591"</f>
        <v>Chemistry 2591</v>
      </c>
      <c r="B790" t="s">
        <v>2050</v>
      </c>
      <c r="C790" t="s">
        <v>3</v>
      </c>
      <c r="D790" s="2">
        <v>15800</v>
      </c>
      <c r="E790" s="2">
        <v>11060</v>
      </c>
      <c r="F790" t="s">
        <v>5</v>
      </c>
      <c r="G790" t="s">
        <v>2051</v>
      </c>
      <c r="H790" t="s">
        <v>160</v>
      </c>
      <c r="I790">
        <v>181.18853999999999</v>
      </c>
    </row>
    <row r="791" spans="1:9" ht="61.8" customHeight="1">
      <c r="A791" s="1" t="str">
        <f>"Chemistry 2609"</f>
        <v>Chemistry 2609</v>
      </c>
      <c r="B791" t="s">
        <v>2053</v>
      </c>
      <c r="C791" t="s">
        <v>3</v>
      </c>
      <c r="D791" s="2">
        <v>14900</v>
      </c>
      <c r="E791" s="2">
        <v>10430</v>
      </c>
      <c r="F791" t="s">
        <v>5</v>
      </c>
      <c r="G791" t="s">
        <v>2054</v>
      </c>
      <c r="H791" t="s">
        <v>2055</v>
      </c>
      <c r="I791">
        <v>178.22765999999999</v>
      </c>
    </row>
    <row r="792" spans="1:9" ht="91.5" customHeight="1">
      <c r="A792" s="1" t="str">
        <f>"Chemistry 2610"</f>
        <v>Chemistry 2610</v>
      </c>
      <c r="B792" t="s">
        <v>2056</v>
      </c>
      <c r="C792" t="s">
        <v>3</v>
      </c>
      <c r="D792" s="2">
        <v>19300</v>
      </c>
      <c r="E792" s="2">
        <v>13510</v>
      </c>
      <c r="F792" t="s">
        <v>5</v>
      </c>
      <c r="G792" t="s">
        <v>2057</v>
      </c>
      <c r="H792" t="s">
        <v>2058</v>
      </c>
      <c r="I792">
        <v>254.70939999999999</v>
      </c>
    </row>
    <row r="793" spans="1:9" ht="71.25" customHeight="1">
      <c r="A793" s="1" t="str">
        <f>"Chemistry 2616"</f>
        <v>Chemistry 2616</v>
      </c>
      <c r="B793" t="s">
        <v>2061</v>
      </c>
      <c r="C793" t="s">
        <v>3</v>
      </c>
      <c r="D793" s="2">
        <v>29800</v>
      </c>
      <c r="E793" s="2">
        <v>17880</v>
      </c>
      <c r="F793" t="s">
        <v>5</v>
      </c>
      <c r="G793" t="s">
        <v>2062</v>
      </c>
      <c r="H793" t="s">
        <v>2063</v>
      </c>
      <c r="I793">
        <v>221.27063999999999</v>
      </c>
    </row>
    <row r="794" spans="1:9" ht="75.75" customHeight="1">
      <c r="A794" s="1" t="str">
        <f>"Chemistry 2618"</f>
        <v>Chemistry 2618</v>
      </c>
      <c r="B794" t="s">
        <v>2064</v>
      </c>
      <c r="C794" t="s">
        <v>3</v>
      </c>
      <c r="D794" s="2">
        <v>22800</v>
      </c>
      <c r="E794" s="2">
        <v>15959.999999999998</v>
      </c>
      <c r="F794" t="s">
        <v>5</v>
      </c>
      <c r="G794" t="s">
        <v>2065</v>
      </c>
      <c r="H794" t="s">
        <v>1202</v>
      </c>
      <c r="I794">
        <v>195.21512000000001</v>
      </c>
    </row>
    <row r="795" spans="1:9" ht="78.599999999999994" customHeight="1">
      <c r="A795" s="1" t="str">
        <f>"Chemistry 2630"</f>
        <v>Chemistry 2630</v>
      </c>
      <c r="B795" t="s">
        <v>2068</v>
      </c>
      <c r="C795" t="s">
        <v>3</v>
      </c>
      <c r="D795" s="2">
        <v>14000</v>
      </c>
      <c r="E795" s="2">
        <v>9800</v>
      </c>
      <c r="F795" t="s">
        <v>5</v>
      </c>
      <c r="G795" t="s">
        <v>2069</v>
      </c>
      <c r="H795" t="s">
        <v>1973</v>
      </c>
      <c r="I795">
        <v>222.12139999999999</v>
      </c>
    </row>
    <row r="796" spans="1:9" ht="78.599999999999994" customHeight="1">
      <c r="A796" s="1" t="str">
        <f>"Chemistry 2631"</f>
        <v>Chemistry 2631</v>
      </c>
      <c r="B796" t="s">
        <v>2070</v>
      </c>
      <c r="C796" t="s">
        <v>3</v>
      </c>
      <c r="D796" s="2">
        <v>14000</v>
      </c>
      <c r="E796" s="2">
        <v>9800</v>
      </c>
      <c r="F796" t="s">
        <v>5</v>
      </c>
      <c r="G796" t="s">
        <v>2071</v>
      </c>
      <c r="H796" t="s">
        <v>1962</v>
      </c>
      <c r="I796">
        <v>194.18729999999999</v>
      </c>
    </row>
    <row r="797" spans="1:9" ht="90.45" customHeight="1">
      <c r="A797" s="1" t="str">
        <f>"Chemistry 2633"</f>
        <v>Chemistry 2633</v>
      </c>
      <c r="B797" t="s">
        <v>2072</v>
      </c>
      <c r="C797" t="s">
        <v>3</v>
      </c>
      <c r="D797" s="2">
        <v>17500</v>
      </c>
      <c r="E797" s="2">
        <v>12250</v>
      </c>
      <c r="F797" t="s">
        <v>5</v>
      </c>
      <c r="G797" t="s">
        <v>2073</v>
      </c>
      <c r="H797" t="s">
        <v>1980</v>
      </c>
      <c r="I797">
        <v>257.21992</v>
      </c>
    </row>
    <row r="798" spans="1:9" ht="75.3" customHeight="1">
      <c r="A798" s="1" t="str">
        <f>"Chemistry 2635"</f>
        <v>Chemistry 2635</v>
      </c>
      <c r="B798" t="s">
        <v>2074</v>
      </c>
      <c r="C798" t="s">
        <v>3</v>
      </c>
      <c r="D798" s="2">
        <v>11400</v>
      </c>
      <c r="E798" s="2">
        <v>7979.9999999999991</v>
      </c>
      <c r="F798" t="s">
        <v>5</v>
      </c>
      <c r="G798" t="s">
        <v>2075</v>
      </c>
      <c r="H798" t="s">
        <v>27</v>
      </c>
      <c r="I798">
        <v>207.22582</v>
      </c>
    </row>
    <row r="799" spans="1:9" ht="75.3" customHeight="1">
      <c r="A799" s="1" t="str">
        <f>"Chemistry 2636"</f>
        <v>Chemistry 2636</v>
      </c>
      <c r="B799" t="s">
        <v>2076</v>
      </c>
      <c r="C799" t="s">
        <v>3</v>
      </c>
      <c r="D799" s="2">
        <v>11400</v>
      </c>
      <c r="E799" s="2">
        <v>7979.9999999999991</v>
      </c>
      <c r="F799" t="s">
        <v>5</v>
      </c>
      <c r="G799" t="s">
        <v>2077</v>
      </c>
      <c r="H799" t="s">
        <v>1743</v>
      </c>
      <c r="I799">
        <v>237.2518</v>
      </c>
    </row>
    <row r="800" spans="1:9" ht="87" customHeight="1">
      <c r="A800" s="1" t="str">
        <f>"Chemistry 2638"</f>
        <v>Chemistry 2638</v>
      </c>
      <c r="B800" t="s">
        <v>2078</v>
      </c>
      <c r="C800" t="s">
        <v>3</v>
      </c>
      <c r="D800" s="2">
        <v>15800</v>
      </c>
      <c r="E800" s="2">
        <v>11060</v>
      </c>
      <c r="F800" t="s">
        <v>5</v>
      </c>
      <c r="G800" t="s">
        <v>2079</v>
      </c>
      <c r="H800" t="s">
        <v>1678</v>
      </c>
      <c r="I800">
        <v>221.13334</v>
      </c>
    </row>
    <row r="801" spans="1:9" ht="71.25" customHeight="1">
      <c r="A801" s="1" t="str">
        <f>"Chemistry 2639"</f>
        <v>Chemistry 2639</v>
      </c>
      <c r="B801" t="s">
        <v>2080</v>
      </c>
      <c r="C801" t="s">
        <v>3</v>
      </c>
      <c r="D801" s="2">
        <v>15800</v>
      </c>
      <c r="E801" s="2">
        <v>11060</v>
      </c>
      <c r="F801" t="s">
        <v>5</v>
      </c>
      <c r="G801" t="s">
        <v>2081</v>
      </c>
      <c r="H801" t="s">
        <v>1594</v>
      </c>
      <c r="I801">
        <v>193.19924</v>
      </c>
    </row>
    <row r="802" spans="1:9" ht="52.8" customHeight="1">
      <c r="A802" s="1" t="str">
        <f>"Chemistry 2643"</f>
        <v>Chemistry 2643</v>
      </c>
      <c r="B802" t="s">
        <v>2082</v>
      </c>
      <c r="C802" t="s">
        <v>128</v>
      </c>
      <c r="D802" s="2">
        <v>15800</v>
      </c>
      <c r="E802" s="2">
        <v>11060</v>
      </c>
      <c r="F802" t="s">
        <v>5</v>
      </c>
      <c r="G802" t="s">
        <v>2083</v>
      </c>
      <c r="H802" t="s">
        <v>2084</v>
      </c>
      <c r="I802">
        <v>183.67786000000001</v>
      </c>
    </row>
    <row r="803" spans="1:9" ht="56.1" customHeight="1">
      <c r="A803" s="1" t="str">
        <f>"Chemistry 2644"</f>
        <v>Chemistry 2644</v>
      </c>
      <c r="B803" t="s">
        <v>2085</v>
      </c>
      <c r="C803" t="s">
        <v>128</v>
      </c>
      <c r="D803" s="2">
        <v>17500</v>
      </c>
      <c r="E803" s="2">
        <v>12250</v>
      </c>
      <c r="F803" t="s">
        <v>5</v>
      </c>
      <c r="G803" t="s">
        <v>2086</v>
      </c>
      <c r="H803" t="s">
        <v>1064</v>
      </c>
      <c r="I803">
        <v>201.66831999999999</v>
      </c>
    </row>
    <row r="804" spans="1:9" ht="61.8" customHeight="1">
      <c r="A804" s="1" t="str">
        <f>"Chemistry 2655"</f>
        <v>Chemistry 2655</v>
      </c>
      <c r="B804" t="s">
        <v>2087</v>
      </c>
      <c r="C804" t="s">
        <v>128</v>
      </c>
      <c r="D804" s="2">
        <v>14000</v>
      </c>
      <c r="E804" s="2">
        <v>9800</v>
      </c>
      <c r="F804" t="s">
        <v>5</v>
      </c>
      <c r="G804" t="s">
        <v>2088</v>
      </c>
      <c r="H804" t="s">
        <v>2089</v>
      </c>
      <c r="I804">
        <v>287.78237999999999</v>
      </c>
    </row>
    <row r="805" spans="1:9" ht="62.85" customHeight="1">
      <c r="A805" s="1" t="str">
        <f>"Chemistry 2656"</f>
        <v>Chemistry 2656</v>
      </c>
      <c r="B805" t="s">
        <v>2090</v>
      </c>
      <c r="C805" t="s">
        <v>128</v>
      </c>
      <c r="D805" s="2">
        <v>22800</v>
      </c>
      <c r="E805" s="2">
        <v>15959.999999999998</v>
      </c>
      <c r="F805" t="s">
        <v>5</v>
      </c>
      <c r="G805" t="s">
        <v>2091</v>
      </c>
      <c r="H805" t="s">
        <v>2092</v>
      </c>
      <c r="I805">
        <v>248.1489</v>
      </c>
    </row>
    <row r="806" spans="1:9" ht="68.55" customHeight="1">
      <c r="A806" s="1" t="str">
        <f>"Chemistry 2657"</f>
        <v>Chemistry 2657</v>
      </c>
      <c r="B806" t="s">
        <v>2093</v>
      </c>
      <c r="C806" t="s">
        <v>128</v>
      </c>
      <c r="D806" s="2">
        <v>21000</v>
      </c>
      <c r="E806" s="2">
        <v>14699.999999999998</v>
      </c>
      <c r="F806" t="s">
        <v>5</v>
      </c>
      <c r="G806" t="s">
        <v>2094</v>
      </c>
      <c r="H806" t="s">
        <v>2095</v>
      </c>
      <c r="I806">
        <v>198.65273999999999</v>
      </c>
    </row>
    <row r="807" spans="1:9" ht="61.8" customHeight="1">
      <c r="A807" s="1" t="str">
        <f>"Chemistry 2663"</f>
        <v>Chemistry 2663</v>
      </c>
      <c r="B807" t="s">
        <v>2098</v>
      </c>
      <c r="C807" t="s">
        <v>3</v>
      </c>
      <c r="D807" s="2">
        <v>15800</v>
      </c>
      <c r="E807" s="2">
        <v>11060</v>
      </c>
      <c r="F807" t="s">
        <v>5</v>
      </c>
      <c r="G807" t="s">
        <v>2099</v>
      </c>
      <c r="H807" t="s">
        <v>1114</v>
      </c>
      <c r="I807">
        <v>194.20223999999999</v>
      </c>
    </row>
    <row r="808" spans="1:9" ht="71.25" customHeight="1">
      <c r="A808" s="1" t="str">
        <f>"Chemistry 2664"</f>
        <v>Chemistry 2664</v>
      </c>
      <c r="B808" t="s">
        <v>2100</v>
      </c>
      <c r="C808" t="s">
        <v>3</v>
      </c>
      <c r="D808" s="2">
        <v>15800</v>
      </c>
      <c r="E808" s="2">
        <v>11060</v>
      </c>
      <c r="F808" t="s">
        <v>5</v>
      </c>
      <c r="G808" t="s">
        <v>2101</v>
      </c>
      <c r="H808" t="s">
        <v>1138</v>
      </c>
      <c r="I808">
        <v>206.23776000000001</v>
      </c>
    </row>
    <row r="809" spans="1:9" ht="91.05" customHeight="1">
      <c r="A809" s="1" t="str">
        <f>"Chemistry 2672"</f>
        <v>Chemistry 2672</v>
      </c>
      <c r="B809" t="s">
        <v>2103</v>
      </c>
      <c r="C809" t="s">
        <v>3</v>
      </c>
      <c r="D809" s="2">
        <v>24500</v>
      </c>
      <c r="E809" s="2">
        <v>17150</v>
      </c>
      <c r="F809" t="s">
        <v>5</v>
      </c>
      <c r="G809" t="s">
        <v>2104</v>
      </c>
      <c r="H809" t="s">
        <v>1743</v>
      </c>
      <c r="I809">
        <v>237.2518</v>
      </c>
    </row>
    <row r="810" spans="1:9" ht="65.099999999999994" customHeight="1">
      <c r="A810" s="1" t="str">
        <f>"Chemistry 2674"</f>
        <v>Chemistry 2674</v>
      </c>
      <c r="B810" t="s">
        <v>2105</v>
      </c>
      <c r="C810" t="s">
        <v>128</v>
      </c>
      <c r="D810" s="2">
        <v>28000</v>
      </c>
      <c r="E810" s="2">
        <v>16800</v>
      </c>
      <c r="F810" t="s">
        <v>5</v>
      </c>
      <c r="G810" t="s">
        <v>2106</v>
      </c>
      <c r="H810" t="s">
        <v>386</v>
      </c>
      <c r="I810">
        <v>206.66990000000001</v>
      </c>
    </row>
    <row r="811" spans="1:9" ht="63.45" customHeight="1">
      <c r="A811" s="1" t="str">
        <f>"Chemistry 2675"</f>
        <v>Chemistry 2675</v>
      </c>
      <c r="B811" t="s">
        <v>2107</v>
      </c>
      <c r="C811" t="s">
        <v>3</v>
      </c>
      <c r="D811" s="2">
        <v>35000</v>
      </c>
      <c r="E811" s="2">
        <v>21000</v>
      </c>
      <c r="F811" t="s">
        <v>5</v>
      </c>
      <c r="G811" t="s">
        <v>2108</v>
      </c>
      <c r="H811" t="s">
        <v>297</v>
      </c>
      <c r="I811">
        <v>256.34125999999998</v>
      </c>
    </row>
    <row r="812" spans="1:9" ht="61.8" customHeight="1">
      <c r="A812" s="1" t="str">
        <f>"Chemistry 2677"</f>
        <v>Chemistry 2677</v>
      </c>
      <c r="B812" t="s">
        <v>2109</v>
      </c>
      <c r="C812" t="s">
        <v>3</v>
      </c>
      <c r="D812" s="2">
        <v>29800</v>
      </c>
      <c r="E812" s="2">
        <v>17880</v>
      </c>
      <c r="F812" t="s">
        <v>5</v>
      </c>
      <c r="G812" t="s">
        <v>2110</v>
      </c>
      <c r="H812" t="s">
        <v>2063</v>
      </c>
      <c r="I812">
        <v>221.27063999999999</v>
      </c>
    </row>
    <row r="813" spans="1:9" ht="61.8" customHeight="1">
      <c r="A813" s="1" t="str">
        <f>"Chemistry 2678"</f>
        <v>Chemistry 2678</v>
      </c>
      <c r="B813" t="s">
        <v>2111</v>
      </c>
      <c r="C813" t="s">
        <v>3</v>
      </c>
      <c r="D813" s="2">
        <v>29800</v>
      </c>
      <c r="E813" s="2">
        <v>17880</v>
      </c>
      <c r="F813" t="s">
        <v>5</v>
      </c>
      <c r="G813" t="s">
        <v>2112</v>
      </c>
      <c r="H813" t="s">
        <v>2063</v>
      </c>
      <c r="I813">
        <v>221.27063999999999</v>
      </c>
    </row>
    <row r="814" spans="1:9" ht="63.45" customHeight="1">
      <c r="A814" s="1" t="str">
        <f>"Chemistry 2679"</f>
        <v>Chemistry 2679</v>
      </c>
      <c r="B814" t="s">
        <v>2113</v>
      </c>
      <c r="C814" t="s">
        <v>3</v>
      </c>
      <c r="D814" s="2">
        <v>22800</v>
      </c>
      <c r="E814" s="2">
        <v>15959.999999999998</v>
      </c>
      <c r="F814" t="s">
        <v>5</v>
      </c>
      <c r="G814" t="s">
        <v>2114</v>
      </c>
      <c r="H814" t="s">
        <v>1585</v>
      </c>
      <c r="I814">
        <v>177.19983999999999</v>
      </c>
    </row>
    <row r="815" spans="1:9" ht="51.6" customHeight="1">
      <c r="A815" s="1" t="str">
        <f>"Chemistry 2683"</f>
        <v>Chemistry 2683</v>
      </c>
      <c r="B815" t="s">
        <v>2115</v>
      </c>
      <c r="C815" t="s">
        <v>3</v>
      </c>
      <c r="D815" s="2">
        <v>22800</v>
      </c>
      <c r="E815" s="2">
        <v>15959.999999999998</v>
      </c>
      <c r="F815" t="s">
        <v>5</v>
      </c>
      <c r="G815" t="s">
        <v>2116</v>
      </c>
      <c r="H815" t="s">
        <v>1202</v>
      </c>
      <c r="I815">
        <v>195.21511000000001</v>
      </c>
    </row>
    <row r="816" spans="1:9" ht="67.95" customHeight="1">
      <c r="A816" s="1" t="str">
        <f>"Chemistry 2684"</f>
        <v>Chemistry 2684</v>
      </c>
      <c r="B816" t="s">
        <v>2117</v>
      </c>
      <c r="C816" t="s">
        <v>3</v>
      </c>
      <c r="D816" s="2">
        <v>14000</v>
      </c>
      <c r="E816" s="2">
        <v>9800</v>
      </c>
      <c r="F816" t="s">
        <v>5</v>
      </c>
      <c r="G816" t="s">
        <v>2118</v>
      </c>
      <c r="H816" t="s">
        <v>2067</v>
      </c>
      <c r="I816">
        <v>192.13847999999999</v>
      </c>
    </row>
    <row r="817" spans="1:9" ht="67.95" customHeight="1">
      <c r="A817" s="1" t="str">
        <f>"Chemistry 2692"</f>
        <v>Chemistry 2692</v>
      </c>
      <c r="B817" t="s">
        <v>2119</v>
      </c>
      <c r="C817" t="s">
        <v>3</v>
      </c>
      <c r="D817" s="2">
        <v>15800</v>
      </c>
      <c r="E817" s="2">
        <v>11060</v>
      </c>
      <c r="F817" t="s">
        <v>5</v>
      </c>
      <c r="G817" t="s">
        <v>2120</v>
      </c>
      <c r="H817" t="s">
        <v>1678</v>
      </c>
      <c r="I817">
        <v>221.13334</v>
      </c>
    </row>
    <row r="818" spans="1:9" ht="67.95" customHeight="1">
      <c r="A818" s="1" t="str">
        <f>"Chemistry 2693"</f>
        <v>Chemistry 2693</v>
      </c>
      <c r="B818" t="s">
        <v>2121</v>
      </c>
      <c r="C818" t="s">
        <v>3</v>
      </c>
      <c r="D818" s="2">
        <v>15800</v>
      </c>
      <c r="E818" s="2">
        <v>11060</v>
      </c>
      <c r="F818" t="s">
        <v>5</v>
      </c>
      <c r="G818" t="s">
        <v>2122</v>
      </c>
      <c r="H818" t="s">
        <v>160</v>
      </c>
      <c r="I818">
        <v>181.18853999999999</v>
      </c>
    </row>
    <row r="819" spans="1:9" ht="61.8" customHeight="1">
      <c r="A819" s="1" t="str">
        <f>"Chemistry 2695"</f>
        <v>Chemistry 2695</v>
      </c>
      <c r="B819" t="s">
        <v>2123</v>
      </c>
      <c r="C819" t="s">
        <v>128</v>
      </c>
      <c r="D819" s="2">
        <v>17500</v>
      </c>
      <c r="E819" s="2">
        <v>12250</v>
      </c>
      <c r="F819" t="s">
        <v>5</v>
      </c>
      <c r="G819" t="s">
        <v>2124</v>
      </c>
      <c r="H819" t="s">
        <v>2125</v>
      </c>
      <c r="I819">
        <v>215.71970999999999</v>
      </c>
    </row>
    <row r="820" spans="1:9" ht="61.8" customHeight="1">
      <c r="A820" s="1" t="str">
        <f>"Chemistry 2696"</f>
        <v>Chemistry 2696</v>
      </c>
      <c r="B820" t="s">
        <v>2126</v>
      </c>
      <c r="C820" t="s">
        <v>128</v>
      </c>
      <c r="D820" s="2">
        <v>17500</v>
      </c>
      <c r="E820" s="2">
        <v>12250</v>
      </c>
      <c r="F820" t="s">
        <v>5</v>
      </c>
      <c r="G820" t="s">
        <v>2127</v>
      </c>
      <c r="H820" t="s">
        <v>1102</v>
      </c>
      <c r="I820">
        <v>213.70384000000001</v>
      </c>
    </row>
    <row r="821" spans="1:9" ht="73.05" customHeight="1">
      <c r="A821" s="1" t="str">
        <f>"Chemistry 2704"</f>
        <v>Chemistry 2704</v>
      </c>
      <c r="B821" t="s">
        <v>2129</v>
      </c>
      <c r="C821" t="s">
        <v>128</v>
      </c>
      <c r="D821" s="2">
        <v>21000</v>
      </c>
      <c r="E821" s="2">
        <v>14699.999999999998</v>
      </c>
      <c r="F821" t="s">
        <v>5</v>
      </c>
      <c r="G821" t="s">
        <v>2130</v>
      </c>
      <c r="H821" t="s">
        <v>2131</v>
      </c>
      <c r="I821">
        <v>226.70590000000001</v>
      </c>
    </row>
    <row r="822" spans="1:9" ht="91.05" customHeight="1">
      <c r="A822" s="1" t="str">
        <f>"Chemistry 2705"</f>
        <v>Chemistry 2705</v>
      </c>
      <c r="B822" t="s">
        <v>2132</v>
      </c>
      <c r="C822" t="s">
        <v>3</v>
      </c>
      <c r="D822" s="2">
        <v>17500</v>
      </c>
      <c r="E822" s="2">
        <v>12250</v>
      </c>
      <c r="F822" t="s">
        <v>5</v>
      </c>
      <c r="G822" t="s">
        <v>2133</v>
      </c>
      <c r="H822" t="s">
        <v>2096</v>
      </c>
      <c r="I822">
        <v>240.68281999999999</v>
      </c>
    </row>
    <row r="823" spans="1:9" ht="71.25" customHeight="1">
      <c r="A823" s="1" t="str">
        <f>"Chemistry 2706"</f>
        <v>Chemistry 2706</v>
      </c>
      <c r="B823" t="s">
        <v>2134</v>
      </c>
      <c r="C823" t="s">
        <v>3</v>
      </c>
      <c r="D823" s="2">
        <v>15800</v>
      </c>
      <c r="E823" s="2">
        <v>11060</v>
      </c>
      <c r="F823" t="s">
        <v>5</v>
      </c>
      <c r="G823" t="s">
        <v>2135</v>
      </c>
      <c r="H823" t="s">
        <v>2136</v>
      </c>
      <c r="I823">
        <v>196.21812</v>
      </c>
    </row>
    <row r="824" spans="1:9" ht="57.75" customHeight="1">
      <c r="A824" s="1" t="str">
        <f>"Chemistry 2707"</f>
        <v>Chemistry 2707</v>
      </c>
      <c r="B824" t="s">
        <v>2137</v>
      </c>
      <c r="C824" t="s">
        <v>3</v>
      </c>
      <c r="D824" s="2">
        <v>15800</v>
      </c>
      <c r="E824" s="2">
        <v>11060</v>
      </c>
      <c r="F824" t="s">
        <v>5</v>
      </c>
      <c r="G824" t="s">
        <v>2138</v>
      </c>
      <c r="H824" t="s">
        <v>2097</v>
      </c>
      <c r="I824">
        <v>208.25362999999999</v>
      </c>
    </row>
    <row r="825" spans="1:9" ht="82.5" customHeight="1">
      <c r="A825" s="1" t="str">
        <f>"Chemistry 2709"</f>
        <v>Chemistry 2709</v>
      </c>
      <c r="B825" t="s">
        <v>2139</v>
      </c>
      <c r="C825" t="s">
        <v>3</v>
      </c>
      <c r="D825" s="2">
        <v>19300</v>
      </c>
      <c r="E825" s="2">
        <v>13510</v>
      </c>
      <c r="F825" t="s">
        <v>5</v>
      </c>
      <c r="G825" t="s">
        <v>2140</v>
      </c>
      <c r="H825" t="s">
        <v>2058</v>
      </c>
      <c r="I825">
        <v>254.70939999999999</v>
      </c>
    </row>
    <row r="826" spans="1:9" ht="61.8" customHeight="1">
      <c r="A826" s="1" t="str">
        <f>"Chemistry 2714"</f>
        <v>Chemistry 2714</v>
      </c>
      <c r="B826" t="s">
        <v>2143</v>
      </c>
      <c r="C826" t="s">
        <v>3</v>
      </c>
      <c r="D826" s="2">
        <v>24500</v>
      </c>
      <c r="E826" s="2">
        <v>17150</v>
      </c>
      <c r="F826" t="s">
        <v>5</v>
      </c>
      <c r="G826" t="s">
        <v>2144</v>
      </c>
      <c r="H826" t="s">
        <v>1594</v>
      </c>
      <c r="I826">
        <v>193.19923</v>
      </c>
    </row>
    <row r="827" spans="1:9" ht="91.5" customHeight="1">
      <c r="A827" s="1" t="str">
        <f>"Chemistry 2719"</f>
        <v>Chemistry 2719</v>
      </c>
      <c r="B827" t="s">
        <v>2145</v>
      </c>
      <c r="C827" t="s">
        <v>128</v>
      </c>
      <c r="D827" s="2">
        <v>29800</v>
      </c>
      <c r="E827" s="2">
        <v>17880</v>
      </c>
      <c r="F827" t="s">
        <v>5</v>
      </c>
      <c r="G827" t="s">
        <v>2146</v>
      </c>
      <c r="H827" t="s">
        <v>1968</v>
      </c>
      <c r="I827">
        <v>270.73034000000001</v>
      </c>
    </row>
    <row r="828" spans="1:9" ht="85.95" customHeight="1">
      <c r="A828" s="1" t="str">
        <f>"Chemistry 2725"</f>
        <v>Chemistry 2725</v>
      </c>
      <c r="B828" t="s">
        <v>2147</v>
      </c>
      <c r="C828" t="s">
        <v>3</v>
      </c>
      <c r="D828" s="2">
        <v>15800</v>
      </c>
      <c r="E828" s="2">
        <v>11060</v>
      </c>
      <c r="F828" t="s">
        <v>5</v>
      </c>
      <c r="G828" t="s">
        <v>2148</v>
      </c>
      <c r="H828" t="s">
        <v>1594</v>
      </c>
      <c r="I828">
        <v>193.19924</v>
      </c>
    </row>
    <row r="829" spans="1:9" ht="67.95" customHeight="1">
      <c r="A829" s="1" t="str">
        <f>"Chemistry 2726"</f>
        <v>Chemistry 2726</v>
      </c>
      <c r="B829" t="s">
        <v>2149</v>
      </c>
      <c r="C829" t="s">
        <v>128</v>
      </c>
      <c r="D829" s="2">
        <v>17500</v>
      </c>
      <c r="E829" s="2">
        <v>12250</v>
      </c>
      <c r="F829" t="s">
        <v>5</v>
      </c>
      <c r="G829" t="s">
        <v>2150</v>
      </c>
      <c r="H829" t="s">
        <v>2151</v>
      </c>
      <c r="I829">
        <v>203.6842</v>
      </c>
    </row>
    <row r="830" spans="1:9" ht="57.75" customHeight="1">
      <c r="A830" s="1" t="str">
        <f>"Chemistry 2727"</f>
        <v>Chemistry 2727</v>
      </c>
      <c r="B830" t="s">
        <v>2152</v>
      </c>
      <c r="C830" t="s">
        <v>128</v>
      </c>
      <c r="D830" s="2">
        <v>17500</v>
      </c>
      <c r="E830" s="2">
        <v>12250</v>
      </c>
      <c r="F830" t="s">
        <v>5</v>
      </c>
      <c r="G830" t="s">
        <v>2153</v>
      </c>
      <c r="H830" t="s">
        <v>2151</v>
      </c>
      <c r="I830">
        <v>203.6842</v>
      </c>
    </row>
    <row r="831" spans="1:9" ht="56.1" customHeight="1">
      <c r="A831" s="1" t="str">
        <f>"Chemistry 2728"</f>
        <v>Chemistry 2728</v>
      </c>
      <c r="B831" t="s">
        <v>2154</v>
      </c>
      <c r="C831" t="s">
        <v>128</v>
      </c>
      <c r="D831" s="2">
        <v>17500</v>
      </c>
      <c r="E831" s="2">
        <v>12250</v>
      </c>
      <c r="F831" t="s">
        <v>5</v>
      </c>
      <c r="G831" t="s">
        <v>2155</v>
      </c>
      <c r="H831" t="s">
        <v>1064</v>
      </c>
      <c r="I831">
        <v>201.66831999999999</v>
      </c>
    </row>
    <row r="832" spans="1:9" ht="56.1" customHeight="1">
      <c r="A832" s="1" t="str">
        <f>"Chemistry 2730"</f>
        <v>Chemistry 2730</v>
      </c>
      <c r="B832" t="s">
        <v>2156</v>
      </c>
      <c r="C832" t="s">
        <v>128</v>
      </c>
      <c r="D832" s="2">
        <v>17500</v>
      </c>
      <c r="E832" s="2">
        <v>12250</v>
      </c>
      <c r="F832" t="s">
        <v>5</v>
      </c>
      <c r="G832" t="s">
        <v>2157</v>
      </c>
      <c r="H832" t="s">
        <v>1102</v>
      </c>
      <c r="I832">
        <v>213.70384000000001</v>
      </c>
    </row>
    <row r="833" spans="1:9" ht="75.75" customHeight="1">
      <c r="A833" s="1" t="str">
        <f>"Chemistry 2735"</f>
        <v>Chemistry 2735</v>
      </c>
      <c r="B833" t="s">
        <v>2158</v>
      </c>
      <c r="C833" t="s">
        <v>3</v>
      </c>
      <c r="D833" s="2">
        <v>14900</v>
      </c>
      <c r="E833" s="2">
        <v>10430</v>
      </c>
      <c r="F833" t="s">
        <v>5</v>
      </c>
      <c r="G833" t="s">
        <v>2159</v>
      </c>
      <c r="H833" t="s">
        <v>2055</v>
      </c>
      <c r="I833">
        <v>178.22765999999999</v>
      </c>
    </row>
    <row r="834" spans="1:9" ht="70.2" customHeight="1">
      <c r="A834" s="1" t="str">
        <f>"Chemistry 2737"</f>
        <v>Chemistry 2737</v>
      </c>
      <c r="B834" t="s">
        <v>2160</v>
      </c>
      <c r="C834" t="s">
        <v>3</v>
      </c>
      <c r="D834" s="2">
        <v>14900</v>
      </c>
      <c r="E834" s="2">
        <v>10430</v>
      </c>
      <c r="F834" t="s">
        <v>5</v>
      </c>
      <c r="G834" t="s">
        <v>2161</v>
      </c>
      <c r="H834" t="s">
        <v>2162</v>
      </c>
      <c r="I834">
        <v>190.23836</v>
      </c>
    </row>
    <row r="835" spans="1:9" ht="57.75" customHeight="1">
      <c r="A835" s="1" t="str">
        <f>"Chemistry 2738"</f>
        <v>Chemistry 2738</v>
      </c>
      <c r="B835" t="s">
        <v>2163</v>
      </c>
      <c r="C835" t="s">
        <v>3</v>
      </c>
      <c r="D835" s="2">
        <v>15800</v>
      </c>
      <c r="E835" s="2">
        <v>11060</v>
      </c>
      <c r="F835" t="s">
        <v>5</v>
      </c>
      <c r="G835" t="s">
        <v>2164</v>
      </c>
      <c r="H835" t="s">
        <v>2136</v>
      </c>
      <c r="I835">
        <v>196.21812</v>
      </c>
    </row>
    <row r="836" spans="1:9" ht="51.6" customHeight="1">
      <c r="A836" s="1" t="str">
        <f>"Chemistry 2743"</f>
        <v>Chemistry 2743</v>
      </c>
      <c r="B836" t="s">
        <v>2166</v>
      </c>
      <c r="C836" t="s">
        <v>3</v>
      </c>
      <c r="D836" s="2">
        <v>21000</v>
      </c>
      <c r="E836" s="2">
        <v>14699.999999999998</v>
      </c>
      <c r="F836" t="s">
        <v>5</v>
      </c>
      <c r="G836" t="s">
        <v>2167</v>
      </c>
      <c r="H836" t="s">
        <v>2168</v>
      </c>
      <c r="I836">
        <v>114.14239000000001</v>
      </c>
    </row>
    <row r="837" spans="1:9" ht="43.2" customHeight="1">
      <c r="A837" s="1" t="str">
        <f>"Chemistry 2744"</f>
        <v>Chemistry 2744</v>
      </c>
      <c r="B837" t="s">
        <v>2169</v>
      </c>
      <c r="C837" t="s">
        <v>128</v>
      </c>
      <c r="D837" s="2">
        <v>24500</v>
      </c>
      <c r="E837" s="2">
        <v>17150</v>
      </c>
      <c r="F837" t="s">
        <v>5</v>
      </c>
      <c r="G837" t="s">
        <v>2170</v>
      </c>
      <c r="H837" t="s">
        <v>2171</v>
      </c>
      <c r="I837">
        <v>177.7148</v>
      </c>
    </row>
    <row r="838" spans="1:9" ht="59.55" customHeight="1">
      <c r="A838" s="1" t="str">
        <f>"Chemistry 2750"</f>
        <v>Chemistry 2750</v>
      </c>
      <c r="B838" t="s">
        <v>2174</v>
      </c>
      <c r="C838" t="s">
        <v>128</v>
      </c>
      <c r="D838" s="2">
        <v>21000</v>
      </c>
      <c r="E838" s="2">
        <v>14699.999999999998</v>
      </c>
      <c r="F838" t="s">
        <v>5</v>
      </c>
      <c r="G838" t="s">
        <v>2175</v>
      </c>
      <c r="H838" t="s">
        <v>2102</v>
      </c>
      <c r="I838">
        <v>215.69489999999999</v>
      </c>
    </row>
    <row r="839" spans="1:9" ht="79.2" customHeight="1">
      <c r="A839" s="1" t="str">
        <f>"Chemistry 2751"</f>
        <v>Chemistry 2751</v>
      </c>
      <c r="B839" t="s">
        <v>2176</v>
      </c>
      <c r="C839" t="s">
        <v>128</v>
      </c>
      <c r="D839" s="2">
        <v>21000</v>
      </c>
      <c r="E839" s="2">
        <v>14699.999999999998</v>
      </c>
      <c r="F839" t="s">
        <v>5</v>
      </c>
      <c r="G839" t="s">
        <v>2177</v>
      </c>
      <c r="H839" t="s">
        <v>1597</v>
      </c>
      <c r="I839">
        <v>227.73042000000001</v>
      </c>
    </row>
    <row r="840" spans="1:9" ht="81.45" customHeight="1">
      <c r="A840" s="1" t="str">
        <f>"Chemistry 2761"</f>
        <v>Chemistry 2761</v>
      </c>
      <c r="B840" t="s">
        <v>2180</v>
      </c>
      <c r="C840" t="s">
        <v>128</v>
      </c>
      <c r="D840" s="2">
        <v>21000</v>
      </c>
      <c r="E840" s="2">
        <v>14699.999999999998</v>
      </c>
      <c r="F840" t="s">
        <v>5</v>
      </c>
      <c r="G840" t="s">
        <v>2181</v>
      </c>
      <c r="H840" t="s">
        <v>1839</v>
      </c>
      <c r="I840">
        <v>241.75700000000001</v>
      </c>
    </row>
    <row r="841" spans="1:9" ht="53.85" customHeight="1">
      <c r="A841" s="1" t="str">
        <f>"Chemistry 2764"</f>
        <v>Chemistry 2764</v>
      </c>
      <c r="B841" t="s">
        <v>2182</v>
      </c>
      <c r="C841" t="s">
        <v>3</v>
      </c>
      <c r="D841" s="2">
        <v>10500</v>
      </c>
      <c r="E841" s="2">
        <v>7349.9999999999991</v>
      </c>
      <c r="F841" t="s">
        <v>5</v>
      </c>
      <c r="G841" t="s">
        <v>2183</v>
      </c>
      <c r="H841" t="s">
        <v>2184</v>
      </c>
      <c r="I841">
        <v>169.18114</v>
      </c>
    </row>
    <row r="842" spans="1:9" ht="91.5" customHeight="1">
      <c r="A842" s="1" t="str">
        <f>"Chemistry 2767"</f>
        <v>Chemistry 2767</v>
      </c>
      <c r="B842" t="s">
        <v>2185</v>
      </c>
      <c r="C842" t="s">
        <v>3</v>
      </c>
      <c r="D842" s="2">
        <v>22800</v>
      </c>
      <c r="E842" s="2">
        <v>15959.999999999998</v>
      </c>
      <c r="F842" t="s">
        <v>5</v>
      </c>
      <c r="G842" t="s">
        <v>2186</v>
      </c>
      <c r="H842" t="s">
        <v>1202</v>
      </c>
      <c r="I842">
        <v>195.21512000000001</v>
      </c>
    </row>
    <row r="843" spans="1:9" ht="65.099999999999994" customHeight="1">
      <c r="A843" s="1" t="str">
        <f>"Chemistry 2773"</f>
        <v>Chemistry 2773</v>
      </c>
      <c r="B843" t="s">
        <v>2187</v>
      </c>
      <c r="C843" t="s">
        <v>3</v>
      </c>
      <c r="D843" s="2">
        <v>15800</v>
      </c>
      <c r="E843" s="2">
        <v>11060</v>
      </c>
      <c r="F843" t="s">
        <v>5</v>
      </c>
      <c r="G843" t="s">
        <v>2188</v>
      </c>
      <c r="H843" t="s">
        <v>1594</v>
      </c>
      <c r="I843">
        <v>193.19924</v>
      </c>
    </row>
    <row r="844" spans="1:9" ht="65.099999999999994" customHeight="1">
      <c r="A844" s="1" t="str">
        <f>"Chemistry 2775"</f>
        <v>Chemistry 2775</v>
      </c>
      <c r="B844" t="s">
        <v>2189</v>
      </c>
      <c r="C844" t="s">
        <v>3</v>
      </c>
      <c r="D844" s="2">
        <v>15800</v>
      </c>
      <c r="E844" s="2">
        <v>11060</v>
      </c>
      <c r="F844" t="s">
        <v>5</v>
      </c>
      <c r="G844" t="s">
        <v>2190</v>
      </c>
      <c r="H844" t="s">
        <v>160</v>
      </c>
      <c r="I844">
        <v>181.18853999999999</v>
      </c>
    </row>
    <row r="845" spans="1:9" ht="72.45" customHeight="1">
      <c r="A845" s="1" t="str">
        <f>"Chemistry 2778"</f>
        <v>Chemistry 2778</v>
      </c>
      <c r="B845" t="s">
        <v>2191</v>
      </c>
      <c r="C845" t="s">
        <v>3</v>
      </c>
      <c r="D845" s="2">
        <v>15800</v>
      </c>
      <c r="E845" s="2">
        <v>11060</v>
      </c>
      <c r="F845" t="s">
        <v>5</v>
      </c>
      <c r="G845" t="s">
        <v>2192</v>
      </c>
      <c r="H845" t="s">
        <v>1673</v>
      </c>
      <c r="I845">
        <v>167.16195999999999</v>
      </c>
    </row>
    <row r="846" spans="1:9" ht="67.95" customHeight="1">
      <c r="A846" s="1" t="str">
        <f>"Chemistry 2780"</f>
        <v>Chemistry 2780</v>
      </c>
      <c r="B846" t="s">
        <v>2193</v>
      </c>
      <c r="C846" t="s">
        <v>3</v>
      </c>
      <c r="D846" s="2">
        <v>15800</v>
      </c>
      <c r="E846" s="2">
        <v>11060</v>
      </c>
      <c r="F846" t="s">
        <v>5</v>
      </c>
      <c r="G846" t="s">
        <v>2194</v>
      </c>
      <c r="H846" t="s">
        <v>1594</v>
      </c>
      <c r="I846">
        <v>193.19924</v>
      </c>
    </row>
    <row r="847" spans="1:9" ht="54.45" customHeight="1">
      <c r="A847" s="1" t="str">
        <f>"Chemistry 2781"</f>
        <v>Chemistry 2781</v>
      </c>
      <c r="B847" t="s">
        <v>2195</v>
      </c>
      <c r="C847" t="s">
        <v>128</v>
      </c>
      <c r="D847" s="2">
        <v>17500</v>
      </c>
      <c r="E847" s="2">
        <v>12250</v>
      </c>
      <c r="F847" t="s">
        <v>5</v>
      </c>
      <c r="G847" t="s">
        <v>2196</v>
      </c>
      <c r="H847" t="s">
        <v>2102</v>
      </c>
      <c r="I847">
        <v>215.69489999999999</v>
      </c>
    </row>
    <row r="848" spans="1:9" ht="83.7" customHeight="1">
      <c r="A848" s="1" t="str">
        <f>"Chemistry 2783"</f>
        <v>Chemistry 2783</v>
      </c>
      <c r="B848" t="s">
        <v>2197</v>
      </c>
      <c r="C848" t="s">
        <v>128</v>
      </c>
      <c r="D848" s="2">
        <v>17500</v>
      </c>
      <c r="E848" s="2">
        <v>12250</v>
      </c>
      <c r="F848" t="s">
        <v>5</v>
      </c>
      <c r="G848" t="s">
        <v>2198</v>
      </c>
      <c r="H848" t="s">
        <v>2199</v>
      </c>
      <c r="I848">
        <v>253.6917</v>
      </c>
    </row>
    <row r="849" spans="1:9" ht="55.5" customHeight="1">
      <c r="A849" s="1" t="str">
        <f>"Chemistry 2788"</f>
        <v>Chemistry 2788</v>
      </c>
      <c r="B849" t="s">
        <v>2200</v>
      </c>
      <c r="C849" t="s">
        <v>128</v>
      </c>
      <c r="D849" s="2">
        <v>17500</v>
      </c>
      <c r="E849" s="2">
        <v>12250</v>
      </c>
      <c r="F849" t="s">
        <v>5</v>
      </c>
      <c r="G849" t="s">
        <v>2201</v>
      </c>
      <c r="H849" t="s">
        <v>2202</v>
      </c>
      <c r="I849">
        <v>239.66512</v>
      </c>
    </row>
    <row r="850" spans="1:9" ht="55.5" customHeight="1">
      <c r="A850" s="1" t="str">
        <f>"Chemistry 2789"</f>
        <v>Chemistry 2789</v>
      </c>
      <c r="B850" t="s">
        <v>2203</v>
      </c>
      <c r="C850" t="s">
        <v>128</v>
      </c>
      <c r="D850" s="2">
        <v>17500</v>
      </c>
      <c r="E850" s="2">
        <v>12250</v>
      </c>
      <c r="F850" t="s">
        <v>5</v>
      </c>
      <c r="G850" t="s">
        <v>2204</v>
      </c>
      <c r="H850" t="s">
        <v>2205</v>
      </c>
      <c r="I850">
        <v>251.67581999999999</v>
      </c>
    </row>
    <row r="851" spans="1:9" ht="87" customHeight="1">
      <c r="A851" s="1" t="str">
        <f>"Chemistry 2790"</f>
        <v>Chemistry 2790</v>
      </c>
      <c r="B851" t="s">
        <v>2206</v>
      </c>
      <c r="C851" t="s">
        <v>3</v>
      </c>
      <c r="D851" s="2">
        <v>15800</v>
      </c>
      <c r="E851" s="2">
        <v>11060</v>
      </c>
      <c r="F851" t="s">
        <v>5</v>
      </c>
      <c r="G851" t="s">
        <v>2207</v>
      </c>
      <c r="H851" t="s">
        <v>2208</v>
      </c>
      <c r="I851">
        <v>246.22561999999999</v>
      </c>
    </row>
    <row r="852" spans="1:9" ht="91.5" customHeight="1">
      <c r="A852" s="1" t="str">
        <f>"Chemistry 2791"</f>
        <v>Chemistry 2791</v>
      </c>
      <c r="B852" t="s">
        <v>2209</v>
      </c>
      <c r="C852" t="s">
        <v>3</v>
      </c>
      <c r="D852" s="2">
        <v>15800</v>
      </c>
      <c r="E852" s="2">
        <v>11060</v>
      </c>
      <c r="F852" t="s">
        <v>5</v>
      </c>
      <c r="G852" t="s">
        <v>2210</v>
      </c>
      <c r="H852" t="s">
        <v>2208</v>
      </c>
      <c r="I852">
        <v>246.22561999999999</v>
      </c>
    </row>
    <row r="853" spans="1:9" ht="57.75" customHeight="1">
      <c r="A853" s="1" t="str">
        <f>"Chemistry 2792"</f>
        <v>Chemistry 2792</v>
      </c>
      <c r="B853" t="s">
        <v>2211</v>
      </c>
      <c r="C853" t="s">
        <v>3</v>
      </c>
      <c r="D853" s="2">
        <v>17500</v>
      </c>
      <c r="E853" s="2">
        <v>12250</v>
      </c>
      <c r="F853" t="s">
        <v>5</v>
      </c>
      <c r="G853" t="s">
        <v>2212</v>
      </c>
      <c r="H853" t="s">
        <v>2213</v>
      </c>
      <c r="I853">
        <v>179.21572</v>
      </c>
    </row>
    <row r="854" spans="1:9" ht="55.5" customHeight="1">
      <c r="A854" s="1" t="str">
        <f>"Chemistry 2796"</f>
        <v>Chemistry 2796</v>
      </c>
      <c r="B854" t="s">
        <v>2216</v>
      </c>
      <c r="C854" t="s">
        <v>3</v>
      </c>
      <c r="D854" s="2">
        <v>15800</v>
      </c>
      <c r="E854" s="2">
        <v>11060</v>
      </c>
      <c r="F854" t="s">
        <v>5</v>
      </c>
      <c r="G854" t="s">
        <v>2217</v>
      </c>
      <c r="H854" t="s">
        <v>2215</v>
      </c>
      <c r="I854">
        <v>232.19904</v>
      </c>
    </row>
    <row r="855" spans="1:9" ht="65.7" customHeight="1">
      <c r="A855" s="1" t="str">
        <f>"Chemistry 2797"</f>
        <v>Chemistry 2797</v>
      </c>
      <c r="B855" t="s">
        <v>2218</v>
      </c>
      <c r="C855" t="s">
        <v>3</v>
      </c>
      <c r="D855" s="2">
        <v>15800</v>
      </c>
      <c r="E855" s="2">
        <v>11060</v>
      </c>
      <c r="F855" t="s">
        <v>5</v>
      </c>
      <c r="G855" t="s">
        <v>2219</v>
      </c>
      <c r="H855" t="s">
        <v>2220</v>
      </c>
      <c r="I855">
        <v>230.18315999999999</v>
      </c>
    </row>
    <row r="856" spans="1:9" ht="48.75" customHeight="1">
      <c r="A856" s="1" t="str">
        <f>"Chemistry 2798"</f>
        <v>Chemistry 2798</v>
      </c>
      <c r="B856" t="s">
        <v>2221</v>
      </c>
      <c r="C856" t="s">
        <v>128</v>
      </c>
      <c r="D856" s="2">
        <v>17500</v>
      </c>
      <c r="E856" s="2">
        <v>12250</v>
      </c>
      <c r="F856" t="s">
        <v>5</v>
      </c>
      <c r="G856" t="s">
        <v>2222</v>
      </c>
      <c r="H856" t="s">
        <v>2223</v>
      </c>
      <c r="I856">
        <v>121.60848</v>
      </c>
    </row>
    <row r="857" spans="1:9" ht="57.75" customHeight="1">
      <c r="A857" s="1" t="str">
        <f>"Chemistry 2800"</f>
        <v>Chemistry 2800</v>
      </c>
      <c r="B857" t="s">
        <v>2225</v>
      </c>
      <c r="C857" t="s">
        <v>128</v>
      </c>
      <c r="D857" s="2">
        <v>19300</v>
      </c>
      <c r="E857" s="2">
        <v>13510</v>
      </c>
      <c r="F857" t="s">
        <v>5</v>
      </c>
      <c r="G857" t="s">
        <v>2226</v>
      </c>
      <c r="H857" t="s">
        <v>2141</v>
      </c>
      <c r="I857">
        <v>217.71078</v>
      </c>
    </row>
    <row r="858" spans="1:9" ht="67.349999999999994" customHeight="1">
      <c r="A858" s="1" t="str">
        <f>"Chemistry 2801"</f>
        <v>Chemistry 2801</v>
      </c>
      <c r="B858" t="s">
        <v>2227</v>
      </c>
      <c r="C858" t="s">
        <v>128</v>
      </c>
      <c r="D858" s="2">
        <v>19300</v>
      </c>
      <c r="E858" s="2">
        <v>13510</v>
      </c>
      <c r="F858" t="s">
        <v>5</v>
      </c>
      <c r="G858" t="s">
        <v>2228</v>
      </c>
      <c r="H858" t="s">
        <v>2172</v>
      </c>
      <c r="I858">
        <v>267.71827999999999</v>
      </c>
    </row>
    <row r="859" spans="1:9" ht="47.7" customHeight="1">
      <c r="A859" s="1" t="str">
        <f>"Chemistry 2804"</f>
        <v>Chemistry 2804</v>
      </c>
      <c r="B859" t="s">
        <v>2229</v>
      </c>
      <c r="C859" t="s">
        <v>128</v>
      </c>
      <c r="D859" s="2">
        <v>19300</v>
      </c>
      <c r="E859" s="2">
        <v>13510</v>
      </c>
      <c r="F859" t="s">
        <v>5</v>
      </c>
      <c r="G859" t="s">
        <v>2230</v>
      </c>
      <c r="H859" t="s">
        <v>2231</v>
      </c>
      <c r="I859">
        <v>149.66164000000001</v>
      </c>
    </row>
    <row r="860" spans="1:9" ht="79.2" customHeight="1">
      <c r="A860" s="1" t="str">
        <f>"Chemistry 2806"</f>
        <v>Chemistry 2806</v>
      </c>
      <c r="B860" t="s">
        <v>2232</v>
      </c>
      <c r="C860" t="s">
        <v>128</v>
      </c>
      <c r="D860" s="2">
        <v>21000</v>
      </c>
      <c r="E860" s="2">
        <v>14699.999999999998</v>
      </c>
      <c r="F860" t="s">
        <v>5</v>
      </c>
      <c r="G860" t="s">
        <v>2233</v>
      </c>
      <c r="H860" t="s">
        <v>1839</v>
      </c>
      <c r="I860">
        <v>241.75700000000001</v>
      </c>
    </row>
    <row r="861" spans="1:9" ht="52.2" customHeight="1">
      <c r="A861" s="1" t="str">
        <f>"Chemistry 2809"</f>
        <v>Chemistry 2809</v>
      </c>
      <c r="B861" t="s">
        <v>2234</v>
      </c>
      <c r="C861" t="s">
        <v>3</v>
      </c>
      <c r="D861" s="2">
        <v>10500</v>
      </c>
      <c r="E861" s="2">
        <v>7349.9999999999991</v>
      </c>
      <c r="F861" t="s">
        <v>5</v>
      </c>
      <c r="G861" t="s">
        <v>2235</v>
      </c>
      <c r="H861" t="s">
        <v>2236</v>
      </c>
      <c r="I861">
        <v>125.12857</v>
      </c>
    </row>
    <row r="862" spans="1:9" ht="49.35" customHeight="1">
      <c r="A862" s="1" t="str">
        <f>"Chemistry 2816"</f>
        <v>Chemistry 2816</v>
      </c>
      <c r="B862" t="s">
        <v>2237</v>
      </c>
      <c r="C862" t="s">
        <v>128</v>
      </c>
      <c r="D862" s="2">
        <v>31500</v>
      </c>
      <c r="E862" s="2">
        <v>18900</v>
      </c>
      <c r="F862" t="s">
        <v>5</v>
      </c>
      <c r="G862" t="s">
        <v>2238</v>
      </c>
      <c r="H862" t="s">
        <v>2239</v>
      </c>
      <c r="I862">
        <v>171.61598000000001</v>
      </c>
    </row>
    <row r="863" spans="1:9" ht="65.099999999999994" customHeight="1">
      <c r="A863" s="1" t="str">
        <f>"Chemistry 2824"</f>
        <v>Chemistry 2824</v>
      </c>
      <c r="B863" t="s">
        <v>2240</v>
      </c>
      <c r="C863" t="s">
        <v>3</v>
      </c>
      <c r="D863" s="2">
        <v>21000</v>
      </c>
      <c r="E863" s="2">
        <v>14699.999999999998</v>
      </c>
      <c r="F863" t="s">
        <v>5</v>
      </c>
      <c r="G863" t="s">
        <v>2241</v>
      </c>
      <c r="H863" t="s">
        <v>2242</v>
      </c>
      <c r="I863">
        <v>233.26310000000001</v>
      </c>
    </row>
    <row r="864" spans="1:9" ht="72.45" customHeight="1">
      <c r="A864" s="1" t="str">
        <f>"Chemistry 2825"</f>
        <v>Chemistry 2825</v>
      </c>
      <c r="B864" t="s">
        <v>2243</v>
      </c>
      <c r="C864" t="s">
        <v>3</v>
      </c>
      <c r="D864" s="2">
        <v>15800</v>
      </c>
      <c r="E864" s="2">
        <v>11060</v>
      </c>
      <c r="F864" t="s">
        <v>5</v>
      </c>
      <c r="G864" t="s">
        <v>2244</v>
      </c>
      <c r="H864" t="s">
        <v>16</v>
      </c>
      <c r="I864">
        <v>236.26704000000001</v>
      </c>
    </row>
    <row r="865" spans="1:9" ht="78.599999999999994" customHeight="1">
      <c r="A865" s="1" t="str">
        <f>"Chemistry 2826"</f>
        <v>Chemistry 2826</v>
      </c>
      <c r="B865" t="s">
        <v>2245</v>
      </c>
      <c r="C865" t="s">
        <v>3</v>
      </c>
      <c r="D865" s="2">
        <v>15800</v>
      </c>
      <c r="E865" s="2">
        <v>11060</v>
      </c>
      <c r="F865" t="s">
        <v>5</v>
      </c>
      <c r="G865" t="s">
        <v>2246</v>
      </c>
      <c r="H865" t="s">
        <v>11</v>
      </c>
      <c r="I865">
        <v>222.24046000000001</v>
      </c>
    </row>
    <row r="866" spans="1:9" ht="76.349999999999994" customHeight="1">
      <c r="A866" s="1" t="str">
        <f>"Chemistry 2832"</f>
        <v>Chemistry 2832</v>
      </c>
      <c r="B866" t="s">
        <v>2251</v>
      </c>
      <c r="C866" t="s">
        <v>3</v>
      </c>
      <c r="D866" s="2">
        <v>14000</v>
      </c>
      <c r="E866" s="2">
        <v>9800</v>
      </c>
      <c r="F866" t="s">
        <v>5</v>
      </c>
      <c r="G866" t="s">
        <v>2252</v>
      </c>
      <c r="H866" t="s">
        <v>2250</v>
      </c>
      <c r="I866">
        <v>244.28903</v>
      </c>
    </row>
    <row r="867" spans="1:9" ht="61.8" customHeight="1">
      <c r="A867" s="1" t="str">
        <f>"Chemistry 2838"</f>
        <v>Chemistry 2838</v>
      </c>
      <c r="B867" t="s">
        <v>2255</v>
      </c>
      <c r="C867" t="s">
        <v>128</v>
      </c>
      <c r="D867" s="2">
        <v>17500</v>
      </c>
      <c r="E867" s="2">
        <v>12250</v>
      </c>
      <c r="F867" t="s">
        <v>5</v>
      </c>
      <c r="G867" t="s">
        <v>2256</v>
      </c>
      <c r="H867" t="s">
        <v>1597</v>
      </c>
      <c r="I867">
        <v>227.73042000000001</v>
      </c>
    </row>
    <row r="868" spans="1:9" ht="70.8" customHeight="1">
      <c r="A868" s="1" t="str">
        <f>"Chemistry 2843"</f>
        <v>Chemistry 2843</v>
      </c>
      <c r="B868" t="s">
        <v>2259</v>
      </c>
      <c r="C868" t="s">
        <v>3</v>
      </c>
      <c r="D868" s="2">
        <v>15800</v>
      </c>
      <c r="E868" s="2">
        <v>11060</v>
      </c>
      <c r="F868" t="s">
        <v>5</v>
      </c>
      <c r="G868" t="s">
        <v>2260</v>
      </c>
      <c r="H868" t="s">
        <v>1197</v>
      </c>
      <c r="I868">
        <v>220.19976</v>
      </c>
    </row>
    <row r="869" spans="1:9" ht="74.7" customHeight="1">
      <c r="A869" s="1" t="str">
        <f>"Chemistry 2844"</f>
        <v>Chemistry 2844</v>
      </c>
      <c r="B869" t="s">
        <v>2261</v>
      </c>
      <c r="C869" t="s">
        <v>3</v>
      </c>
      <c r="D869" s="2">
        <v>15800</v>
      </c>
      <c r="E869" s="2">
        <v>11060</v>
      </c>
      <c r="F869" t="s">
        <v>5</v>
      </c>
      <c r="G869" t="s">
        <v>2262</v>
      </c>
      <c r="H869" t="s">
        <v>1197</v>
      </c>
      <c r="I869">
        <v>220.19976</v>
      </c>
    </row>
    <row r="870" spans="1:9" ht="70.8" customHeight="1">
      <c r="A870" s="1" t="str">
        <f>"Chemistry 2845"</f>
        <v>Chemistry 2845</v>
      </c>
      <c r="B870" t="s">
        <v>2263</v>
      </c>
      <c r="C870" t="s">
        <v>3</v>
      </c>
      <c r="D870" s="2">
        <v>15800</v>
      </c>
      <c r="E870" s="2">
        <v>11060</v>
      </c>
      <c r="F870" t="s">
        <v>5</v>
      </c>
      <c r="G870" t="s">
        <v>2264</v>
      </c>
      <c r="H870" t="s">
        <v>2265</v>
      </c>
      <c r="I870">
        <v>236.65436</v>
      </c>
    </row>
    <row r="871" spans="1:9" ht="75.3" customHeight="1">
      <c r="A871" s="1" t="str">
        <f>"Chemistry 2851"</f>
        <v>Chemistry 2851</v>
      </c>
      <c r="B871" t="s">
        <v>2266</v>
      </c>
      <c r="C871" t="s">
        <v>3</v>
      </c>
      <c r="D871" s="2">
        <v>17500</v>
      </c>
      <c r="E871" s="2">
        <v>12250</v>
      </c>
      <c r="F871" t="s">
        <v>5</v>
      </c>
      <c r="G871" t="s">
        <v>2267</v>
      </c>
      <c r="H871" t="s">
        <v>1189</v>
      </c>
      <c r="I871">
        <v>206.17318</v>
      </c>
    </row>
    <row r="872" spans="1:9" ht="66.3" customHeight="1">
      <c r="A872" s="1" t="str">
        <f>"Chemistry 2866"</f>
        <v>Chemistry 2866</v>
      </c>
      <c r="B872" t="s">
        <v>2269</v>
      </c>
      <c r="C872" t="s">
        <v>3</v>
      </c>
      <c r="D872" s="2">
        <v>15800</v>
      </c>
      <c r="E872" s="2">
        <v>11060</v>
      </c>
      <c r="F872" t="s">
        <v>5</v>
      </c>
      <c r="G872" t="s">
        <v>2270</v>
      </c>
      <c r="H872" t="s">
        <v>1821</v>
      </c>
      <c r="I872">
        <v>220.26434</v>
      </c>
    </row>
    <row r="873" spans="1:9" ht="59.55" customHeight="1">
      <c r="A873" s="1" t="str">
        <f>"Chemistry 2870"</f>
        <v>Chemistry 2870</v>
      </c>
      <c r="B873" t="s">
        <v>2273</v>
      </c>
      <c r="C873" t="s">
        <v>128</v>
      </c>
      <c r="D873" s="2">
        <v>21000</v>
      </c>
      <c r="E873" s="2">
        <v>14699.999999999998</v>
      </c>
      <c r="F873" t="s">
        <v>5</v>
      </c>
      <c r="G873" t="s">
        <v>2274</v>
      </c>
      <c r="H873" t="s">
        <v>2272</v>
      </c>
      <c r="I873">
        <v>232.14949999999999</v>
      </c>
    </row>
    <row r="874" spans="1:9" ht="74.7" customHeight="1">
      <c r="A874" s="1" t="str">
        <f>"Chemistry 2877"</f>
        <v>Chemistry 2877</v>
      </c>
      <c r="B874" t="s">
        <v>2275</v>
      </c>
      <c r="C874" t="s">
        <v>3</v>
      </c>
      <c r="D874" s="2">
        <v>19300</v>
      </c>
      <c r="E874" s="2">
        <v>13510</v>
      </c>
      <c r="F874" t="s">
        <v>5</v>
      </c>
      <c r="G874" t="s">
        <v>2276</v>
      </c>
      <c r="H874" t="s">
        <v>101</v>
      </c>
      <c r="I874">
        <v>181.23490000000001</v>
      </c>
    </row>
    <row r="875" spans="1:9" ht="91.5" customHeight="1">
      <c r="A875" s="1" t="str">
        <f>"Chemistry 2879"</f>
        <v>Chemistry 2879</v>
      </c>
      <c r="B875" t="s">
        <v>2277</v>
      </c>
      <c r="C875" t="s">
        <v>3</v>
      </c>
      <c r="D875" s="2">
        <v>14000</v>
      </c>
      <c r="E875" s="2">
        <v>9800</v>
      </c>
      <c r="F875" t="s">
        <v>5</v>
      </c>
      <c r="G875" t="s">
        <v>2278</v>
      </c>
      <c r="H875" t="s">
        <v>12</v>
      </c>
      <c r="I875">
        <v>196.20317</v>
      </c>
    </row>
    <row r="876" spans="1:9" ht="79.2" customHeight="1">
      <c r="A876" s="1" t="str">
        <f>"Chemistry 2881"</f>
        <v>Chemistry 2881</v>
      </c>
      <c r="B876" t="s">
        <v>2279</v>
      </c>
      <c r="C876" t="s">
        <v>3</v>
      </c>
      <c r="D876" s="2">
        <v>14000</v>
      </c>
      <c r="E876" s="2">
        <v>9800</v>
      </c>
      <c r="F876" t="s">
        <v>5</v>
      </c>
      <c r="G876" t="s">
        <v>2280</v>
      </c>
      <c r="H876" t="s">
        <v>1962</v>
      </c>
      <c r="I876">
        <v>194.18729999999999</v>
      </c>
    </row>
    <row r="877" spans="1:9" ht="61.8" customHeight="1">
      <c r="A877" s="1" t="str">
        <f>"Chemistry 2886"</f>
        <v>Chemistry 2886</v>
      </c>
      <c r="B877" t="s">
        <v>2281</v>
      </c>
      <c r="C877" t="s">
        <v>270</v>
      </c>
      <c r="D877" s="2">
        <v>15800</v>
      </c>
      <c r="E877" s="2">
        <v>11060</v>
      </c>
      <c r="F877" t="s">
        <v>5</v>
      </c>
      <c r="G877" t="s">
        <v>2282</v>
      </c>
      <c r="H877" t="s">
        <v>1364</v>
      </c>
      <c r="I877">
        <v>251.15612999999999</v>
      </c>
    </row>
    <row r="878" spans="1:9" ht="70.2" customHeight="1">
      <c r="A878" s="1" t="str">
        <f>"Chemistry 2888"</f>
        <v>Chemistry 2888</v>
      </c>
      <c r="B878" t="s">
        <v>2283</v>
      </c>
      <c r="C878" t="s">
        <v>3</v>
      </c>
      <c r="D878" s="2">
        <v>14000</v>
      </c>
      <c r="E878" s="2">
        <v>9800</v>
      </c>
      <c r="F878" t="s">
        <v>5</v>
      </c>
      <c r="G878" t="s">
        <v>2284</v>
      </c>
      <c r="H878" t="s">
        <v>1710</v>
      </c>
      <c r="I878">
        <v>198.21906000000001</v>
      </c>
    </row>
    <row r="879" spans="1:9" ht="61.2" customHeight="1">
      <c r="A879" s="1" t="str">
        <f>"Chemistry 2890"</f>
        <v>Chemistry 2890</v>
      </c>
      <c r="B879" t="s">
        <v>2285</v>
      </c>
      <c r="C879" t="s">
        <v>128</v>
      </c>
      <c r="D879" s="2">
        <v>17500</v>
      </c>
      <c r="E879" s="2">
        <v>12250</v>
      </c>
      <c r="F879" t="s">
        <v>5</v>
      </c>
      <c r="G879" t="s">
        <v>2286</v>
      </c>
      <c r="H879" t="s">
        <v>2125</v>
      </c>
      <c r="I879">
        <v>215.71970999999999</v>
      </c>
    </row>
    <row r="880" spans="1:9" ht="75.3" customHeight="1">
      <c r="A880" s="1" t="str">
        <f>"Chemistry 2891"</f>
        <v>Chemistry 2891</v>
      </c>
      <c r="B880" t="s">
        <v>2287</v>
      </c>
      <c r="C880" t="s">
        <v>3</v>
      </c>
      <c r="D880" s="2">
        <v>17500</v>
      </c>
      <c r="E880" s="2">
        <v>12250</v>
      </c>
      <c r="F880" t="s">
        <v>5</v>
      </c>
      <c r="G880" t="s">
        <v>2288</v>
      </c>
      <c r="H880" t="s">
        <v>2289</v>
      </c>
      <c r="I880">
        <v>188.18271999999999</v>
      </c>
    </row>
    <row r="881" spans="1:9" ht="70.8" customHeight="1">
      <c r="A881" s="1" t="str">
        <f>"Chemistry 2894"</f>
        <v>Chemistry 2894</v>
      </c>
      <c r="B881" t="s">
        <v>2290</v>
      </c>
      <c r="C881" t="s">
        <v>3</v>
      </c>
      <c r="D881" s="2">
        <v>14000</v>
      </c>
      <c r="E881" s="2">
        <v>9800</v>
      </c>
      <c r="F881" t="s">
        <v>5</v>
      </c>
      <c r="G881" t="s">
        <v>2291</v>
      </c>
      <c r="H881" t="s">
        <v>1197</v>
      </c>
      <c r="I881">
        <v>220.19976</v>
      </c>
    </row>
    <row r="882" spans="1:9" ht="76.349999999999994" customHeight="1">
      <c r="A882" s="1" t="str">
        <f>"Chemistry 2895"</f>
        <v>Chemistry 2895</v>
      </c>
      <c r="B882" t="s">
        <v>2292</v>
      </c>
      <c r="C882" t="s">
        <v>3</v>
      </c>
      <c r="D882" s="2">
        <v>14000</v>
      </c>
      <c r="E882" s="2">
        <v>9800</v>
      </c>
      <c r="F882" t="s">
        <v>5</v>
      </c>
      <c r="G882" t="s">
        <v>2293</v>
      </c>
      <c r="H882" t="s">
        <v>1197</v>
      </c>
      <c r="I882">
        <v>220.19976</v>
      </c>
    </row>
    <row r="883" spans="1:9" ht="71.25" customHeight="1">
      <c r="A883" s="1" t="str">
        <f>"Chemistry 2896"</f>
        <v>Chemistry 2896</v>
      </c>
      <c r="B883" t="s">
        <v>2294</v>
      </c>
      <c r="C883" t="s">
        <v>3</v>
      </c>
      <c r="D883" s="2">
        <v>15800</v>
      </c>
      <c r="E883" s="2">
        <v>11060</v>
      </c>
      <c r="F883" t="s">
        <v>5</v>
      </c>
      <c r="G883" t="s">
        <v>2295</v>
      </c>
      <c r="H883" t="s">
        <v>2165</v>
      </c>
      <c r="I883">
        <v>244.20974000000001</v>
      </c>
    </row>
    <row r="884" spans="1:9" ht="64.5" customHeight="1">
      <c r="A884" s="1" t="str">
        <f>"Chemistry 2899"</f>
        <v>Chemistry 2899</v>
      </c>
      <c r="B884" t="s">
        <v>2296</v>
      </c>
      <c r="C884" t="s">
        <v>128</v>
      </c>
      <c r="D884" s="2">
        <v>19300</v>
      </c>
      <c r="E884" s="2">
        <v>13510</v>
      </c>
      <c r="F884" t="s">
        <v>5</v>
      </c>
      <c r="G884" t="s">
        <v>2297</v>
      </c>
      <c r="H884" t="s">
        <v>2271</v>
      </c>
      <c r="I884">
        <v>213.74690000000001</v>
      </c>
    </row>
    <row r="885" spans="1:9" ht="59.55" customHeight="1">
      <c r="A885" s="1" t="str">
        <f>"Chemistry 2900"</f>
        <v>Chemistry 2900</v>
      </c>
      <c r="B885" t="s">
        <v>2298</v>
      </c>
      <c r="C885" t="s">
        <v>128</v>
      </c>
      <c r="D885" s="2">
        <v>21000</v>
      </c>
      <c r="E885" s="2">
        <v>14699.999999999998</v>
      </c>
      <c r="F885" t="s">
        <v>5</v>
      </c>
      <c r="G885" t="s">
        <v>2299</v>
      </c>
      <c r="H885" t="s">
        <v>2300</v>
      </c>
      <c r="I885">
        <v>211.73102</v>
      </c>
    </row>
    <row r="886" spans="1:9" ht="59.55" customHeight="1">
      <c r="A886" s="1" t="str">
        <f>"Chemistry 2901"</f>
        <v>Chemistry 2901</v>
      </c>
      <c r="B886" t="s">
        <v>2301</v>
      </c>
      <c r="C886" t="s">
        <v>270</v>
      </c>
      <c r="D886" s="2">
        <v>21000</v>
      </c>
      <c r="E886" s="2">
        <v>14699.999999999998</v>
      </c>
      <c r="F886" t="s">
        <v>5</v>
      </c>
      <c r="G886" t="s">
        <v>2302</v>
      </c>
      <c r="H886" t="s">
        <v>2303</v>
      </c>
      <c r="I886">
        <v>235.15343999999999</v>
      </c>
    </row>
    <row r="887" spans="1:9" ht="57.75" customHeight="1">
      <c r="A887" s="1" t="str">
        <f>"Chemistry 2902"</f>
        <v>Chemistry 2902</v>
      </c>
      <c r="B887" t="s">
        <v>2304</v>
      </c>
      <c r="C887" t="s">
        <v>3</v>
      </c>
      <c r="D887" s="2">
        <v>21000</v>
      </c>
      <c r="E887" s="2">
        <v>14699.999999999998</v>
      </c>
      <c r="F887" t="s">
        <v>5</v>
      </c>
      <c r="G887" t="s">
        <v>2305</v>
      </c>
      <c r="H887" t="s">
        <v>2306</v>
      </c>
      <c r="I887">
        <v>192.25424000000001</v>
      </c>
    </row>
    <row r="888" spans="1:9" ht="52.2" customHeight="1">
      <c r="A888" s="1" t="str">
        <f>"Chemistry 2917"</f>
        <v>Chemistry 2917</v>
      </c>
      <c r="B888" t="s">
        <v>2309</v>
      </c>
      <c r="C888" t="s">
        <v>3</v>
      </c>
      <c r="D888" s="2">
        <v>14000</v>
      </c>
      <c r="E888" s="2">
        <v>9800</v>
      </c>
      <c r="F888" t="s">
        <v>5</v>
      </c>
      <c r="G888" t="s">
        <v>2310</v>
      </c>
      <c r="H888" t="s">
        <v>2311</v>
      </c>
      <c r="I888">
        <v>206.24436</v>
      </c>
    </row>
    <row r="889" spans="1:9" ht="70.2" customHeight="1">
      <c r="A889" s="1" t="str">
        <f>"Chemistry 2924"</f>
        <v>Chemistry 2924</v>
      </c>
      <c r="B889" t="s">
        <v>2312</v>
      </c>
      <c r="C889" t="s">
        <v>3</v>
      </c>
      <c r="D889" s="2">
        <v>14000</v>
      </c>
      <c r="E889" s="2">
        <v>9800</v>
      </c>
      <c r="F889" t="s">
        <v>5</v>
      </c>
      <c r="G889" t="s">
        <v>2313</v>
      </c>
      <c r="H889" t="s">
        <v>2314</v>
      </c>
      <c r="I889">
        <v>196.24623</v>
      </c>
    </row>
    <row r="890" spans="1:9" ht="75.3" customHeight="1">
      <c r="A890" s="1" t="str">
        <f>"Chemistry 2926"</f>
        <v>Chemistry 2926</v>
      </c>
      <c r="B890" t="s">
        <v>2315</v>
      </c>
      <c r="C890" t="s">
        <v>3</v>
      </c>
      <c r="D890" s="2">
        <v>14000</v>
      </c>
      <c r="E890" s="2">
        <v>9800</v>
      </c>
      <c r="F890" t="s">
        <v>5</v>
      </c>
      <c r="G890" t="s">
        <v>2316</v>
      </c>
      <c r="H890" t="s">
        <v>2248</v>
      </c>
      <c r="I890">
        <v>246.26185000000001</v>
      </c>
    </row>
    <row r="891" spans="1:9" ht="77.55" customHeight="1">
      <c r="A891" s="1" t="str">
        <f>"Chemistry 2928"</f>
        <v>Chemistry 2928</v>
      </c>
      <c r="B891" t="s">
        <v>2318</v>
      </c>
      <c r="C891" t="s">
        <v>3</v>
      </c>
      <c r="D891" s="2">
        <v>14000</v>
      </c>
      <c r="E891" s="2">
        <v>9800</v>
      </c>
      <c r="F891" t="s">
        <v>5</v>
      </c>
      <c r="G891" t="s">
        <v>2319</v>
      </c>
      <c r="H891" t="s">
        <v>2249</v>
      </c>
      <c r="I891">
        <v>248.25291999999999</v>
      </c>
    </row>
    <row r="892" spans="1:9" ht="78" customHeight="1">
      <c r="A892" s="1" t="str">
        <f>"Chemistry 2936"</f>
        <v>Chemistry 2936</v>
      </c>
      <c r="B892" t="s">
        <v>2320</v>
      </c>
      <c r="C892" t="s">
        <v>3</v>
      </c>
      <c r="D892" s="2">
        <v>15800</v>
      </c>
      <c r="E892" s="2">
        <v>11060</v>
      </c>
      <c r="F892" t="s">
        <v>5</v>
      </c>
      <c r="G892" t="s">
        <v>2321</v>
      </c>
      <c r="H892" t="s">
        <v>1197</v>
      </c>
      <c r="I892">
        <v>220.19976</v>
      </c>
    </row>
    <row r="893" spans="1:9" ht="74.7" customHeight="1">
      <c r="A893" s="1" t="str">
        <f>"Chemistry 2938"</f>
        <v>Chemistry 2938</v>
      </c>
      <c r="B893" t="s">
        <v>2322</v>
      </c>
      <c r="C893" t="s">
        <v>3</v>
      </c>
      <c r="D893" s="2">
        <v>15800</v>
      </c>
      <c r="E893" s="2">
        <v>11060</v>
      </c>
      <c r="F893" t="s">
        <v>5</v>
      </c>
      <c r="G893" t="s">
        <v>2323</v>
      </c>
      <c r="H893" t="s">
        <v>2265</v>
      </c>
      <c r="I893">
        <v>236.65436</v>
      </c>
    </row>
    <row r="894" spans="1:9" ht="56.1" customHeight="1">
      <c r="A894" s="1" t="str">
        <f>"Chemistry 2963"</f>
        <v>Chemistry 2963</v>
      </c>
      <c r="B894" t="s">
        <v>2325</v>
      </c>
      <c r="C894" t="s">
        <v>3</v>
      </c>
      <c r="D894" s="2">
        <v>31500</v>
      </c>
      <c r="E894" s="2">
        <v>18900</v>
      </c>
      <c r="F894" t="s">
        <v>5</v>
      </c>
      <c r="G894" t="s">
        <v>2326</v>
      </c>
      <c r="H894" t="s">
        <v>2142</v>
      </c>
      <c r="I894">
        <v>142.19556</v>
      </c>
    </row>
    <row r="895" spans="1:9" ht="49.35" customHeight="1">
      <c r="A895" s="1" t="str">
        <f>"Chemistry 2964"</f>
        <v>Chemistry 2964</v>
      </c>
      <c r="B895" t="s">
        <v>2327</v>
      </c>
      <c r="C895" t="s">
        <v>128</v>
      </c>
      <c r="D895" s="2">
        <v>29800</v>
      </c>
      <c r="E895" s="2">
        <v>17880</v>
      </c>
      <c r="F895" t="s">
        <v>5</v>
      </c>
      <c r="G895" t="s">
        <v>2328</v>
      </c>
      <c r="H895" t="s">
        <v>2329</v>
      </c>
      <c r="I895">
        <v>153.60727</v>
      </c>
    </row>
    <row r="896" spans="1:9" ht="79.2" customHeight="1">
      <c r="A896" s="1" t="str">
        <f>"Chemistry 2967"</f>
        <v>Chemistry 2967</v>
      </c>
      <c r="B896" t="s">
        <v>2330</v>
      </c>
      <c r="C896" t="s">
        <v>3</v>
      </c>
      <c r="D896" s="2">
        <v>17500</v>
      </c>
      <c r="E896" s="2">
        <v>12250</v>
      </c>
      <c r="F896" t="s">
        <v>5</v>
      </c>
      <c r="G896" t="s">
        <v>2331</v>
      </c>
      <c r="H896" t="s">
        <v>10</v>
      </c>
      <c r="I896">
        <v>197.19123999999999</v>
      </c>
    </row>
    <row r="897" spans="1:9" ht="79.2" customHeight="1">
      <c r="A897" s="1" t="str">
        <f>"Chemistry 2971"</f>
        <v>Chemistry 2971</v>
      </c>
      <c r="B897" t="s">
        <v>2333</v>
      </c>
      <c r="C897" t="s">
        <v>3</v>
      </c>
      <c r="D897" s="2">
        <v>17500</v>
      </c>
      <c r="E897" s="2">
        <v>12250</v>
      </c>
      <c r="F897" t="s">
        <v>5</v>
      </c>
      <c r="G897" t="s">
        <v>2334</v>
      </c>
      <c r="H897" t="s">
        <v>2332</v>
      </c>
      <c r="I897">
        <v>193.20254</v>
      </c>
    </row>
    <row r="898" spans="1:9" ht="67.95" customHeight="1">
      <c r="A898" s="1" t="str">
        <f>"Chemistry 2973"</f>
        <v>Chemistry 2973</v>
      </c>
      <c r="B898" t="s">
        <v>2335</v>
      </c>
      <c r="C898" t="s">
        <v>3</v>
      </c>
      <c r="D898" s="2">
        <v>15800</v>
      </c>
      <c r="E898" s="2">
        <v>11060</v>
      </c>
      <c r="F898" t="s">
        <v>5</v>
      </c>
      <c r="G898" t="s">
        <v>2336</v>
      </c>
      <c r="H898" t="s">
        <v>11</v>
      </c>
      <c r="I898">
        <v>222.24046000000001</v>
      </c>
    </row>
    <row r="899" spans="1:9" ht="72.45" customHeight="1">
      <c r="A899" s="1" t="str">
        <f>"Chemistry 2975"</f>
        <v>Chemistry 2975</v>
      </c>
      <c r="B899" t="s">
        <v>2338</v>
      </c>
      <c r="C899" t="s">
        <v>270</v>
      </c>
      <c r="D899" s="2">
        <v>15800</v>
      </c>
      <c r="E899" s="2">
        <v>11060</v>
      </c>
      <c r="F899" t="s">
        <v>5</v>
      </c>
      <c r="G899" t="s">
        <v>2339</v>
      </c>
      <c r="H899" t="s">
        <v>2337</v>
      </c>
      <c r="I899">
        <v>301.21481999999997</v>
      </c>
    </row>
    <row r="900" spans="1:9" ht="76.349999999999994" customHeight="1">
      <c r="A900" s="1" t="str">
        <f>"Chemistry 2977"</f>
        <v>Chemistry 2977</v>
      </c>
      <c r="B900" t="s">
        <v>2340</v>
      </c>
      <c r="C900" t="s">
        <v>3</v>
      </c>
      <c r="D900" s="2">
        <v>14000</v>
      </c>
      <c r="E900" s="2">
        <v>9800</v>
      </c>
      <c r="F900" t="s">
        <v>5</v>
      </c>
      <c r="G900" t="s">
        <v>2341</v>
      </c>
      <c r="H900" t="s">
        <v>2250</v>
      </c>
      <c r="I900">
        <v>244.28903</v>
      </c>
    </row>
    <row r="901" spans="1:9" ht="74.7" customHeight="1">
      <c r="A901" s="1" t="str">
        <f>"Chemistry 2979"</f>
        <v>Chemistry 2979</v>
      </c>
      <c r="B901" t="s">
        <v>2342</v>
      </c>
      <c r="C901" t="s">
        <v>3</v>
      </c>
      <c r="D901" s="2">
        <v>15800</v>
      </c>
      <c r="E901" s="2">
        <v>11060</v>
      </c>
      <c r="F901" t="s">
        <v>5</v>
      </c>
      <c r="G901" t="s">
        <v>2343</v>
      </c>
      <c r="H901" t="s">
        <v>1344</v>
      </c>
      <c r="I901">
        <v>232.23527999999999</v>
      </c>
    </row>
    <row r="902" spans="1:9" ht="67.95" customHeight="1">
      <c r="A902" s="1" t="str">
        <f>"Chemistry 2994"</f>
        <v>Chemistry 2994</v>
      </c>
      <c r="B902" t="s">
        <v>2345</v>
      </c>
      <c r="C902" t="s">
        <v>128</v>
      </c>
      <c r="D902" s="2">
        <v>22800</v>
      </c>
      <c r="E902" s="2">
        <v>15959.999999999998</v>
      </c>
      <c r="F902" t="s">
        <v>5</v>
      </c>
      <c r="G902" t="s">
        <v>2346</v>
      </c>
      <c r="H902" t="s">
        <v>2347</v>
      </c>
      <c r="I902">
        <v>243.61405999999999</v>
      </c>
    </row>
    <row r="903" spans="1:9" ht="64.5" customHeight="1">
      <c r="A903" s="1" t="str">
        <f>"Chemistry 3001"</f>
        <v>Chemistry 3001</v>
      </c>
      <c r="B903" t="s">
        <v>2348</v>
      </c>
      <c r="C903" t="s">
        <v>3</v>
      </c>
      <c r="D903" s="2">
        <v>19300</v>
      </c>
      <c r="E903" s="2">
        <v>13510</v>
      </c>
      <c r="F903" t="s">
        <v>5</v>
      </c>
      <c r="G903" t="s">
        <v>2349</v>
      </c>
      <c r="H903" t="s">
        <v>39</v>
      </c>
      <c r="I903">
        <v>206.28412</v>
      </c>
    </row>
    <row r="904" spans="1:9" ht="52.2" customHeight="1">
      <c r="A904" s="1" t="str">
        <f>"Chemistry 3002"</f>
        <v>Chemistry 3002</v>
      </c>
      <c r="B904" t="s">
        <v>2350</v>
      </c>
      <c r="C904" t="s">
        <v>3</v>
      </c>
      <c r="D904" s="2">
        <v>14000</v>
      </c>
      <c r="E904" s="2">
        <v>9800</v>
      </c>
      <c r="F904" t="s">
        <v>5</v>
      </c>
      <c r="G904" t="s">
        <v>2351</v>
      </c>
      <c r="H904" t="s">
        <v>2066</v>
      </c>
      <c r="I904">
        <v>124.14052</v>
      </c>
    </row>
    <row r="905" spans="1:9" ht="71.25" customHeight="1">
      <c r="A905" s="1" t="str">
        <f>"Chemistry 3004"</f>
        <v>Chemistry 3004</v>
      </c>
      <c r="B905" t="s">
        <v>2352</v>
      </c>
      <c r="C905" t="s">
        <v>128</v>
      </c>
      <c r="D905" s="2">
        <v>14000</v>
      </c>
      <c r="E905" s="2">
        <v>9800</v>
      </c>
      <c r="F905" t="s">
        <v>5</v>
      </c>
      <c r="G905" t="s">
        <v>2353</v>
      </c>
      <c r="H905" t="s">
        <v>2308</v>
      </c>
      <c r="I905">
        <v>256.73187999999999</v>
      </c>
    </row>
    <row r="906" spans="1:9" ht="71.25" customHeight="1">
      <c r="A906" s="1" t="str">
        <f>"Chemistry 3005"</f>
        <v>Chemistry 3005</v>
      </c>
      <c r="B906" t="s">
        <v>2354</v>
      </c>
      <c r="C906" t="s">
        <v>128</v>
      </c>
      <c r="D906" s="2">
        <v>14000</v>
      </c>
      <c r="E906" s="2">
        <v>9800</v>
      </c>
      <c r="F906" t="s">
        <v>5</v>
      </c>
      <c r="G906" t="s">
        <v>2355</v>
      </c>
      <c r="H906" t="s">
        <v>2308</v>
      </c>
      <c r="I906">
        <v>256.73187999999999</v>
      </c>
    </row>
    <row r="907" spans="1:9" ht="52.2" customHeight="1">
      <c r="A907" s="1" t="str">
        <f>"Chemistry 3006"</f>
        <v>Chemistry 3006</v>
      </c>
      <c r="B907" t="s">
        <v>2356</v>
      </c>
      <c r="C907" t="s">
        <v>498</v>
      </c>
      <c r="D907" s="2">
        <v>14000</v>
      </c>
      <c r="E907" s="2">
        <v>9800</v>
      </c>
      <c r="F907" t="s">
        <v>5</v>
      </c>
      <c r="G907" t="s">
        <v>2357</v>
      </c>
      <c r="H907" t="s">
        <v>2358</v>
      </c>
      <c r="I907">
        <v>272.60244</v>
      </c>
    </row>
    <row r="908" spans="1:9" ht="67.95" customHeight="1">
      <c r="A908" s="1" t="str">
        <f>"Chemistry 3007"</f>
        <v>Chemistry 3007</v>
      </c>
      <c r="B908" t="s">
        <v>2359</v>
      </c>
      <c r="C908" t="s">
        <v>3</v>
      </c>
      <c r="D908" s="2">
        <v>14000</v>
      </c>
      <c r="E908" s="2">
        <v>9800</v>
      </c>
      <c r="F908" t="s">
        <v>5</v>
      </c>
      <c r="G908" t="s">
        <v>2360</v>
      </c>
      <c r="H908" t="s">
        <v>2009</v>
      </c>
      <c r="I908">
        <v>224.21328</v>
      </c>
    </row>
    <row r="909" spans="1:9" ht="67.95" customHeight="1">
      <c r="A909" s="1" t="str">
        <f>"Chemistry 3008"</f>
        <v>Chemistry 3008</v>
      </c>
      <c r="B909" t="s">
        <v>2361</v>
      </c>
      <c r="C909" t="s">
        <v>3</v>
      </c>
      <c r="D909" s="2">
        <v>17500</v>
      </c>
      <c r="E909" s="2">
        <v>12250</v>
      </c>
      <c r="F909" t="s">
        <v>5</v>
      </c>
      <c r="G909" t="s">
        <v>2362</v>
      </c>
      <c r="H909" t="s">
        <v>2363</v>
      </c>
      <c r="I909">
        <v>223.22852</v>
      </c>
    </row>
    <row r="910" spans="1:9" ht="65.099999999999994" customHeight="1">
      <c r="A910" s="1" t="str">
        <f>"Chemistry 3009"</f>
        <v>Chemistry 3009</v>
      </c>
      <c r="B910" t="s">
        <v>2364</v>
      </c>
      <c r="C910" t="s">
        <v>3</v>
      </c>
      <c r="D910" s="2">
        <v>21000</v>
      </c>
      <c r="E910" s="2">
        <v>14699.999999999998</v>
      </c>
      <c r="F910" t="s">
        <v>5</v>
      </c>
      <c r="G910" t="s">
        <v>2365</v>
      </c>
      <c r="H910" t="s">
        <v>2366</v>
      </c>
      <c r="I910">
        <v>221.21263999999999</v>
      </c>
    </row>
    <row r="911" spans="1:9" ht="67.95" customHeight="1">
      <c r="A911" s="1" t="str">
        <f>"Chemistry 3011"</f>
        <v>Chemistry 3011</v>
      </c>
      <c r="B911" t="s">
        <v>2367</v>
      </c>
      <c r="C911" t="s">
        <v>3</v>
      </c>
      <c r="D911" s="2">
        <v>15800</v>
      </c>
      <c r="E911" s="2">
        <v>11060</v>
      </c>
      <c r="F911" t="s">
        <v>5</v>
      </c>
      <c r="G911" t="s">
        <v>2368</v>
      </c>
      <c r="H911" t="s">
        <v>11</v>
      </c>
      <c r="I911">
        <v>222.24046000000001</v>
      </c>
    </row>
    <row r="912" spans="1:9" ht="70.8" customHeight="1">
      <c r="A912" s="1" t="str">
        <f>"Chemistry 3012"</f>
        <v>Chemistry 3012</v>
      </c>
      <c r="B912" t="s">
        <v>2369</v>
      </c>
      <c r="C912" t="s">
        <v>3</v>
      </c>
      <c r="D912" s="2">
        <v>14000</v>
      </c>
      <c r="E912" s="2">
        <v>9800</v>
      </c>
      <c r="F912" t="s">
        <v>5</v>
      </c>
      <c r="G912" t="s">
        <v>2370</v>
      </c>
      <c r="H912" t="s">
        <v>1713</v>
      </c>
      <c r="I912">
        <v>224.25633999999999</v>
      </c>
    </row>
    <row r="913" spans="1:9" ht="61.8" customHeight="1">
      <c r="A913" s="1" t="str">
        <f>"Chemistry 3014"</f>
        <v>Chemistry 3014</v>
      </c>
      <c r="B913" t="s">
        <v>2371</v>
      </c>
      <c r="C913" t="s">
        <v>3</v>
      </c>
      <c r="D913" s="2">
        <v>15800</v>
      </c>
      <c r="E913" s="2">
        <v>11060</v>
      </c>
      <c r="F913" t="s">
        <v>5</v>
      </c>
      <c r="G913" t="s">
        <v>2372</v>
      </c>
      <c r="H913" t="s">
        <v>1173</v>
      </c>
      <c r="I913">
        <v>166.1772</v>
      </c>
    </row>
    <row r="914" spans="1:9" ht="67.349999999999994" customHeight="1">
      <c r="A914" s="1" t="str">
        <f>"Chemistry 3016"</f>
        <v>Chemistry 3016</v>
      </c>
      <c r="B914" t="s">
        <v>2373</v>
      </c>
      <c r="C914" t="s">
        <v>3</v>
      </c>
      <c r="D914" s="2">
        <v>15800</v>
      </c>
      <c r="E914" s="2">
        <v>11060</v>
      </c>
      <c r="F914" t="s">
        <v>5</v>
      </c>
      <c r="G914" t="s">
        <v>2374</v>
      </c>
      <c r="H914" t="s">
        <v>12</v>
      </c>
      <c r="I914">
        <v>196.20318</v>
      </c>
    </row>
    <row r="915" spans="1:9" ht="70.8" customHeight="1">
      <c r="A915" s="1" t="str">
        <f>"Chemistry 3017"</f>
        <v>Chemistry 3017</v>
      </c>
      <c r="B915" t="s">
        <v>2375</v>
      </c>
      <c r="C915" t="s">
        <v>3</v>
      </c>
      <c r="D915" s="2">
        <v>15800</v>
      </c>
      <c r="E915" s="2">
        <v>11060</v>
      </c>
      <c r="F915" t="s">
        <v>5</v>
      </c>
      <c r="G915" t="s">
        <v>2376</v>
      </c>
      <c r="H915" t="s">
        <v>1236</v>
      </c>
      <c r="I915">
        <v>281.10536000000002</v>
      </c>
    </row>
    <row r="916" spans="1:9" ht="74.7" customHeight="1">
      <c r="A916" s="1" t="str">
        <f>"Chemistry 3019"</f>
        <v>Chemistry 3019</v>
      </c>
      <c r="B916" t="s">
        <v>2377</v>
      </c>
      <c r="C916" t="s">
        <v>3</v>
      </c>
      <c r="D916" s="2">
        <v>15800</v>
      </c>
      <c r="E916" s="2">
        <v>11060</v>
      </c>
      <c r="F916" t="s">
        <v>5</v>
      </c>
      <c r="G916" t="s">
        <v>2378</v>
      </c>
      <c r="H916" t="s">
        <v>1237</v>
      </c>
      <c r="I916">
        <v>270.20726000000002</v>
      </c>
    </row>
    <row r="917" spans="1:9" ht="74.099999999999994" customHeight="1">
      <c r="A917" s="1" t="str">
        <f>"Chemistry 3021"</f>
        <v>Chemistry 3021</v>
      </c>
      <c r="B917" t="s">
        <v>2379</v>
      </c>
      <c r="C917" t="s">
        <v>3</v>
      </c>
      <c r="D917" s="2">
        <v>15800</v>
      </c>
      <c r="E917" s="2">
        <v>11060</v>
      </c>
      <c r="F917" t="s">
        <v>5</v>
      </c>
      <c r="G917" t="s">
        <v>2380</v>
      </c>
      <c r="H917" t="s">
        <v>1339</v>
      </c>
      <c r="I917">
        <v>203.19735</v>
      </c>
    </row>
    <row r="918" spans="1:9" ht="71.25" customHeight="1">
      <c r="A918" s="1" t="str">
        <f>"Chemistry 3022"</f>
        <v>Chemistry 3022</v>
      </c>
      <c r="B918" t="s">
        <v>2381</v>
      </c>
      <c r="C918" t="s">
        <v>3</v>
      </c>
      <c r="D918" s="2">
        <v>15800</v>
      </c>
      <c r="E918" s="2">
        <v>11060</v>
      </c>
      <c r="F918" t="s">
        <v>5</v>
      </c>
      <c r="G918" t="s">
        <v>2382</v>
      </c>
      <c r="H918" t="s">
        <v>1189</v>
      </c>
      <c r="I918">
        <v>206.17318</v>
      </c>
    </row>
    <row r="919" spans="1:9" ht="67.349999999999994" customHeight="1">
      <c r="A919" s="1" t="str">
        <f>"Chemistry 3023"</f>
        <v>Chemistry 3023</v>
      </c>
      <c r="B919" t="s">
        <v>2383</v>
      </c>
      <c r="C919" t="s">
        <v>3</v>
      </c>
      <c r="D919" s="2">
        <v>15800</v>
      </c>
      <c r="E919" s="2">
        <v>11060</v>
      </c>
      <c r="F919" t="s">
        <v>5</v>
      </c>
      <c r="G919" t="s">
        <v>2384</v>
      </c>
      <c r="H919" t="s">
        <v>2268</v>
      </c>
      <c r="I919">
        <v>222.62778</v>
      </c>
    </row>
    <row r="920" spans="1:9" ht="71.25" customHeight="1">
      <c r="A920" s="1" t="str">
        <f>"Chemistry 3024"</f>
        <v>Chemistry 3024</v>
      </c>
      <c r="B920" t="s">
        <v>2385</v>
      </c>
      <c r="C920" t="s">
        <v>3</v>
      </c>
      <c r="D920" s="2">
        <v>15800</v>
      </c>
      <c r="E920" s="2">
        <v>11060</v>
      </c>
      <c r="F920" t="s">
        <v>5</v>
      </c>
      <c r="G920" t="s">
        <v>2386</v>
      </c>
      <c r="H920" t="s">
        <v>2268</v>
      </c>
      <c r="I920">
        <v>222.62778</v>
      </c>
    </row>
    <row r="921" spans="1:9" ht="83.7" customHeight="1">
      <c r="A921" s="1" t="str">
        <f>"Chemistry 3027"</f>
        <v>Chemistry 3027</v>
      </c>
      <c r="B921" t="s">
        <v>2387</v>
      </c>
      <c r="C921" t="s">
        <v>3</v>
      </c>
      <c r="D921" s="2">
        <v>15800</v>
      </c>
      <c r="E921" s="2">
        <v>11060</v>
      </c>
      <c r="F921" t="s">
        <v>5</v>
      </c>
      <c r="G921" t="s">
        <v>2388</v>
      </c>
      <c r="H921" t="s">
        <v>2389</v>
      </c>
      <c r="I921">
        <v>256.18068</v>
      </c>
    </row>
    <row r="922" spans="1:9" ht="71.25" customHeight="1">
      <c r="A922" s="1" t="str">
        <f>"Chemistry 3031"</f>
        <v>Chemistry 3031</v>
      </c>
      <c r="B922" t="s">
        <v>2390</v>
      </c>
      <c r="C922" t="s">
        <v>3</v>
      </c>
      <c r="D922" s="2">
        <v>15800</v>
      </c>
      <c r="E922" s="2">
        <v>11060</v>
      </c>
      <c r="F922" t="s">
        <v>5</v>
      </c>
      <c r="G922" t="s">
        <v>2391</v>
      </c>
      <c r="H922" t="s">
        <v>1194</v>
      </c>
      <c r="I922">
        <v>218.20869999999999</v>
      </c>
    </row>
    <row r="923" spans="1:9" ht="74.099999999999994" customHeight="1">
      <c r="A923" s="1" t="str">
        <f>"Chemistry 3039"</f>
        <v>Chemistry 3039</v>
      </c>
      <c r="B923" t="s">
        <v>2392</v>
      </c>
      <c r="C923" t="s">
        <v>3</v>
      </c>
      <c r="D923" s="2">
        <v>17500</v>
      </c>
      <c r="E923" s="2">
        <v>12250</v>
      </c>
      <c r="F923" t="s">
        <v>5</v>
      </c>
      <c r="G923" t="s">
        <v>2393</v>
      </c>
      <c r="H923" t="s">
        <v>2265</v>
      </c>
      <c r="I923">
        <v>236.65436</v>
      </c>
    </row>
    <row r="924" spans="1:9" ht="63.45" customHeight="1">
      <c r="A924" s="1" t="str">
        <f>"Chemistry 3052"</f>
        <v>Chemistry 3052</v>
      </c>
      <c r="B924" t="s">
        <v>2395</v>
      </c>
      <c r="C924" t="s">
        <v>128</v>
      </c>
      <c r="D924" s="2">
        <v>19300</v>
      </c>
      <c r="E924" s="2">
        <v>13510</v>
      </c>
      <c r="F924" t="s">
        <v>5</v>
      </c>
      <c r="G924" t="s">
        <v>2396</v>
      </c>
      <c r="H924" t="s">
        <v>2397</v>
      </c>
      <c r="I924">
        <v>241.69242</v>
      </c>
    </row>
    <row r="925" spans="1:9" ht="66.75" customHeight="1">
      <c r="A925" s="1" t="str">
        <f>"Chemistry 3053"</f>
        <v>Chemistry 3053</v>
      </c>
      <c r="B925" t="s">
        <v>2398</v>
      </c>
      <c r="C925" t="s">
        <v>128</v>
      </c>
      <c r="D925" s="2">
        <v>19300</v>
      </c>
      <c r="E925" s="2">
        <v>13510</v>
      </c>
      <c r="F925" t="s">
        <v>5</v>
      </c>
      <c r="G925" t="s">
        <v>2399</v>
      </c>
      <c r="H925" t="s">
        <v>2397</v>
      </c>
      <c r="I925">
        <v>241.69242</v>
      </c>
    </row>
    <row r="926" spans="1:9" ht="75.75" customHeight="1">
      <c r="A926" s="1" t="str">
        <f>"Chemistry 3062"</f>
        <v>Chemistry 3062</v>
      </c>
      <c r="B926" t="s">
        <v>2400</v>
      </c>
      <c r="C926" t="s">
        <v>270</v>
      </c>
      <c r="D926" s="2">
        <v>28000</v>
      </c>
      <c r="E926" s="2">
        <v>16800</v>
      </c>
      <c r="F926" t="s">
        <v>5</v>
      </c>
      <c r="G926" t="s">
        <v>2401</v>
      </c>
      <c r="H926" t="s">
        <v>2402</v>
      </c>
      <c r="I926">
        <v>279.16624000000002</v>
      </c>
    </row>
    <row r="927" spans="1:9" ht="65.099999999999994" customHeight="1">
      <c r="A927" s="1" t="str">
        <f>"Chemistry 3064"</f>
        <v>Chemistry 3064</v>
      </c>
      <c r="B927" t="s">
        <v>2403</v>
      </c>
      <c r="C927" t="s">
        <v>270</v>
      </c>
      <c r="D927" s="2">
        <v>28000</v>
      </c>
      <c r="E927" s="2">
        <v>16800</v>
      </c>
      <c r="F927" t="s">
        <v>5</v>
      </c>
      <c r="G927" t="s">
        <v>2404</v>
      </c>
      <c r="H927" t="s">
        <v>329</v>
      </c>
      <c r="I927">
        <v>278.17818</v>
      </c>
    </row>
    <row r="928" spans="1:9" ht="55.5" customHeight="1">
      <c r="A928" s="1" t="str">
        <f>"Chemistry 3070"</f>
        <v>Chemistry 3070</v>
      </c>
      <c r="B928" t="s">
        <v>2405</v>
      </c>
      <c r="C928" t="s">
        <v>3</v>
      </c>
      <c r="D928" s="2">
        <v>14000</v>
      </c>
      <c r="E928" s="2">
        <v>9800</v>
      </c>
      <c r="F928" t="s">
        <v>5</v>
      </c>
      <c r="G928" t="s">
        <v>2406</v>
      </c>
      <c r="H928" t="s">
        <v>1482</v>
      </c>
      <c r="I928">
        <v>168.19308000000001</v>
      </c>
    </row>
    <row r="929" spans="1:9" ht="76.349999999999994" customHeight="1">
      <c r="A929" s="1" t="str">
        <f>"Chemistry 3073"</f>
        <v>Chemistry 3073</v>
      </c>
      <c r="B929" t="s">
        <v>2407</v>
      </c>
      <c r="C929" t="s">
        <v>3</v>
      </c>
      <c r="D929" s="2">
        <v>14000</v>
      </c>
      <c r="E929" s="2">
        <v>9800</v>
      </c>
      <c r="F929" t="s">
        <v>5</v>
      </c>
      <c r="G929" t="s">
        <v>2408</v>
      </c>
      <c r="H929" t="s">
        <v>2317</v>
      </c>
      <c r="I929">
        <v>231.25050999999999</v>
      </c>
    </row>
    <row r="930" spans="1:9" ht="67.95" customHeight="1">
      <c r="A930" s="1" t="str">
        <f>"Chemistry 3074"</f>
        <v>Chemistry 3074</v>
      </c>
      <c r="B930" t="s">
        <v>2409</v>
      </c>
      <c r="C930" t="s">
        <v>128</v>
      </c>
      <c r="D930" s="2">
        <v>17500</v>
      </c>
      <c r="E930" s="2">
        <v>12250</v>
      </c>
      <c r="F930" t="s">
        <v>5</v>
      </c>
      <c r="G930" t="s">
        <v>2410</v>
      </c>
      <c r="H930" t="s">
        <v>2102</v>
      </c>
      <c r="I930">
        <v>215.69489999999999</v>
      </c>
    </row>
    <row r="931" spans="1:9" ht="59.55" customHeight="1">
      <c r="A931" s="1" t="str">
        <f>"Chemistry 3075"</f>
        <v>Chemistry 3075</v>
      </c>
      <c r="B931" t="s">
        <v>2411</v>
      </c>
      <c r="C931" t="s">
        <v>128</v>
      </c>
      <c r="D931" s="2">
        <v>15800</v>
      </c>
      <c r="E931" s="2">
        <v>11060</v>
      </c>
      <c r="F931" t="s">
        <v>5</v>
      </c>
      <c r="G931" t="s">
        <v>2412</v>
      </c>
      <c r="H931" t="s">
        <v>2413</v>
      </c>
      <c r="I931">
        <v>190.62744000000001</v>
      </c>
    </row>
    <row r="932" spans="1:9" ht="67.349999999999994" customHeight="1">
      <c r="A932" s="1" t="str">
        <f>"Chemistry 3078"</f>
        <v>Chemistry 3078</v>
      </c>
      <c r="B932" t="s">
        <v>2414</v>
      </c>
      <c r="C932" t="s">
        <v>3</v>
      </c>
      <c r="D932" s="2">
        <v>15800</v>
      </c>
      <c r="E932" s="2">
        <v>11060</v>
      </c>
      <c r="F932" t="s">
        <v>5</v>
      </c>
      <c r="G932" t="s">
        <v>2415</v>
      </c>
      <c r="H932" t="s">
        <v>2268</v>
      </c>
      <c r="I932">
        <v>222.62777</v>
      </c>
    </row>
    <row r="933" spans="1:9" ht="76.349999999999994" customHeight="1">
      <c r="A933" s="1" t="str">
        <f>"Chemistry 3082"</f>
        <v>Chemistry 3082</v>
      </c>
      <c r="B933" t="s">
        <v>2416</v>
      </c>
      <c r="C933" t="s">
        <v>3</v>
      </c>
      <c r="D933" s="2">
        <v>17500</v>
      </c>
      <c r="E933" s="2">
        <v>12250</v>
      </c>
      <c r="F933" t="s">
        <v>5</v>
      </c>
      <c r="G933" t="s">
        <v>2417</v>
      </c>
      <c r="H933" t="s">
        <v>1339</v>
      </c>
      <c r="I933">
        <v>203.19735</v>
      </c>
    </row>
    <row r="934" spans="1:9" ht="68.55" customHeight="1">
      <c r="A934" s="1" t="str">
        <f>"Chemistry 3084"</f>
        <v>Chemistry 3084</v>
      </c>
      <c r="B934" t="s">
        <v>2418</v>
      </c>
      <c r="C934" t="s">
        <v>3</v>
      </c>
      <c r="D934" s="2">
        <v>17500</v>
      </c>
      <c r="E934" s="2">
        <v>12250</v>
      </c>
      <c r="F934" t="s">
        <v>5</v>
      </c>
      <c r="G934" t="s">
        <v>2419</v>
      </c>
      <c r="H934" t="s">
        <v>1325</v>
      </c>
      <c r="I934">
        <v>154.16649000000001</v>
      </c>
    </row>
    <row r="935" spans="1:9" ht="66.75" customHeight="1">
      <c r="A935" s="1" t="str">
        <f>"Chemistry 3088"</f>
        <v>Chemistry 3088</v>
      </c>
      <c r="B935" t="s">
        <v>2421</v>
      </c>
      <c r="C935" t="s">
        <v>128</v>
      </c>
      <c r="D935" s="2">
        <v>19300</v>
      </c>
      <c r="E935" s="2">
        <v>13510</v>
      </c>
      <c r="F935" t="s">
        <v>5</v>
      </c>
      <c r="G935" t="s">
        <v>2422</v>
      </c>
      <c r="H935" t="s">
        <v>2420</v>
      </c>
      <c r="I935">
        <v>258.14702</v>
      </c>
    </row>
    <row r="936" spans="1:9" ht="75.3" customHeight="1">
      <c r="A936" s="1" t="str">
        <f>"Chemistry 3093"</f>
        <v>Chemistry 3093</v>
      </c>
      <c r="B936" t="s">
        <v>2424</v>
      </c>
      <c r="C936" t="s">
        <v>128</v>
      </c>
      <c r="D936" s="2">
        <v>19300</v>
      </c>
      <c r="E936" s="2">
        <v>13510</v>
      </c>
      <c r="F936" t="s">
        <v>5</v>
      </c>
      <c r="G936" t="s">
        <v>2425</v>
      </c>
      <c r="H936" t="s">
        <v>2426</v>
      </c>
      <c r="I936">
        <v>291.69992000000002</v>
      </c>
    </row>
    <row r="937" spans="1:9" ht="65.7" customHeight="1">
      <c r="A937" s="1" t="str">
        <f>"Chemistry 3095"</f>
        <v>Chemistry 3095</v>
      </c>
      <c r="B937" t="s">
        <v>2427</v>
      </c>
      <c r="C937" t="s">
        <v>3</v>
      </c>
      <c r="D937" s="2">
        <v>19300</v>
      </c>
      <c r="E937" s="2">
        <v>13510</v>
      </c>
      <c r="F937" t="s">
        <v>5</v>
      </c>
      <c r="G937" t="s">
        <v>2428</v>
      </c>
      <c r="H937" t="s">
        <v>1304</v>
      </c>
      <c r="I937">
        <v>255.23898</v>
      </c>
    </row>
    <row r="938" spans="1:9" ht="59.55" customHeight="1">
      <c r="A938" s="1" t="str">
        <f>"Chemistry 3096"</f>
        <v>Chemistry 3096</v>
      </c>
      <c r="B938" t="s">
        <v>2429</v>
      </c>
      <c r="C938" t="s">
        <v>3</v>
      </c>
      <c r="D938" s="2">
        <v>14000</v>
      </c>
      <c r="E938" s="2">
        <v>9800</v>
      </c>
      <c r="F938" t="s">
        <v>5</v>
      </c>
      <c r="G938" t="s">
        <v>2430</v>
      </c>
      <c r="H938" t="s">
        <v>1235</v>
      </c>
      <c r="I938">
        <v>170.16589999999999</v>
      </c>
    </row>
    <row r="939" spans="1:9" ht="75.3" customHeight="1">
      <c r="A939" s="1" t="str">
        <f>"Chemistry 3102"</f>
        <v>Chemistry 3102</v>
      </c>
      <c r="B939" t="s">
        <v>2431</v>
      </c>
      <c r="C939" t="s">
        <v>270</v>
      </c>
      <c r="D939" s="2">
        <v>28000</v>
      </c>
      <c r="E939" s="2">
        <v>16800</v>
      </c>
      <c r="F939" t="s">
        <v>5</v>
      </c>
      <c r="G939" t="s">
        <v>2432</v>
      </c>
      <c r="H939" t="s">
        <v>424</v>
      </c>
      <c r="I939">
        <v>314.23187999999999</v>
      </c>
    </row>
    <row r="940" spans="1:9" ht="63.45" customHeight="1">
      <c r="A940" s="1" t="str">
        <f>"Chemistry 3103"</f>
        <v>Chemistry 3103</v>
      </c>
      <c r="B940" t="s">
        <v>2433</v>
      </c>
      <c r="C940" t="s">
        <v>3</v>
      </c>
      <c r="D940" s="2">
        <v>22800</v>
      </c>
      <c r="E940" s="2">
        <v>15959.999999999998</v>
      </c>
      <c r="F940" t="s">
        <v>5</v>
      </c>
      <c r="G940" t="s">
        <v>2434</v>
      </c>
      <c r="H940" t="s">
        <v>2136</v>
      </c>
      <c r="I940">
        <v>196.21812</v>
      </c>
    </row>
    <row r="941" spans="1:9" ht="63.45" customHeight="1">
      <c r="A941" s="1" t="str">
        <f>"Chemistry 3106"</f>
        <v>Chemistry 3106</v>
      </c>
      <c r="B941" t="s">
        <v>2435</v>
      </c>
      <c r="C941" t="s">
        <v>3</v>
      </c>
      <c r="D941" s="2">
        <v>22800</v>
      </c>
      <c r="E941" s="2">
        <v>15959.999999999998</v>
      </c>
      <c r="F941" t="s">
        <v>5</v>
      </c>
      <c r="G941" t="s">
        <v>2436</v>
      </c>
      <c r="H941" t="s">
        <v>2437</v>
      </c>
      <c r="I941">
        <v>212.67272</v>
      </c>
    </row>
    <row r="942" spans="1:9" ht="62.25" customHeight="1">
      <c r="A942" s="1" t="str">
        <f>"Chemistry 3107"</f>
        <v>Chemistry 3107</v>
      </c>
      <c r="B942" t="s">
        <v>2438</v>
      </c>
      <c r="C942" t="s">
        <v>3</v>
      </c>
      <c r="D942" s="2">
        <v>22800</v>
      </c>
      <c r="E942" s="2">
        <v>15959.999999999998</v>
      </c>
      <c r="F942" t="s">
        <v>5</v>
      </c>
      <c r="G942" t="s">
        <v>2439</v>
      </c>
      <c r="H942" t="s">
        <v>2437</v>
      </c>
      <c r="I942">
        <v>212.67271</v>
      </c>
    </row>
    <row r="943" spans="1:9" ht="63.45" customHeight="1">
      <c r="A943" s="1" t="str">
        <f>"Chemistry 3108"</f>
        <v>Chemistry 3108</v>
      </c>
      <c r="B943" t="s">
        <v>2440</v>
      </c>
      <c r="C943" t="s">
        <v>3</v>
      </c>
      <c r="D943" s="2">
        <v>22800</v>
      </c>
      <c r="E943" s="2">
        <v>15959.999999999998</v>
      </c>
      <c r="F943" t="s">
        <v>5</v>
      </c>
      <c r="G943" t="s">
        <v>2441</v>
      </c>
      <c r="H943" t="s">
        <v>2437</v>
      </c>
      <c r="I943">
        <v>212.67271</v>
      </c>
    </row>
    <row r="944" spans="1:9" ht="63.45" customHeight="1">
      <c r="A944" s="1" t="str">
        <f>"Chemistry 3111"</f>
        <v>Chemistry 3111</v>
      </c>
      <c r="B944" t="s">
        <v>2442</v>
      </c>
      <c r="C944" t="s">
        <v>3</v>
      </c>
      <c r="D944" s="2">
        <v>22800</v>
      </c>
      <c r="E944" s="2">
        <v>15959.999999999998</v>
      </c>
      <c r="F944" t="s">
        <v>5</v>
      </c>
      <c r="G944" t="s">
        <v>2443</v>
      </c>
      <c r="H944" t="s">
        <v>2306</v>
      </c>
      <c r="I944">
        <v>192.25424000000001</v>
      </c>
    </row>
    <row r="945" spans="1:9" ht="67.349999999999994" customHeight="1">
      <c r="A945" s="1" t="str">
        <f>"Chemistry 3115"</f>
        <v>Chemistry 3115</v>
      </c>
      <c r="B945" t="s">
        <v>2444</v>
      </c>
      <c r="C945" t="s">
        <v>3</v>
      </c>
      <c r="D945" s="2">
        <v>22800</v>
      </c>
      <c r="E945" s="2">
        <v>15959.999999999998</v>
      </c>
      <c r="F945" t="s">
        <v>5</v>
      </c>
      <c r="G945" t="s">
        <v>2445</v>
      </c>
      <c r="H945" t="s">
        <v>2208</v>
      </c>
      <c r="I945">
        <v>246.22561999999999</v>
      </c>
    </row>
    <row r="946" spans="1:9" ht="74.099999999999994" customHeight="1">
      <c r="A946" s="1" t="str">
        <f>"Chemistry 3116"</f>
        <v>Chemistry 3116</v>
      </c>
      <c r="B946" t="s">
        <v>2446</v>
      </c>
      <c r="C946" t="s">
        <v>3</v>
      </c>
      <c r="D946" s="2">
        <v>22800</v>
      </c>
      <c r="E946" s="2">
        <v>15959.999999999998</v>
      </c>
      <c r="F946" t="s">
        <v>5</v>
      </c>
      <c r="G946" t="s">
        <v>2447</v>
      </c>
      <c r="H946" t="s">
        <v>2097</v>
      </c>
      <c r="I946">
        <v>208.25363999999999</v>
      </c>
    </row>
    <row r="947" spans="1:9" ht="91.05" customHeight="1">
      <c r="A947" s="1" t="str">
        <f>"Chemistry 3119"</f>
        <v>Chemistry 3119</v>
      </c>
      <c r="B947" t="s">
        <v>2448</v>
      </c>
      <c r="C947" t="s">
        <v>3</v>
      </c>
      <c r="D947" s="2">
        <v>26300</v>
      </c>
      <c r="E947" s="2">
        <v>15780</v>
      </c>
      <c r="F947" t="s">
        <v>5</v>
      </c>
      <c r="G947" t="s">
        <v>2449</v>
      </c>
      <c r="H947" t="s">
        <v>1821</v>
      </c>
      <c r="I947">
        <v>220.26434</v>
      </c>
    </row>
    <row r="948" spans="1:9" ht="91.05" customHeight="1">
      <c r="A948" s="1" t="str">
        <f>"Chemistry 3120"</f>
        <v>Chemistry 3120</v>
      </c>
      <c r="B948" t="s">
        <v>2450</v>
      </c>
      <c r="C948" t="s">
        <v>3</v>
      </c>
      <c r="D948" s="2">
        <v>26300</v>
      </c>
      <c r="E948" s="2">
        <v>15780</v>
      </c>
      <c r="F948" t="s">
        <v>5</v>
      </c>
      <c r="G948" t="s">
        <v>2451</v>
      </c>
      <c r="H948" t="s">
        <v>2058</v>
      </c>
      <c r="I948">
        <v>254.70939999999999</v>
      </c>
    </row>
    <row r="949" spans="1:9" ht="106.2" customHeight="1">
      <c r="A949" s="1" t="str">
        <f>"Chemistry 3121"</f>
        <v>Chemistry 3121</v>
      </c>
      <c r="B949" t="s">
        <v>2452</v>
      </c>
      <c r="C949" t="s">
        <v>3</v>
      </c>
      <c r="D949" s="2">
        <v>26300</v>
      </c>
      <c r="E949" s="2">
        <v>15780</v>
      </c>
      <c r="F949" t="s">
        <v>5</v>
      </c>
      <c r="G949" t="s">
        <v>2453</v>
      </c>
      <c r="H949" t="s">
        <v>2058</v>
      </c>
      <c r="I949">
        <v>254.70939999999999</v>
      </c>
    </row>
    <row r="950" spans="1:9" ht="106.2" customHeight="1">
      <c r="A950" s="1" t="str">
        <f>"Chemistry 3123"</f>
        <v>Chemistry 3123</v>
      </c>
      <c r="B950" t="s">
        <v>2454</v>
      </c>
      <c r="C950" t="s">
        <v>3</v>
      </c>
      <c r="D950" s="2">
        <v>26300</v>
      </c>
      <c r="E950" s="2">
        <v>15780</v>
      </c>
      <c r="F950" t="s">
        <v>5</v>
      </c>
      <c r="G950" t="s">
        <v>2455</v>
      </c>
      <c r="H950" t="s">
        <v>1704</v>
      </c>
      <c r="I950">
        <v>299.16039999999998</v>
      </c>
    </row>
    <row r="951" spans="1:9" ht="87.6" customHeight="1">
      <c r="A951" s="1" t="str">
        <f>"Chemistry 3125"</f>
        <v>Chemistry 3125</v>
      </c>
      <c r="B951" t="s">
        <v>2456</v>
      </c>
      <c r="C951" t="s">
        <v>3</v>
      </c>
      <c r="D951" s="2">
        <v>28000</v>
      </c>
      <c r="E951" s="2">
        <v>16800</v>
      </c>
      <c r="F951" t="s">
        <v>5</v>
      </c>
      <c r="G951" t="s">
        <v>2457</v>
      </c>
      <c r="H951" t="s">
        <v>1759</v>
      </c>
      <c r="I951">
        <v>288.26229999999998</v>
      </c>
    </row>
    <row r="952" spans="1:9" ht="103.95" customHeight="1">
      <c r="A952" s="1" t="str">
        <f>"Chemistry 3127"</f>
        <v>Chemistry 3127</v>
      </c>
      <c r="B952" t="s">
        <v>2458</v>
      </c>
      <c r="C952" t="s">
        <v>3</v>
      </c>
      <c r="D952" s="2">
        <v>26300</v>
      </c>
      <c r="E952" s="2">
        <v>15780</v>
      </c>
      <c r="F952" t="s">
        <v>5</v>
      </c>
      <c r="G952" t="s">
        <v>2459</v>
      </c>
      <c r="H952" t="s">
        <v>1705</v>
      </c>
      <c r="I952">
        <v>250.29032000000001</v>
      </c>
    </row>
    <row r="953" spans="1:9" ht="74.099999999999994" customHeight="1">
      <c r="A953" s="1" t="str">
        <f>"Chemistry 3139"</f>
        <v>Chemistry 3139</v>
      </c>
      <c r="B953" t="s">
        <v>2460</v>
      </c>
      <c r="C953" t="s">
        <v>128</v>
      </c>
      <c r="D953" s="2">
        <v>22800</v>
      </c>
      <c r="E953" s="2">
        <v>15959.999999999998</v>
      </c>
      <c r="F953" t="s">
        <v>5</v>
      </c>
      <c r="G953" t="s">
        <v>2461</v>
      </c>
      <c r="H953" t="s">
        <v>2397</v>
      </c>
      <c r="I953">
        <v>241.69242</v>
      </c>
    </row>
    <row r="954" spans="1:9" ht="100.5" customHeight="1">
      <c r="A954" s="1" t="str">
        <f>"Chemistry 3140"</f>
        <v>Chemistry 3140</v>
      </c>
      <c r="B954" t="s">
        <v>2462</v>
      </c>
      <c r="C954" t="s">
        <v>3</v>
      </c>
      <c r="D954" s="2">
        <v>24500</v>
      </c>
      <c r="E954" s="2">
        <v>17150</v>
      </c>
      <c r="F954" t="s">
        <v>5</v>
      </c>
      <c r="G954" t="s">
        <v>2463</v>
      </c>
      <c r="H954" t="s">
        <v>2464</v>
      </c>
      <c r="I954">
        <v>398.29145999999997</v>
      </c>
    </row>
    <row r="955" spans="1:9" ht="63.45" customHeight="1">
      <c r="A955" s="1" t="str">
        <f>"Chemistry 3144"</f>
        <v>Chemistry 3144</v>
      </c>
      <c r="B955" t="s">
        <v>2467</v>
      </c>
      <c r="C955" t="s">
        <v>3</v>
      </c>
      <c r="D955" s="2">
        <v>24500</v>
      </c>
      <c r="E955" s="2">
        <v>17150</v>
      </c>
      <c r="F955" t="s">
        <v>5</v>
      </c>
      <c r="G955" t="s">
        <v>2468</v>
      </c>
      <c r="H955" t="s">
        <v>2142</v>
      </c>
      <c r="I955">
        <v>142.19556</v>
      </c>
    </row>
    <row r="956" spans="1:9" ht="70.2" customHeight="1">
      <c r="A956" s="1" t="str">
        <f>"Chemistry 3147"</f>
        <v>Chemistry 3147</v>
      </c>
      <c r="B956" t="s">
        <v>2469</v>
      </c>
      <c r="C956" t="s">
        <v>3</v>
      </c>
      <c r="D956" s="2">
        <v>24500</v>
      </c>
      <c r="E956" s="2">
        <v>17150</v>
      </c>
      <c r="F956" t="s">
        <v>5</v>
      </c>
      <c r="G956" t="s">
        <v>2470</v>
      </c>
      <c r="H956" t="s">
        <v>2471</v>
      </c>
      <c r="I956">
        <v>204.26494</v>
      </c>
    </row>
    <row r="957" spans="1:9" ht="79.2" customHeight="1">
      <c r="A957" s="1" t="str">
        <f>"Chemistry 3149"</f>
        <v>Chemistry 3149</v>
      </c>
      <c r="B957" t="s">
        <v>2472</v>
      </c>
      <c r="C957" t="s">
        <v>3</v>
      </c>
      <c r="D957" s="2">
        <v>26300</v>
      </c>
      <c r="E957" s="2">
        <v>15780</v>
      </c>
      <c r="F957" t="s">
        <v>5</v>
      </c>
      <c r="G957" t="s">
        <v>2473</v>
      </c>
      <c r="H957" t="s">
        <v>2214</v>
      </c>
      <c r="I957">
        <v>258.23631999999998</v>
      </c>
    </row>
    <row r="958" spans="1:9" ht="61.2" customHeight="1">
      <c r="A958" s="1" t="str">
        <f>"Chemistry 3151"</f>
        <v>Chemistry 3151</v>
      </c>
      <c r="B958" t="s">
        <v>2474</v>
      </c>
      <c r="C958" t="s">
        <v>3</v>
      </c>
      <c r="D958" s="2">
        <v>29800</v>
      </c>
      <c r="E958" s="2">
        <v>17880</v>
      </c>
      <c r="F958" t="s">
        <v>5</v>
      </c>
      <c r="G958" t="s">
        <v>2475</v>
      </c>
      <c r="H958" t="s">
        <v>2476</v>
      </c>
      <c r="I958">
        <v>172.22154</v>
      </c>
    </row>
    <row r="959" spans="1:9" ht="91.05" customHeight="1">
      <c r="A959" s="1" t="str">
        <f>"Chemistry 3152"</f>
        <v>Chemistry 3152</v>
      </c>
      <c r="B959" t="s">
        <v>2477</v>
      </c>
      <c r="C959" t="s">
        <v>3</v>
      </c>
      <c r="D959" s="2">
        <v>26300</v>
      </c>
      <c r="E959" s="2">
        <v>15780</v>
      </c>
      <c r="F959" t="s">
        <v>5</v>
      </c>
      <c r="G959" t="s">
        <v>2478</v>
      </c>
      <c r="H959" t="s">
        <v>1701</v>
      </c>
      <c r="I959">
        <v>238.25479999999999</v>
      </c>
    </row>
    <row r="960" spans="1:9" ht="100.5" customHeight="1">
      <c r="A960" s="1" t="str">
        <f>"Chemistry 3155"</f>
        <v>Chemistry 3155</v>
      </c>
      <c r="B960" t="s">
        <v>2480</v>
      </c>
      <c r="C960" t="s">
        <v>3</v>
      </c>
      <c r="D960" s="2">
        <v>26300</v>
      </c>
      <c r="E960" s="2">
        <v>15780</v>
      </c>
      <c r="F960" t="s">
        <v>5</v>
      </c>
      <c r="G960" t="s">
        <v>2481</v>
      </c>
      <c r="H960" t="s">
        <v>2479</v>
      </c>
      <c r="I960">
        <v>234.29092</v>
      </c>
    </row>
    <row r="961" spans="1:9" ht="71.25" customHeight="1">
      <c r="A961" s="1" t="str">
        <f>"Chemistry 3169"</f>
        <v>Chemistry 3169</v>
      </c>
      <c r="B961" t="s">
        <v>2483</v>
      </c>
      <c r="C961" t="s">
        <v>3</v>
      </c>
      <c r="D961" s="2">
        <v>14000</v>
      </c>
      <c r="E961" s="2">
        <v>9800</v>
      </c>
      <c r="F961" t="s">
        <v>5</v>
      </c>
      <c r="G961" t="s">
        <v>2484</v>
      </c>
      <c r="H961" t="s">
        <v>2485</v>
      </c>
      <c r="I961">
        <v>229.22322</v>
      </c>
    </row>
    <row r="962" spans="1:9" ht="83.1" customHeight="1">
      <c r="A962" s="1" t="str">
        <f>"Chemistry 3170"</f>
        <v>Chemistry 3170</v>
      </c>
      <c r="B962" t="s">
        <v>2486</v>
      </c>
      <c r="C962" t="s">
        <v>3</v>
      </c>
      <c r="D962" s="2">
        <v>24500</v>
      </c>
      <c r="E962" s="2">
        <v>17150</v>
      </c>
      <c r="F962" t="s">
        <v>5</v>
      </c>
      <c r="G962" t="s">
        <v>2487</v>
      </c>
      <c r="H962" t="s">
        <v>2488</v>
      </c>
      <c r="I962">
        <v>162.1885</v>
      </c>
    </row>
    <row r="963" spans="1:9" ht="64.05" customHeight="1">
      <c r="A963" s="1" t="str">
        <f>"Chemistry 3174"</f>
        <v>Chemistry 3174</v>
      </c>
      <c r="B963" t="s">
        <v>2489</v>
      </c>
      <c r="C963" t="s">
        <v>128</v>
      </c>
      <c r="D963" s="2">
        <v>19300</v>
      </c>
      <c r="E963" s="2">
        <v>13510</v>
      </c>
      <c r="F963" t="s">
        <v>5</v>
      </c>
      <c r="G963" t="s">
        <v>2490</v>
      </c>
      <c r="H963" t="s">
        <v>2491</v>
      </c>
      <c r="I963">
        <v>256.70375999999999</v>
      </c>
    </row>
    <row r="964" spans="1:9" ht="64.05" customHeight="1">
      <c r="A964" s="1" t="str">
        <f>"Chemistry 3177"</f>
        <v>Chemistry 3177</v>
      </c>
      <c r="B964" t="s">
        <v>2493</v>
      </c>
      <c r="C964" t="s">
        <v>128</v>
      </c>
      <c r="D964" s="2">
        <v>21000</v>
      </c>
      <c r="E964" s="2">
        <v>14699.999999999998</v>
      </c>
      <c r="F964" t="s">
        <v>5</v>
      </c>
      <c r="G964" t="s">
        <v>2494</v>
      </c>
      <c r="H964" t="s">
        <v>2495</v>
      </c>
      <c r="I964">
        <v>284.75691999999998</v>
      </c>
    </row>
    <row r="965" spans="1:9" ht="92.7" customHeight="1">
      <c r="A965" s="1" t="str">
        <f>"Chemistry 3178"</f>
        <v>Chemistry 3178</v>
      </c>
      <c r="B965" t="s">
        <v>2496</v>
      </c>
      <c r="C965" t="s">
        <v>128</v>
      </c>
      <c r="D965" s="2">
        <v>21000</v>
      </c>
      <c r="E965" s="2">
        <v>14699.999999999998</v>
      </c>
      <c r="F965" t="s">
        <v>5</v>
      </c>
      <c r="G965" t="s">
        <v>2497</v>
      </c>
      <c r="H965" t="s">
        <v>2495</v>
      </c>
      <c r="I965">
        <v>284.75691999999998</v>
      </c>
    </row>
    <row r="966" spans="1:9" ht="52.2" customHeight="1">
      <c r="A966" s="1" t="str">
        <f>"Chemistry 3189"</f>
        <v>Chemistry 3189</v>
      </c>
      <c r="B966" t="s">
        <v>2501</v>
      </c>
      <c r="C966" t="s">
        <v>128</v>
      </c>
      <c r="D966" s="2">
        <v>12300</v>
      </c>
      <c r="E966" s="2">
        <v>8610</v>
      </c>
      <c r="F966" t="s">
        <v>5</v>
      </c>
      <c r="G966" t="s">
        <v>2502</v>
      </c>
      <c r="H966" t="s">
        <v>2503</v>
      </c>
      <c r="I966">
        <v>228.71847</v>
      </c>
    </row>
    <row r="967" spans="1:9" ht="67.95" customHeight="1">
      <c r="A967" s="1" t="str">
        <f>"Chemistry 3192"</f>
        <v>Chemistry 3192</v>
      </c>
      <c r="B967" t="s">
        <v>2504</v>
      </c>
      <c r="C967" t="s">
        <v>128</v>
      </c>
      <c r="D967" s="2">
        <v>12300</v>
      </c>
      <c r="E967" s="2">
        <v>8610</v>
      </c>
      <c r="F967" t="s">
        <v>5</v>
      </c>
      <c r="G967" t="s">
        <v>2505</v>
      </c>
      <c r="H967" t="s">
        <v>2503</v>
      </c>
      <c r="I967">
        <v>228.71848</v>
      </c>
    </row>
    <row r="968" spans="1:9" ht="84.75" customHeight="1">
      <c r="A968" s="1" t="str">
        <f>"Chemistry 3196"</f>
        <v>Chemistry 3196</v>
      </c>
      <c r="B968" t="s">
        <v>2506</v>
      </c>
      <c r="C968" t="s">
        <v>3</v>
      </c>
      <c r="D968" s="2">
        <v>11400</v>
      </c>
      <c r="E968" s="2">
        <v>7979.9999999999991</v>
      </c>
      <c r="F968" t="s">
        <v>5</v>
      </c>
      <c r="G968" t="s">
        <v>2507</v>
      </c>
      <c r="H968" t="s">
        <v>1242</v>
      </c>
      <c r="I968">
        <v>231.21428</v>
      </c>
    </row>
    <row r="969" spans="1:9" ht="71.25" customHeight="1">
      <c r="A969" s="1" t="str">
        <f>"Chemistry 3198"</f>
        <v>Chemistry 3198</v>
      </c>
      <c r="B969" t="s">
        <v>2508</v>
      </c>
      <c r="C969" t="s">
        <v>3</v>
      </c>
      <c r="D969" s="2">
        <v>14000</v>
      </c>
      <c r="E969" s="2">
        <v>9800</v>
      </c>
      <c r="F969" t="s">
        <v>5</v>
      </c>
      <c r="G969" t="s">
        <v>2509</v>
      </c>
      <c r="H969" t="s">
        <v>2510</v>
      </c>
      <c r="I969">
        <v>213.22381999999999</v>
      </c>
    </row>
    <row r="970" spans="1:9" ht="71.25" customHeight="1">
      <c r="A970" s="1" t="str">
        <f>"Chemistry 3199"</f>
        <v>Chemistry 3199</v>
      </c>
      <c r="B970" t="s">
        <v>2511</v>
      </c>
      <c r="C970" t="s">
        <v>3</v>
      </c>
      <c r="D970" s="2">
        <v>14000</v>
      </c>
      <c r="E970" s="2">
        <v>9800</v>
      </c>
      <c r="F970" t="s">
        <v>5</v>
      </c>
      <c r="G970" t="s">
        <v>2512</v>
      </c>
      <c r="H970" t="s">
        <v>2513</v>
      </c>
      <c r="I970">
        <v>187.18654000000001</v>
      </c>
    </row>
    <row r="971" spans="1:9" ht="64.05" customHeight="1">
      <c r="A971" s="1" t="str">
        <f>"Chemistry 3203"</f>
        <v>Chemistry 3203</v>
      </c>
      <c r="B971" t="s">
        <v>2514</v>
      </c>
      <c r="C971" t="s">
        <v>128</v>
      </c>
      <c r="D971" s="2">
        <v>19300</v>
      </c>
      <c r="E971" s="2">
        <v>13510</v>
      </c>
      <c r="F971" t="s">
        <v>5</v>
      </c>
      <c r="G971" t="s">
        <v>2515</v>
      </c>
      <c r="H971" t="s">
        <v>2516</v>
      </c>
      <c r="I971">
        <v>238.7133</v>
      </c>
    </row>
    <row r="972" spans="1:9" ht="65.7" customHeight="1">
      <c r="A972" s="1" t="str">
        <f>"Chemistry 3208"</f>
        <v>Chemistry 3208</v>
      </c>
      <c r="B972" t="s">
        <v>2517</v>
      </c>
      <c r="C972" t="s">
        <v>128</v>
      </c>
      <c r="D972" s="2">
        <v>21000</v>
      </c>
      <c r="E972" s="2">
        <v>14699.999999999998</v>
      </c>
      <c r="F972" t="s">
        <v>5</v>
      </c>
      <c r="G972" t="s">
        <v>2518</v>
      </c>
      <c r="H972" t="s">
        <v>438</v>
      </c>
      <c r="I972">
        <v>252.73988</v>
      </c>
    </row>
    <row r="973" spans="1:9" ht="65.7" customHeight="1">
      <c r="A973" s="1" t="str">
        <f>"Chemistry 3210"</f>
        <v>Chemistry 3210</v>
      </c>
      <c r="B973" t="s">
        <v>2519</v>
      </c>
      <c r="C973" t="s">
        <v>3</v>
      </c>
      <c r="D973" s="2">
        <v>21000</v>
      </c>
      <c r="E973" s="2">
        <v>14699.999999999998</v>
      </c>
      <c r="F973" t="s">
        <v>5</v>
      </c>
      <c r="G973" t="s">
        <v>2520</v>
      </c>
      <c r="H973" t="s">
        <v>2521</v>
      </c>
      <c r="I973">
        <v>216.27894000000001</v>
      </c>
    </row>
    <row r="974" spans="1:9" ht="83.1" customHeight="1">
      <c r="A974" s="1" t="str">
        <f>"Chemistry 3211"</f>
        <v>Chemistry 3211</v>
      </c>
      <c r="B974" t="s">
        <v>2522</v>
      </c>
      <c r="C974" t="s">
        <v>128</v>
      </c>
      <c r="D974" s="2">
        <v>21000</v>
      </c>
      <c r="E974" s="2">
        <v>14699.999999999998</v>
      </c>
      <c r="F974" t="s">
        <v>5</v>
      </c>
      <c r="G974" t="s">
        <v>2523</v>
      </c>
      <c r="H974" t="s">
        <v>1968</v>
      </c>
      <c r="I974">
        <v>270.73034000000001</v>
      </c>
    </row>
    <row r="975" spans="1:9" ht="52.2" customHeight="1">
      <c r="A975" s="1" t="str">
        <f>"Chemistry 3213"</f>
        <v>Chemistry 3213</v>
      </c>
      <c r="B975" t="s">
        <v>2524</v>
      </c>
      <c r="C975" t="s">
        <v>128</v>
      </c>
      <c r="D975" s="2">
        <v>14000</v>
      </c>
      <c r="E975" s="2">
        <v>9800</v>
      </c>
      <c r="F975" t="s">
        <v>5</v>
      </c>
      <c r="G975" t="s">
        <v>2525</v>
      </c>
      <c r="H975" t="s">
        <v>2503</v>
      </c>
      <c r="I975">
        <v>228.71847</v>
      </c>
    </row>
    <row r="976" spans="1:9" ht="67.95" customHeight="1">
      <c r="A976" s="1" t="str">
        <f>"Chemistry 3214"</f>
        <v>Chemistry 3214</v>
      </c>
      <c r="B976" t="s">
        <v>2526</v>
      </c>
      <c r="C976" t="s">
        <v>128</v>
      </c>
      <c r="D976" s="2">
        <v>14000</v>
      </c>
      <c r="E976" s="2">
        <v>9800</v>
      </c>
      <c r="F976" t="s">
        <v>5</v>
      </c>
      <c r="G976" t="s">
        <v>2527</v>
      </c>
      <c r="H976" t="s">
        <v>2500</v>
      </c>
      <c r="I976">
        <v>232.68235999999999</v>
      </c>
    </row>
    <row r="977" spans="1:9" ht="83.1" customHeight="1">
      <c r="A977" s="1" t="str">
        <f>"Chemistry 3217"</f>
        <v>Chemistry 3217</v>
      </c>
      <c r="B977" t="s">
        <v>2528</v>
      </c>
      <c r="C977" t="s">
        <v>128</v>
      </c>
      <c r="D977" s="2">
        <v>21000</v>
      </c>
      <c r="E977" s="2">
        <v>14699.999999999998</v>
      </c>
      <c r="F977" t="s">
        <v>5</v>
      </c>
      <c r="G977" t="s">
        <v>2529</v>
      </c>
      <c r="H977" t="s">
        <v>2495</v>
      </c>
      <c r="I977">
        <v>284.75691999999998</v>
      </c>
    </row>
    <row r="978" spans="1:9" ht="64.05" customHeight="1">
      <c r="A978" s="1" t="str">
        <f>"Chemistry 3218"</f>
        <v>Chemistry 3218</v>
      </c>
      <c r="B978" t="s">
        <v>2530</v>
      </c>
      <c r="C978" t="s">
        <v>128</v>
      </c>
      <c r="D978" s="2">
        <v>21000</v>
      </c>
      <c r="E978" s="2">
        <v>14699.999999999998</v>
      </c>
      <c r="F978" t="s">
        <v>5</v>
      </c>
      <c r="G978" t="s">
        <v>2531</v>
      </c>
      <c r="H978" t="s">
        <v>2532</v>
      </c>
      <c r="I978">
        <v>266.76646</v>
      </c>
    </row>
    <row r="979" spans="1:9" ht="61.8" customHeight="1">
      <c r="A979" s="1" t="str">
        <f>"Chemistry 3220"</f>
        <v>Chemistry 3220</v>
      </c>
      <c r="B979" t="s">
        <v>2533</v>
      </c>
      <c r="C979" t="s">
        <v>128</v>
      </c>
      <c r="D979" s="2">
        <v>21000</v>
      </c>
      <c r="E979" s="2">
        <v>14699.999999999998</v>
      </c>
      <c r="F979" t="s">
        <v>5</v>
      </c>
      <c r="G979" t="s">
        <v>2534</v>
      </c>
      <c r="H979" t="s">
        <v>2495</v>
      </c>
      <c r="I979">
        <v>284.75691999999998</v>
      </c>
    </row>
    <row r="980" spans="1:9" ht="76.349999999999994" customHeight="1">
      <c r="A980" s="1" t="str">
        <f>"Chemistry 3224"</f>
        <v>Chemistry 3224</v>
      </c>
      <c r="B980" t="s">
        <v>2535</v>
      </c>
      <c r="C980" t="s">
        <v>128</v>
      </c>
      <c r="D980" s="2">
        <v>22800</v>
      </c>
      <c r="E980" s="2">
        <v>15959.999999999998</v>
      </c>
      <c r="F980" t="s">
        <v>5</v>
      </c>
      <c r="G980" t="s">
        <v>2536</v>
      </c>
      <c r="H980" t="s">
        <v>2420</v>
      </c>
      <c r="I980">
        <v>258.14702</v>
      </c>
    </row>
    <row r="981" spans="1:9" ht="100.5" customHeight="1">
      <c r="A981" s="1" t="str">
        <f>"Chemistry 3230"</f>
        <v>Chemistry 3230</v>
      </c>
      <c r="B981" t="s">
        <v>2538</v>
      </c>
      <c r="C981" t="s">
        <v>3</v>
      </c>
      <c r="D981" s="2">
        <v>24500</v>
      </c>
      <c r="E981" s="2">
        <v>17150</v>
      </c>
      <c r="F981" t="s">
        <v>5</v>
      </c>
      <c r="G981" t="s">
        <v>2539</v>
      </c>
      <c r="H981" t="s">
        <v>2540</v>
      </c>
      <c r="I981">
        <v>353.84046000000001</v>
      </c>
    </row>
    <row r="982" spans="1:9" ht="54.45" customHeight="1">
      <c r="A982" s="1" t="str">
        <f>"Chemistry 3234"</f>
        <v>Chemistry 3234</v>
      </c>
      <c r="B982" t="s">
        <v>2541</v>
      </c>
      <c r="C982" t="s">
        <v>128</v>
      </c>
      <c r="D982" s="2">
        <v>35000</v>
      </c>
      <c r="E982" s="2">
        <v>21000</v>
      </c>
      <c r="F982" t="s">
        <v>5</v>
      </c>
      <c r="G982" t="s">
        <v>2542</v>
      </c>
      <c r="H982" t="s">
        <v>1433</v>
      </c>
      <c r="I982">
        <v>163.64515</v>
      </c>
    </row>
    <row r="983" spans="1:9" ht="67.349999999999994" customHeight="1">
      <c r="A983" s="1" t="str">
        <f>"Chemistry 3242"</f>
        <v>Chemistry 3242</v>
      </c>
      <c r="B983" t="s">
        <v>2544</v>
      </c>
      <c r="C983" t="s">
        <v>128</v>
      </c>
      <c r="D983" s="2">
        <v>19300</v>
      </c>
      <c r="E983" s="2">
        <v>13510</v>
      </c>
      <c r="F983" t="s">
        <v>5</v>
      </c>
      <c r="G983" t="s">
        <v>2545</v>
      </c>
      <c r="H983" t="s">
        <v>2491</v>
      </c>
      <c r="I983">
        <v>256.70375999999999</v>
      </c>
    </row>
    <row r="984" spans="1:9" ht="55.5" customHeight="1">
      <c r="A984" s="1" t="str">
        <f>"Chemistry 3245"</f>
        <v>Chemistry 3245</v>
      </c>
      <c r="B984" t="s">
        <v>2546</v>
      </c>
      <c r="C984" t="s">
        <v>128</v>
      </c>
      <c r="D984" s="2">
        <v>14000</v>
      </c>
      <c r="E984" s="2">
        <v>9800</v>
      </c>
      <c r="F984" t="s">
        <v>5</v>
      </c>
      <c r="G984" t="s">
        <v>2547</v>
      </c>
      <c r="H984" t="s">
        <v>2548</v>
      </c>
      <c r="I984">
        <v>201.65337</v>
      </c>
    </row>
    <row r="985" spans="1:9" ht="69.599999999999994" customHeight="1">
      <c r="A985" s="1" t="str">
        <f>"Chemistry 3250"</f>
        <v>Chemistry 3250</v>
      </c>
      <c r="B985" t="s">
        <v>2549</v>
      </c>
      <c r="C985" t="s">
        <v>128</v>
      </c>
      <c r="D985" s="2">
        <v>14000</v>
      </c>
      <c r="E985" s="2">
        <v>9800</v>
      </c>
      <c r="F985" t="s">
        <v>5</v>
      </c>
      <c r="G985" t="s">
        <v>2550</v>
      </c>
      <c r="H985" t="s">
        <v>2551</v>
      </c>
      <c r="I985">
        <v>230.69130000000001</v>
      </c>
    </row>
    <row r="986" spans="1:9" ht="65.7" customHeight="1">
      <c r="A986" s="1" t="str">
        <f>"Chemistry 3253"</f>
        <v>Chemistry 3253</v>
      </c>
      <c r="B986" t="s">
        <v>2552</v>
      </c>
      <c r="C986" t="s">
        <v>128</v>
      </c>
      <c r="D986" s="2">
        <v>21000</v>
      </c>
      <c r="E986" s="2">
        <v>14699.999999999998</v>
      </c>
      <c r="F986" t="s">
        <v>5</v>
      </c>
      <c r="G986" t="s">
        <v>2553</v>
      </c>
      <c r="H986" t="s">
        <v>1968</v>
      </c>
      <c r="I986">
        <v>270.73034000000001</v>
      </c>
    </row>
    <row r="987" spans="1:9" ht="67.349999999999994" customHeight="1">
      <c r="A987" s="1" t="str">
        <f>"Chemistry 3254"</f>
        <v>Chemistry 3254</v>
      </c>
      <c r="B987" t="s">
        <v>2554</v>
      </c>
      <c r="C987" t="s">
        <v>128</v>
      </c>
      <c r="D987" s="2">
        <v>21000</v>
      </c>
      <c r="E987" s="2">
        <v>14699.999999999998</v>
      </c>
      <c r="F987" t="s">
        <v>5</v>
      </c>
      <c r="G987" t="s">
        <v>2555</v>
      </c>
      <c r="H987" t="s">
        <v>1968</v>
      </c>
      <c r="I987">
        <v>270.73034000000001</v>
      </c>
    </row>
    <row r="988" spans="1:9" ht="67.349999999999994" customHeight="1">
      <c r="A988" s="1" t="str">
        <f>"Chemistry 3256"</f>
        <v>Chemistry 3256</v>
      </c>
      <c r="B988" t="s">
        <v>2556</v>
      </c>
      <c r="C988" t="s">
        <v>128</v>
      </c>
      <c r="D988" s="2">
        <v>21000</v>
      </c>
      <c r="E988" s="2">
        <v>14699.999999999998</v>
      </c>
      <c r="F988" t="s">
        <v>5</v>
      </c>
      <c r="G988" t="s">
        <v>2557</v>
      </c>
      <c r="H988" t="s">
        <v>1968</v>
      </c>
      <c r="I988">
        <v>270.73034000000001</v>
      </c>
    </row>
    <row r="989" spans="1:9" ht="55.5" customHeight="1">
      <c r="A989" s="1" t="str">
        <f>"Chemistry 3259"</f>
        <v>Chemistry 3259</v>
      </c>
      <c r="B989" t="s">
        <v>2558</v>
      </c>
      <c r="C989" t="s">
        <v>128</v>
      </c>
      <c r="D989" s="2">
        <v>14000</v>
      </c>
      <c r="E989" s="2">
        <v>9800</v>
      </c>
      <c r="F989" t="s">
        <v>5</v>
      </c>
      <c r="G989" t="s">
        <v>2559</v>
      </c>
      <c r="H989" t="s">
        <v>2500</v>
      </c>
      <c r="I989">
        <v>232.68235999999999</v>
      </c>
    </row>
    <row r="990" spans="1:9" ht="80.849999999999994" customHeight="1">
      <c r="A990" s="1" t="str">
        <f>"Chemistry 3266"</f>
        <v>Chemistry 3266</v>
      </c>
      <c r="B990" t="s">
        <v>2560</v>
      </c>
      <c r="C990" t="s">
        <v>128</v>
      </c>
      <c r="D990" s="2">
        <v>21000</v>
      </c>
      <c r="E990" s="2">
        <v>14699.999999999998</v>
      </c>
      <c r="F990" t="s">
        <v>5</v>
      </c>
      <c r="G990" t="s">
        <v>2561</v>
      </c>
      <c r="H990" t="s">
        <v>2495</v>
      </c>
      <c r="I990">
        <v>284.75691999999998</v>
      </c>
    </row>
    <row r="991" spans="1:9" ht="72.45" customHeight="1">
      <c r="A991" s="1" t="str">
        <f>"Chemistry 3268"</f>
        <v>Chemistry 3268</v>
      </c>
      <c r="B991" t="s">
        <v>2562</v>
      </c>
      <c r="C991" t="s">
        <v>128</v>
      </c>
      <c r="D991" s="2">
        <v>17500</v>
      </c>
      <c r="E991" s="2">
        <v>12250</v>
      </c>
      <c r="F991" t="s">
        <v>5</v>
      </c>
      <c r="G991" t="s">
        <v>2563</v>
      </c>
      <c r="H991" t="s">
        <v>2564</v>
      </c>
      <c r="I991">
        <v>236.70071999999999</v>
      </c>
    </row>
    <row r="992" spans="1:9" ht="88.2" customHeight="1">
      <c r="A992" s="1" t="str">
        <f>"Chemistry 3269"</f>
        <v>Chemistry 3269</v>
      </c>
      <c r="B992" t="s">
        <v>2565</v>
      </c>
      <c r="C992" t="s">
        <v>3</v>
      </c>
      <c r="D992" s="2">
        <v>17500</v>
      </c>
      <c r="E992" s="2">
        <v>12250</v>
      </c>
      <c r="F992" t="s">
        <v>5</v>
      </c>
      <c r="G992" t="s">
        <v>2566</v>
      </c>
      <c r="H992" t="s">
        <v>2389</v>
      </c>
      <c r="I992">
        <v>256.18068</v>
      </c>
    </row>
    <row r="993" spans="1:9" ht="88.2" customHeight="1">
      <c r="A993" s="1" t="str">
        <f>"Chemistry 3270"</f>
        <v>Chemistry 3270</v>
      </c>
      <c r="B993" t="s">
        <v>2567</v>
      </c>
      <c r="C993" t="s">
        <v>3</v>
      </c>
      <c r="D993" s="2">
        <v>17500</v>
      </c>
      <c r="E993" s="2">
        <v>12250</v>
      </c>
      <c r="F993" t="s">
        <v>5</v>
      </c>
      <c r="G993" t="s">
        <v>2568</v>
      </c>
      <c r="H993" t="s">
        <v>2389</v>
      </c>
      <c r="I993">
        <v>256.18068</v>
      </c>
    </row>
    <row r="994" spans="1:9" ht="65.099999999999994" customHeight="1">
      <c r="A994" s="1" t="str">
        <f>"Chemistry 3281"</f>
        <v>Chemistry 3281</v>
      </c>
      <c r="B994" t="s">
        <v>2570</v>
      </c>
      <c r="C994" t="s">
        <v>3</v>
      </c>
      <c r="D994" s="2">
        <v>31500</v>
      </c>
      <c r="E994" s="2">
        <v>18900</v>
      </c>
      <c r="F994" t="s">
        <v>5</v>
      </c>
      <c r="G994" t="s">
        <v>2571</v>
      </c>
      <c r="H994" t="s">
        <v>2572</v>
      </c>
      <c r="I994">
        <v>189.1163</v>
      </c>
    </row>
    <row r="995" spans="1:9" ht="75.3" customHeight="1">
      <c r="A995" s="1" t="str">
        <f>"Chemistry 3282"</f>
        <v>Chemistry 3282</v>
      </c>
      <c r="B995" t="s">
        <v>2573</v>
      </c>
      <c r="C995" t="s">
        <v>3</v>
      </c>
      <c r="D995" s="2">
        <v>31500</v>
      </c>
      <c r="E995" s="2">
        <v>18900</v>
      </c>
      <c r="F995" t="s">
        <v>5</v>
      </c>
      <c r="G995" t="s">
        <v>2574</v>
      </c>
      <c r="H995" t="s">
        <v>2572</v>
      </c>
      <c r="I995">
        <v>189.1163</v>
      </c>
    </row>
    <row r="996" spans="1:9" ht="75.3" customHeight="1">
      <c r="A996" s="1" t="str">
        <f>"Chemistry 3283"</f>
        <v>Chemistry 3283</v>
      </c>
      <c r="B996" t="s">
        <v>2575</v>
      </c>
      <c r="C996" t="s">
        <v>3</v>
      </c>
      <c r="D996" s="2">
        <v>31500</v>
      </c>
      <c r="E996" s="2">
        <v>18900</v>
      </c>
      <c r="F996" t="s">
        <v>5</v>
      </c>
      <c r="G996" t="s">
        <v>2576</v>
      </c>
      <c r="H996" t="s">
        <v>2572</v>
      </c>
      <c r="I996">
        <v>189.1163</v>
      </c>
    </row>
    <row r="997" spans="1:9" ht="65.099999999999994" customHeight="1">
      <c r="A997" s="1" t="str">
        <f>"Chemistry 3284"</f>
        <v>Chemistry 3284</v>
      </c>
      <c r="B997" t="s">
        <v>2577</v>
      </c>
      <c r="C997" t="s">
        <v>3</v>
      </c>
      <c r="D997" s="2">
        <v>31500</v>
      </c>
      <c r="E997" s="2">
        <v>18900</v>
      </c>
      <c r="F997" t="s">
        <v>5</v>
      </c>
      <c r="G997" t="s">
        <v>2578</v>
      </c>
      <c r="H997" t="s">
        <v>2572</v>
      </c>
      <c r="I997">
        <v>189.1163</v>
      </c>
    </row>
    <row r="998" spans="1:9" ht="79.2" customHeight="1">
      <c r="A998" s="1" t="str">
        <f>"Chemistry 3285"</f>
        <v>Chemistry 3285</v>
      </c>
      <c r="B998" t="s">
        <v>2579</v>
      </c>
      <c r="C998" t="s">
        <v>3</v>
      </c>
      <c r="D998" s="2">
        <v>31500</v>
      </c>
      <c r="E998" s="2">
        <v>18900</v>
      </c>
      <c r="F998" t="s">
        <v>5</v>
      </c>
      <c r="G998" t="s">
        <v>2580</v>
      </c>
      <c r="H998" t="s">
        <v>2572</v>
      </c>
      <c r="I998">
        <v>189.1163</v>
      </c>
    </row>
    <row r="999" spans="1:9" ht="67.95" customHeight="1">
      <c r="A999" s="1" t="str">
        <f>"Chemistry 3286"</f>
        <v>Chemistry 3286</v>
      </c>
      <c r="B999" t="s">
        <v>2581</v>
      </c>
      <c r="C999" t="s">
        <v>3</v>
      </c>
      <c r="D999" s="2">
        <v>31500</v>
      </c>
      <c r="E999" s="2">
        <v>18900</v>
      </c>
      <c r="F999" t="s">
        <v>5</v>
      </c>
      <c r="G999" t="s">
        <v>2582</v>
      </c>
      <c r="H999" t="s">
        <v>2572</v>
      </c>
      <c r="I999">
        <v>189.1163</v>
      </c>
    </row>
    <row r="1000" spans="1:9" ht="55.5" customHeight="1">
      <c r="A1000" s="1" t="str">
        <f>"Chemistry 3289"</f>
        <v>Chemistry 3289</v>
      </c>
      <c r="B1000" t="s">
        <v>2584</v>
      </c>
      <c r="C1000" t="s">
        <v>3</v>
      </c>
      <c r="D1000" s="2">
        <v>28000</v>
      </c>
      <c r="E1000" s="2">
        <v>16800</v>
      </c>
      <c r="F1000" t="s">
        <v>5</v>
      </c>
      <c r="G1000" t="s">
        <v>2585</v>
      </c>
      <c r="H1000" t="s">
        <v>2586</v>
      </c>
      <c r="I1000">
        <v>160.12144000000001</v>
      </c>
    </row>
    <row r="1001" spans="1:9" ht="55.5" customHeight="1">
      <c r="A1001" s="1" t="str">
        <f>"Chemistry 3290"</f>
        <v>Chemistry 3290</v>
      </c>
      <c r="B1001" t="s">
        <v>2587</v>
      </c>
      <c r="C1001" t="s">
        <v>3</v>
      </c>
      <c r="D1001" s="2">
        <v>28000</v>
      </c>
      <c r="E1001" s="2">
        <v>16800</v>
      </c>
      <c r="F1001" t="s">
        <v>5</v>
      </c>
      <c r="G1001" t="s">
        <v>2588</v>
      </c>
      <c r="H1001" t="s">
        <v>2586</v>
      </c>
      <c r="I1001">
        <v>160.12144000000001</v>
      </c>
    </row>
    <row r="1002" spans="1:9" ht="55.5" customHeight="1">
      <c r="A1002" s="1" t="str">
        <f>"Chemistry 3292"</f>
        <v>Chemistry 3292</v>
      </c>
      <c r="B1002" t="s">
        <v>2589</v>
      </c>
      <c r="C1002" t="s">
        <v>3</v>
      </c>
      <c r="D1002" s="2">
        <v>28000</v>
      </c>
      <c r="E1002" s="2">
        <v>16800</v>
      </c>
      <c r="F1002" t="s">
        <v>5</v>
      </c>
      <c r="G1002" t="s">
        <v>2590</v>
      </c>
      <c r="H1002" t="s">
        <v>2586</v>
      </c>
      <c r="I1002">
        <v>160.12144000000001</v>
      </c>
    </row>
    <row r="1003" spans="1:9" ht="71.25" customHeight="1">
      <c r="A1003" s="1" t="str">
        <f>"Chemistry 3296"</f>
        <v>Chemistry 3296</v>
      </c>
      <c r="B1003" t="s">
        <v>2592</v>
      </c>
      <c r="C1003" t="s">
        <v>3</v>
      </c>
      <c r="D1003" s="2">
        <v>35000</v>
      </c>
      <c r="E1003" s="2">
        <v>21000</v>
      </c>
      <c r="F1003" t="s">
        <v>5</v>
      </c>
      <c r="G1003" t="s">
        <v>2593</v>
      </c>
      <c r="H1003" t="s">
        <v>2591</v>
      </c>
      <c r="I1003">
        <v>207.10676000000001</v>
      </c>
    </row>
    <row r="1004" spans="1:9" ht="57.75" customHeight="1">
      <c r="A1004" s="1" t="str">
        <f>"Chemistry 3303"</f>
        <v>Chemistry 3303</v>
      </c>
      <c r="B1004" t="s">
        <v>2595</v>
      </c>
      <c r="C1004" t="s">
        <v>270</v>
      </c>
      <c r="D1004" s="2">
        <v>31500</v>
      </c>
      <c r="E1004" s="2">
        <v>18900</v>
      </c>
      <c r="F1004" t="s">
        <v>5</v>
      </c>
      <c r="G1004" t="s">
        <v>2596</v>
      </c>
      <c r="H1004" t="s">
        <v>2597</v>
      </c>
      <c r="I1004">
        <v>251.03378000000001</v>
      </c>
    </row>
    <row r="1005" spans="1:9" ht="71.25" customHeight="1">
      <c r="A1005" s="1" t="str">
        <f>"Chemistry 3304"</f>
        <v>Chemistry 3304</v>
      </c>
      <c r="B1005" t="s">
        <v>2598</v>
      </c>
      <c r="C1005" t="s">
        <v>3</v>
      </c>
      <c r="D1005" s="2">
        <v>26300</v>
      </c>
      <c r="E1005" s="2">
        <v>15780</v>
      </c>
      <c r="F1005" t="s">
        <v>5</v>
      </c>
      <c r="G1005" t="s">
        <v>2599</v>
      </c>
      <c r="H1005" t="s">
        <v>2600</v>
      </c>
      <c r="I1005">
        <v>163.17326</v>
      </c>
    </row>
    <row r="1006" spans="1:9" ht="71.25" customHeight="1">
      <c r="A1006" s="1" t="str">
        <f>"Chemistry 3306"</f>
        <v>Chemistry 3306</v>
      </c>
      <c r="B1006" t="s">
        <v>2601</v>
      </c>
      <c r="C1006" t="s">
        <v>3</v>
      </c>
      <c r="D1006" s="2">
        <v>31500</v>
      </c>
      <c r="E1006" s="2">
        <v>18900</v>
      </c>
      <c r="F1006" t="s">
        <v>5</v>
      </c>
      <c r="G1006" t="s">
        <v>2602</v>
      </c>
      <c r="H1006" t="s">
        <v>2572</v>
      </c>
      <c r="I1006">
        <v>189.1163</v>
      </c>
    </row>
    <row r="1007" spans="1:9" ht="94.95" customHeight="1">
      <c r="A1007" s="1" t="str">
        <f>"Chemistry 3307"</f>
        <v>Chemistry 3307</v>
      </c>
      <c r="B1007" t="s">
        <v>2603</v>
      </c>
      <c r="C1007" t="s">
        <v>3</v>
      </c>
      <c r="D1007" s="2">
        <v>31500</v>
      </c>
      <c r="E1007" s="2">
        <v>18900</v>
      </c>
      <c r="F1007" t="s">
        <v>5</v>
      </c>
      <c r="G1007" t="s">
        <v>2604</v>
      </c>
      <c r="H1007" t="s">
        <v>2572</v>
      </c>
      <c r="I1007">
        <v>189.1163</v>
      </c>
    </row>
    <row r="1008" spans="1:9" ht="77.55" customHeight="1">
      <c r="A1008" s="1" t="str">
        <f>"Chemistry 3311"</f>
        <v>Chemistry 3311</v>
      </c>
      <c r="B1008" t="s">
        <v>2605</v>
      </c>
      <c r="C1008" t="s">
        <v>3</v>
      </c>
      <c r="D1008" s="2">
        <v>35000</v>
      </c>
      <c r="E1008" s="2">
        <v>21000</v>
      </c>
      <c r="F1008" t="s">
        <v>5</v>
      </c>
      <c r="G1008" t="s">
        <v>2606</v>
      </c>
      <c r="H1008" t="s">
        <v>2591</v>
      </c>
      <c r="I1008">
        <v>207.10676000000001</v>
      </c>
    </row>
    <row r="1009" spans="1:9" ht="65.099999999999994" customHeight="1">
      <c r="A1009" s="1" t="str">
        <f>"Chemistry 3317"</f>
        <v>Chemistry 3317</v>
      </c>
      <c r="B1009" t="s">
        <v>2607</v>
      </c>
      <c r="C1009" t="s">
        <v>270</v>
      </c>
      <c r="D1009" s="2">
        <v>31500</v>
      </c>
      <c r="E1009" s="2">
        <v>18900</v>
      </c>
      <c r="F1009" t="s">
        <v>5</v>
      </c>
      <c r="G1009" t="s">
        <v>2608</v>
      </c>
      <c r="H1009" t="s">
        <v>2594</v>
      </c>
      <c r="I1009">
        <v>251.03378000000001</v>
      </c>
    </row>
    <row r="1010" spans="1:9" ht="79.2" customHeight="1">
      <c r="A1010" s="1" t="str">
        <f>"Chemistry 3320"</f>
        <v>Chemistry 3320</v>
      </c>
      <c r="B1010" t="s">
        <v>2609</v>
      </c>
      <c r="C1010" t="s">
        <v>3</v>
      </c>
      <c r="D1010" s="2">
        <v>17500</v>
      </c>
      <c r="E1010" s="2">
        <v>12250</v>
      </c>
      <c r="F1010" t="s">
        <v>5</v>
      </c>
      <c r="G1010" t="s">
        <v>2610</v>
      </c>
      <c r="H1010" t="s">
        <v>2611</v>
      </c>
      <c r="I1010">
        <v>166.13413</v>
      </c>
    </row>
    <row r="1011" spans="1:9" ht="91.5" customHeight="1">
      <c r="A1011" s="1" t="str">
        <f>"Chemistry 3321"</f>
        <v>Chemistry 3321</v>
      </c>
      <c r="B1011" t="s">
        <v>2612</v>
      </c>
      <c r="C1011" t="s">
        <v>3</v>
      </c>
      <c r="D1011" s="2">
        <v>19300</v>
      </c>
      <c r="E1011" s="2">
        <v>13510</v>
      </c>
      <c r="F1011" t="s">
        <v>5</v>
      </c>
      <c r="G1011" t="s">
        <v>2613</v>
      </c>
      <c r="H1011" t="s">
        <v>2614</v>
      </c>
      <c r="I1011">
        <v>180.16070999999999</v>
      </c>
    </row>
    <row r="1012" spans="1:9" ht="87" customHeight="1">
      <c r="A1012" s="1" t="str">
        <f>"Chemistry 3324"</f>
        <v>Chemistry 3324</v>
      </c>
      <c r="B1012" t="s">
        <v>2615</v>
      </c>
      <c r="C1012" t="s">
        <v>3</v>
      </c>
      <c r="D1012" s="2">
        <v>21000</v>
      </c>
      <c r="E1012" s="2">
        <v>14699.999999999998</v>
      </c>
      <c r="F1012" t="s">
        <v>5</v>
      </c>
      <c r="G1012" t="s">
        <v>2616</v>
      </c>
      <c r="H1012" t="s">
        <v>2617</v>
      </c>
      <c r="I1012">
        <v>192.21448000000001</v>
      </c>
    </row>
    <row r="1013" spans="1:9" ht="75.3" customHeight="1">
      <c r="A1013" s="1" t="str">
        <f>"Chemistry 3325"</f>
        <v>Chemistry 3325</v>
      </c>
      <c r="B1013" t="s">
        <v>2618</v>
      </c>
      <c r="C1013" t="s">
        <v>3</v>
      </c>
      <c r="D1013" s="2">
        <v>21000</v>
      </c>
      <c r="E1013" s="2">
        <v>14699.999999999998</v>
      </c>
      <c r="F1013" t="s">
        <v>5</v>
      </c>
      <c r="G1013" t="s">
        <v>2619</v>
      </c>
      <c r="H1013" t="s">
        <v>2617</v>
      </c>
      <c r="I1013">
        <v>192.21448000000001</v>
      </c>
    </row>
    <row r="1014" spans="1:9" ht="75.3" customHeight="1">
      <c r="A1014" s="1" t="str">
        <f>"Chemistry 3327"</f>
        <v>Chemistry 3327</v>
      </c>
      <c r="B1014" t="s">
        <v>2620</v>
      </c>
      <c r="C1014" t="s">
        <v>3</v>
      </c>
      <c r="D1014" s="2">
        <v>21000</v>
      </c>
      <c r="E1014" s="2">
        <v>14699.999999999998</v>
      </c>
      <c r="F1014" t="s">
        <v>5</v>
      </c>
      <c r="G1014" t="s">
        <v>2621</v>
      </c>
      <c r="H1014" t="s">
        <v>2324</v>
      </c>
      <c r="I1014">
        <v>206.24106</v>
      </c>
    </row>
    <row r="1015" spans="1:9" ht="78.599999999999994" customHeight="1">
      <c r="A1015" s="1" t="str">
        <f>"Chemistry 3328"</f>
        <v>Chemistry 3328</v>
      </c>
      <c r="B1015" t="s">
        <v>2622</v>
      </c>
      <c r="C1015" t="s">
        <v>3</v>
      </c>
      <c r="D1015" s="2">
        <v>21000</v>
      </c>
      <c r="E1015" s="2">
        <v>14699.999999999998</v>
      </c>
      <c r="F1015" t="s">
        <v>5</v>
      </c>
      <c r="G1015" t="s">
        <v>2623</v>
      </c>
      <c r="H1015" t="s">
        <v>2324</v>
      </c>
      <c r="I1015">
        <v>206.24106</v>
      </c>
    </row>
    <row r="1016" spans="1:9" ht="51.6" customHeight="1">
      <c r="A1016" s="1" t="str">
        <f>"Chemistry 3329"</f>
        <v>Chemistry 3329</v>
      </c>
      <c r="B1016" t="s">
        <v>2624</v>
      </c>
      <c r="C1016" t="s">
        <v>3</v>
      </c>
      <c r="D1016" s="2">
        <v>21000</v>
      </c>
      <c r="E1016" s="2">
        <v>14699.999999999998</v>
      </c>
      <c r="F1016" t="s">
        <v>5</v>
      </c>
      <c r="G1016" t="s">
        <v>2625</v>
      </c>
      <c r="H1016" t="s">
        <v>32</v>
      </c>
      <c r="I1016">
        <v>208.21387999999999</v>
      </c>
    </row>
    <row r="1017" spans="1:9" ht="75.3" customHeight="1">
      <c r="A1017" s="1" t="str">
        <f>"Chemistry 3330"</f>
        <v>Chemistry 3330</v>
      </c>
      <c r="B1017" t="s">
        <v>2626</v>
      </c>
      <c r="C1017" t="s">
        <v>3</v>
      </c>
      <c r="D1017" s="2">
        <v>21000</v>
      </c>
      <c r="E1017" s="2">
        <v>14699.999999999998</v>
      </c>
      <c r="F1017" t="s">
        <v>5</v>
      </c>
      <c r="G1017" t="s">
        <v>2627</v>
      </c>
      <c r="H1017" t="s">
        <v>32</v>
      </c>
      <c r="I1017">
        <v>208.21387999999999</v>
      </c>
    </row>
    <row r="1018" spans="1:9" ht="51.6" customHeight="1">
      <c r="A1018" s="1" t="str">
        <f>"Chemistry 3334"</f>
        <v>Chemistry 3334</v>
      </c>
      <c r="B1018" t="s">
        <v>2628</v>
      </c>
      <c r="C1018" t="s">
        <v>3</v>
      </c>
      <c r="D1018" s="2">
        <v>21000</v>
      </c>
      <c r="E1018" s="2">
        <v>14699.999999999998</v>
      </c>
      <c r="F1018" t="s">
        <v>5</v>
      </c>
      <c r="G1018" t="s">
        <v>2629</v>
      </c>
      <c r="H1018" t="s">
        <v>1407</v>
      </c>
      <c r="I1018">
        <v>221.25569999999999</v>
      </c>
    </row>
    <row r="1019" spans="1:9" ht="71.25" customHeight="1">
      <c r="A1019" s="1" t="str">
        <f>"Chemistry 3353"</f>
        <v>Chemistry 3353</v>
      </c>
      <c r="B1019" t="s">
        <v>2632</v>
      </c>
      <c r="C1019" t="s">
        <v>3</v>
      </c>
      <c r="D1019" s="2">
        <v>21000</v>
      </c>
      <c r="E1019" s="2">
        <v>14699.999999999998</v>
      </c>
      <c r="F1019" t="s">
        <v>5</v>
      </c>
      <c r="G1019" t="s">
        <v>2633</v>
      </c>
      <c r="H1019" t="s">
        <v>2049</v>
      </c>
      <c r="I1019">
        <v>191.18665999999999</v>
      </c>
    </row>
    <row r="1020" spans="1:9" ht="71.25" customHeight="1">
      <c r="A1020" s="1" t="str">
        <f>"Chemistry 3357"</f>
        <v>Chemistry 3357</v>
      </c>
      <c r="B1020" t="s">
        <v>2635</v>
      </c>
      <c r="C1020" t="s">
        <v>3</v>
      </c>
      <c r="D1020" s="2">
        <v>21000</v>
      </c>
      <c r="E1020" s="2">
        <v>14699.999999999998</v>
      </c>
      <c r="F1020" t="s">
        <v>5</v>
      </c>
      <c r="G1020" t="s">
        <v>2636</v>
      </c>
      <c r="H1020" t="s">
        <v>2010</v>
      </c>
      <c r="I1020">
        <v>247.24992</v>
      </c>
    </row>
    <row r="1021" spans="1:9" ht="81.45" customHeight="1">
      <c r="A1021" s="1" t="str">
        <f>"Chemistry 3358"</f>
        <v>Chemistry 3358</v>
      </c>
      <c r="B1021" t="s">
        <v>2637</v>
      </c>
      <c r="C1021" t="s">
        <v>3</v>
      </c>
      <c r="D1021" s="2">
        <v>26300</v>
      </c>
      <c r="E1021" s="2">
        <v>15780</v>
      </c>
      <c r="F1021" t="s">
        <v>5</v>
      </c>
      <c r="G1021" t="s">
        <v>2638</v>
      </c>
      <c r="H1021" t="s">
        <v>2600</v>
      </c>
      <c r="I1021">
        <v>163.17326</v>
      </c>
    </row>
    <row r="1022" spans="1:9" ht="67.95" customHeight="1">
      <c r="A1022" s="1" t="str">
        <f>"Chemistry 3361"</f>
        <v>Chemistry 3361</v>
      </c>
      <c r="B1022" t="s">
        <v>2639</v>
      </c>
      <c r="C1022" t="s">
        <v>3</v>
      </c>
      <c r="D1022" s="2">
        <v>26300</v>
      </c>
      <c r="E1022" s="2">
        <v>15780</v>
      </c>
      <c r="F1022" t="s">
        <v>5</v>
      </c>
      <c r="G1022" t="s">
        <v>2640</v>
      </c>
      <c r="H1022" t="s">
        <v>2600</v>
      </c>
      <c r="I1022">
        <v>163.17326</v>
      </c>
    </row>
    <row r="1023" spans="1:9" ht="92.1" customHeight="1">
      <c r="A1023" s="1" t="str">
        <f>"Chemistry 3370"</f>
        <v>Chemistry 3370</v>
      </c>
      <c r="B1023" t="s">
        <v>2641</v>
      </c>
      <c r="C1023" t="s">
        <v>3</v>
      </c>
      <c r="D1023" s="2">
        <v>24500</v>
      </c>
      <c r="E1023" s="2">
        <v>17150</v>
      </c>
      <c r="F1023" t="s">
        <v>5</v>
      </c>
      <c r="G1023" t="s">
        <v>2642</v>
      </c>
      <c r="H1023" t="s">
        <v>2540</v>
      </c>
      <c r="I1023">
        <v>353.84046000000001</v>
      </c>
    </row>
    <row r="1024" spans="1:9" ht="70.8" customHeight="1">
      <c r="A1024" s="1" t="str">
        <f>"Chemistry 3378"</f>
        <v>Chemistry 3378</v>
      </c>
      <c r="B1024" t="s">
        <v>2643</v>
      </c>
      <c r="C1024" t="s">
        <v>128</v>
      </c>
      <c r="D1024" s="2">
        <v>22800</v>
      </c>
      <c r="E1024" s="2">
        <v>15959.999999999998</v>
      </c>
      <c r="F1024" t="s">
        <v>5</v>
      </c>
      <c r="G1024" t="s">
        <v>2644</v>
      </c>
      <c r="H1024" t="s">
        <v>1799</v>
      </c>
      <c r="I1024">
        <v>217.69584</v>
      </c>
    </row>
    <row r="1025" spans="1:9" ht="55.5" customHeight="1">
      <c r="A1025" s="1" t="str">
        <f>"Chemistry 3385"</f>
        <v>Chemistry 3385</v>
      </c>
      <c r="B1025" t="s">
        <v>2645</v>
      </c>
      <c r="C1025" t="s">
        <v>3</v>
      </c>
      <c r="D1025" s="2">
        <v>22800</v>
      </c>
      <c r="E1025" s="2">
        <v>15959.999999999998</v>
      </c>
      <c r="F1025" t="s">
        <v>5</v>
      </c>
      <c r="G1025" t="s">
        <v>2646</v>
      </c>
      <c r="H1025" t="s">
        <v>2647</v>
      </c>
      <c r="I1025">
        <v>202.13659999999999</v>
      </c>
    </row>
    <row r="1026" spans="1:9" ht="71.25" customHeight="1">
      <c r="A1026" s="1" t="str">
        <f>"Chemistry 3399"</f>
        <v>Chemistry 3399</v>
      </c>
      <c r="B1026" t="s">
        <v>2649</v>
      </c>
      <c r="C1026" t="s">
        <v>3</v>
      </c>
      <c r="D1026" s="2">
        <v>21000</v>
      </c>
      <c r="E1026" s="2">
        <v>14699.999999999998</v>
      </c>
      <c r="F1026" t="s">
        <v>5</v>
      </c>
      <c r="G1026" t="s">
        <v>2650</v>
      </c>
      <c r="H1026" t="s">
        <v>1339</v>
      </c>
      <c r="I1026">
        <v>203.19736</v>
      </c>
    </row>
    <row r="1027" spans="1:9" ht="79.2" customHeight="1">
      <c r="A1027" s="1" t="str">
        <f>"Chemistry 3402"</f>
        <v>Chemistry 3402</v>
      </c>
      <c r="B1027" t="s">
        <v>2651</v>
      </c>
      <c r="C1027" t="s">
        <v>3</v>
      </c>
      <c r="D1027" s="2">
        <v>26300</v>
      </c>
      <c r="E1027" s="2">
        <v>15780</v>
      </c>
      <c r="F1027" t="s">
        <v>5</v>
      </c>
      <c r="G1027" t="s">
        <v>2652</v>
      </c>
      <c r="H1027" t="s">
        <v>2600</v>
      </c>
      <c r="I1027">
        <v>163.17326</v>
      </c>
    </row>
    <row r="1028" spans="1:9" ht="67.95" customHeight="1">
      <c r="A1028" s="1" t="str">
        <f>"Chemistry 3403"</f>
        <v>Chemistry 3403</v>
      </c>
      <c r="B1028" t="s">
        <v>2653</v>
      </c>
      <c r="C1028" t="s">
        <v>3</v>
      </c>
      <c r="D1028" s="2">
        <v>26300</v>
      </c>
      <c r="E1028" s="2">
        <v>15780</v>
      </c>
      <c r="F1028" t="s">
        <v>5</v>
      </c>
      <c r="G1028" t="s">
        <v>2654</v>
      </c>
      <c r="H1028" t="s">
        <v>2600</v>
      </c>
      <c r="I1028">
        <v>163.17326</v>
      </c>
    </row>
    <row r="1029" spans="1:9" ht="83.1" customHeight="1">
      <c r="A1029" s="1" t="str">
        <f>"Chemistry 3404"</f>
        <v>Chemistry 3404</v>
      </c>
      <c r="B1029" t="s">
        <v>2655</v>
      </c>
      <c r="C1029" t="s">
        <v>3</v>
      </c>
      <c r="D1029" s="2">
        <v>28000</v>
      </c>
      <c r="E1029" s="2">
        <v>16800</v>
      </c>
      <c r="F1029" t="s">
        <v>5</v>
      </c>
      <c r="G1029" t="s">
        <v>2656</v>
      </c>
      <c r="H1029" t="s">
        <v>1585</v>
      </c>
      <c r="I1029">
        <v>177.19983999999999</v>
      </c>
    </row>
    <row r="1030" spans="1:9" ht="67.95" customHeight="1">
      <c r="A1030" s="1" t="str">
        <f>"Chemistry 3405"</f>
        <v>Chemistry 3405</v>
      </c>
      <c r="B1030" t="s">
        <v>2657</v>
      </c>
      <c r="C1030" t="s">
        <v>3</v>
      </c>
      <c r="D1030" s="2">
        <v>28000</v>
      </c>
      <c r="E1030" s="2">
        <v>16800</v>
      </c>
      <c r="F1030" t="s">
        <v>5</v>
      </c>
      <c r="G1030" t="s">
        <v>2658</v>
      </c>
      <c r="H1030" t="s">
        <v>1585</v>
      </c>
      <c r="I1030">
        <v>177.19983999999999</v>
      </c>
    </row>
    <row r="1031" spans="1:9" ht="67.95" customHeight="1">
      <c r="A1031" s="1" t="str">
        <f>"Chemistry 3406"</f>
        <v>Chemistry 3406</v>
      </c>
      <c r="B1031" t="s">
        <v>2659</v>
      </c>
      <c r="C1031" t="s">
        <v>3</v>
      </c>
      <c r="D1031" s="2">
        <v>28000</v>
      </c>
      <c r="E1031" s="2">
        <v>16800</v>
      </c>
      <c r="F1031" t="s">
        <v>5</v>
      </c>
      <c r="G1031" t="s">
        <v>2660</v>
      </c>
      <c r="H1031" t="s">
        <v>1585</v>
      </c>
      <c r="I1031">
        <v>177.19983999999999</v>
      </c>
    </row>
    <row r="1032" spans="1:9" ht="55.5" customHeight="1">
      <c r="A1032" s="1" t="str">
        <f>"Chemistry 3407"</f>
        <v>Chemistry 3407</v>
      </c>
      <c r="B1032" t="s">
        <v>2661</v>
      </c>
      <c r="C1032" t="s">
        <v>270</v>
      </c>
      <c r="D1032" s="2">
        <v>14000</v>
      </c>
      <c r="E1032" s="2">
        <v>9800</v>
      </c>
      <c r="F1032" t="s">
        <v>5</v>
      </c>
      <c r="G1032" t="s">
        <v>2662</v>
      </c>
      <c r="H1032" t="s">
        <v>2543</v>
      </c>
      <c r="I1032">
        <v>281.17881999999997</v>
      </c>
    </row>
    <row r="1033" spans="1:9" ht="74.099999999999994" customHeight="1">
      <c r="A1033" s="1" t="str">
        <f>"Chemistry 3412"</f>
        <v>Chemistry 3412</v>
      </c>
      <c r="B1033" t="s">
        <v>2663</v>
      </c>
      <c r="C1033" t="s">
        <v>3</v>
      </c>
      <c r="D1033" s="2">
        <v>17500</v>
      </c>
      <c r="E1033" s="2">
        <v>12250</v>
      </c>
      <c r="F1033" t="s">
        <v>5</v>
      </c>
      <c r="G1033" t="s">
        <v>2664</v>
      </c>
      <c r="H1033" t="s">
        <v>1339</v>
      </c>
      <c r="I1033">
        <v>203.19735</v>
      </c>
    </row>
    <row r="1034" spans="1:9" ht="70.8" customHeight="1">
      <c r="A1034" s="1" t="str">
        <f>"Chemistry 3427"</f>
        <v>Chemistry 3427</v>
      </c>
      <c r="B1034" t="s">
        <v>2665</v>
      </c>
      <c r="C1034" t="s">
        <v>128</v>
      </c>
      <c r="D1034" s="2">
        <v>22800</v>
      </c>
      <c r="E1034" s="2">
        <v>15959.999999999998</v>
      </c>
      <c r="F1034" t="s">
        <v>5</v>
      </c>
      <c r="G1034" t="s">
        <v>2666</v>
      </c>
      <c r="H1034" t="s">
        <v>1714</v>
      </c>
      <c r="I1034">
        <v>243.73312000000001</v>
      </c>
    </row>
    <row r="1035" spans="1:9" ht="55.5" customHeight="1">
      <c r="A1035" s="1" t="str">
        <f>"Chemistry 3433"</f>
        <v>Chemistry 3433</v>
      </c>
      <c r="B1035" t="s">
        <v>2667</v>
      </c>
      <c r="C1035" t="s">
        <v>3</v>
      </c>
      <c r="D1035" s="2">
        <v>14000</v>
      </c>
      <c r="E1035" s="2">
        <v>9800</v>
      </c>
      <c r="F1035" t="s">
        <v>5</v>
      </c>
      <c r="G1035" t="s">
        <v>2668</v>
      </c>
      <c r="H1035" t="s">
        <v>2669</v>
      </c>
      <c r="I1035">
        <v>124.14382000000001</v>
      </c>
    </row>
    <row r="1036" spans="1:9" ht="69" customHeight="1">
      <c r="A1036" s="1" t="str">
        <f>"Chemistry 3435"</f>
        <v>Chemistry 3435</v>
      </c>
      <c r="B1036" t="s">
        <v>2670</v>
      </c>
      <c r="C1036" t="s">
        <v>3</v>
      </c>
      <c r="D1036" s="2">
        <v>14000</v>
      </c>
      <c r="E1036" s="2">
        <v>9800</v>
      </c>
      <c r="F1036" t="s">
        <v>5</v>
      </c>
      <c r="G1036" t="s">
        <v>2671</v>
      </c>
      <c r="H1036" t="s">
        <v>1429</v>
      </c>
      <c r="I1036">
        <v>192.14178000000001</v>
      </c>
    </row>
    <row r="1037" spans="1:9" ht="52.2" customHeight="1">
      <c r="A1037" s="1" t="str">
        <f>"Chemistry 3447"</f>
        <v>Chemistry 3447</v>
      </c>
      <c r="B1037" t="s">
        <v>2672</v>
      </c>
      <c r="C1037" t="s">
        <v>270</v>
      </c>
      <c r="D1037" s="2">
        <v>14000</v>
      </c>
      <c r="E1037" s="2">
        <v>9800</v>
      </c>
      <c r="F1037" t="s">
        <v>5</v>
      </c>
      <c r="G1037" t="s">
        <v>2673</v>
      </c>
      <c r="H1037" t="s">
        <v>2020</v>
      </c>
      <c r="I1037">
        <v>251.15284</v>
      </c>
    </row>
    <row r="1038" spans="1:9" ht="55.5" customHeight="1">
      <c r="A1038" s="1" t="str">
        <f>"Chemistry 3449"</f>
        <v>Chemistry 3449</v>
      </c>
      <c r="B1038" t="s">
        <v>2674</v>
      </c>
      <c r="C1038" t="s">
        <v>128</v>
      </c>
      <c r="D1038" s="2">
        <v>15800</v>
      </c>
      <c r="E1038" s="2">
        <v>11060</v>
      </c>
      <c r="F1038" t="s">
        <v>5</v>
      </c>
      <c r="G1038" t="s">
        <v>2675</v>
      </c>
      <c r="H1038" t="s">
        <v>2676</v>
      </c>
      <c r="I1038">
        <v>219.64384000000001</v>
      </c>
    </row>
    <row r="1039" spans="1:9" ht="71.25" customHeight="1">
      <c r="A1039" s="1" t="str">
        <f>"Chemistry 3453"</f>
        <v>Chemistry 3453</v>
      </c>
      <c r="B1039" t="s">
        <v>2677</v>
      </c>
      <c r="C1039" t="s">
        <v>3</v>
      </c>
      <c r="D1039" s="2">
        <v>21000</v>
      </c>
      <c r="E1039" s="2">
        <v>14699.999999999998</v>
      </c>
      <c r="F1039" t="s">
        <v>5</v>
      </c>
      <c r="G1039" t="s">
        <v>2678</v>
      </c>
      <c r="H1039" t="s">
        <v>2679</v>
      </c>
      <c r="I1039">
        <v>231.13146</v>
      </c>
    </row>
    <row r="1040" spans="1:9" ht="68.55" customHeight="1">
      <c r="A1040" s="1" t="str">
        <f>"Chemistry 3455"</f>
        <v>Chemistry 3455</v>
      </c>
      <c r="B1040" t="s">
        <v>2680</v>
      </c>
      <c r="C1040" t="s">
        <v>3</v>
      </c>
      <c r="D1040" s="2">
        <v>21000</v>
      </c>
      <c r="E1040" s="2">
        <v>14699.999999999998</v>
      </c>
      <c r="F1040" t="s">
        <v>5</v>
      </c>
      <c r="G1040" t="s">
        <v>2681</v>
      </c>
      <c r="H1040" t="s">
        <v>2634</v>
      </c>
      <c r="I1040">
        <v>205.21324000000001</v>
      </c>
    </row>
    <row r="1041" spans="1:9" ht="79.2" customHeight="1">
      <c r="A1041" s="1" t="str">
        <f>"Chemistry 3458"</f>
        <v>Chemistry 3458</v>
      </c>
      <c r="B1041" t="s">
        <v>2682</v>
      </c>
      <c r="C1041" t="s">
        <v>3</v>
      </c>
      <c r="D1041" s="2">
        <v>28000</v>
      </c>
      <c r="E1041" s="2">
        <v>16800</v>
      </c>
      <c r="F1041" t="s">
        <v>5</v>
      </c>
      <c r="G1041" t="s">
        <v>2683</v>
      </c>
      <c r="H1041" t="s">
        <v>1585</v>
      </c>
      <c r="I1041">
        <v>177.19983999999999</v>
      </c>
    </row>
    <row r="1042" spans="1:9" ht="74.099999999999994" customHeight="1">
      <c r="A1042" s="1" t="str">
        <f>"Chemistry 3463"</f>
        <v>Chemistry 3463</v>
      </c>
      <c r="B1042" t="s">
        <v>2684</v>
      </c>
      <c r="C1042" t="s">
        <v>3</v>
      </c>
      <c r="D1042" s="2">
        <v>14000</v>
      </c>
      <c r="E1042" s="2">
        <v>9800</v>
      </c>
      <c r="F1042" t="s">
        <v>5</v>
      </c>
      <c r="G1042" t="s">
        <v>2685</v>
      </c>
      <c r="H1042" t="s">
        <v>2492</v>
      </c>
      <c r="I1042">
        <v>348.41180000000003</v>
      </c>
    </row>
    <row r="1043" spans="1:9" ht="67.95" customHeight="1">
      <c r="A1043" s="1" t="str">
        <f>"Chemistry 3464"</f>
        <v>Chemistry 3464</v>
      </c>
      <c r="B1043" t="s">
        <v>2686</v>
      </c>
      <c r="C1043" t="s">
        <v>128</v>
      </c>
      <c r="D1043" s="2">
        <v>21000</v>
      </c>
      <c r="E1043" s="2">
        <v>14699.999999999998</v>
      </c>
      <c r="F1043" t="s">
        <v>5</v>
      </c>
      <c r="G1043" t="s">
        <v>2687</v>
      </c>
      <c r="H1043" t="s">
        <v>2495</v>
      </c>
      <c r="I1043">
        <v>284.75691999999998</v>
      </c>
    </row>
    <row r="1044" spans="1:9" ht="57.75" customHeight="1">
      <c r="A1044" s="1" t="str">
        <f>"Chemistry 3465"</f>
        <v>Chemistry 3465</v>
      </c>
      <c r="B1044" t="s">
        <v>2688</v>
      </c>
      <c r="C1044" t="s">
        <v>128</v>
      </c>
      <c r="D1044" s="2">
        <v>14000</v>
      </c>
      <c r="E1044" s="2">
        <v>9800</v>
      </c>
      <c r="F1044" t="s">
        <v>5</v>
      </c>
      <c r="G1044" t="s">
        <v>2689</v>
      </c>
      <c r="H1044" t="s">
        <v>2690</v>
      </c>
      <c r="I1044">
        <v>133.57942</v>
      </c>
    </row>
    <row r="1045" spans="1:9" ht="61.2" customHeight="1">
      <c r="A1045" s="1" t="str">
        <f>"Chemistry 3466"</f>
        <v>Chemistry 3466</v>
      </c>
      <c r="B1045" t="s">
        <v>2691</v>
      </c>
      <c r="C1045" t="s">
        <v>128</v>
      </c>
      <c r="D1045" s="2">
        <v>14000</v>
      </c>
      <c r="E1045" s="2">
        <v>9800</v>
      </c>
      <c r="F1045" t="s">
        <v>5</v>
      </c>
      <c r="G1045" t="s">
        <v>2692</v>
      </c>
      <c r="H1045" t="s">
        <v>2693</v>
      </c>
      <c r="I1045">
        <v>147.60598999999999</v>
      </c>
    </row>
    <row r="1046" spans="1:9" ht="61.8" customHeight="1">
      <c r="A1046" s="1" t="str">
        <f>"Chemistry 3468"</f>
        <v>Chemistry 3468</v>
      </c>
      <c r="B1046" t="s">
        <v>2694</v>
      </c>
      <c r="C1046" t="s">
        <v>128</v>
      </c>
      <c r="D1046" s="2">
        <v>19300</v>
      </c>
      <c r="E1046" s="2">
        <v>13510</v>
      </c>
      <c r="F1046" t="s">
        <v>5</v>
      </c>
      <c r="G1046" t="s">
        <v>2695</v>
      </c>
      <c r="H1046" t="s">
        <v>2696</v>
      </c>
      <c r="I1046">
        <v>215.60396</v>
      </c>
    </row>
    <row r="1047" spans="1:9" ht="66.75" customHeight="1">
      <c r="A1047" s="1" t="str">
        <f>"Chemistry 3469"</f>
        <v>Chemistry 3469</v>
      </c>
      <c r="B1047" t="s">
        <v>2697</v>
      </c>
      <c r="C1047" t="s">
        <v>128</v>
      </c>
      <c r="D1047" s="2">
        <v>19300</v>
      </c>
      <c r="E1047" s="2">
        <v>13510</v>
      </c>
      <c r="F1047" t="s">
        <v>5</v>
      </c>
      <c r="G1047" t="s">
        <v>2698</v>
      </c>
      <c r="H1047" t="s">
        <v>2423</v>
      </c>
      <c r="I1047">
        <v>302.59800999999999</v>
      </c>
    </row>
    <row r="1048" spans="1:9" ht="75.75" customHeight="1">
      <c r="A1048" s="1" t="str">
        <f>"Chemistry 3480"</f>
        <v>Chemistry 3480</v>
      </c>
      <c r="B1048" t="s">
        <v>2699</v>
      </c>
      <c r="C1048" t="s">
        <v>3</v>
      </c>
      <c r="D1048" s="2">
        <v>24500</v>
      </c>
      <c r="E1048" s="2">
        <v>17150</v>
      </c>
      <c r="F1048" t="s">
        <v>5</v>
      </c>
      <c r="G1048" t="s">
        <v>2700</v>
      </c>
      <c r="H1048" t="s">
        <v>2499</v>
      </c>
      <c r="I1048">
        <v>269.13441999999998</v>
      </c>
    </row>
    <row r="1049" spans="1:9" ht="47.7" customHeight="1">
      <c r="A1049" s="1" t="str">
        <f>"Chemistry 3488"</f>
        <v>Chemistry 3488</v>
      </c>
      <c r="B1049" t="s">
        <v>2701</v>
      </c>
      <c r="C1049" t="s">
        <v>3</v>
      </c>
      <c r="D1049" s="2">
        <v>26300</v>
      </c>
      <c r="E1049" s="2">
        <v>15780</v>
      </c>
      <c r="F1049" t="s">
        <v>5</v>
      </c>
      <c r="G1049" t="s">
        <v>2702</v>
      </c>
      <c r="H1049" t="s">
        <v>2648</v>
      </c>
      <c r="I1049">
        <v>148.20498000000001</v>
      </c>
    </row>
    <row r="1050" spans="1:9" ht="81.45" customHeight="1">
      <c r="A1050" s="1" t="str">
        <f>"Chemistry 3492"</f>
        <v>Chemistry 3492</v>
      </c>
      <c r="B1050" t="s">
        <v>2703</v>
      </c>
      <c r="C1050" t="s">
        <v>3</v>
      </c>
      <c r="D1050" s="2">
        <v>26300</v>
      </c>
      <c r="E1050" s="2">
        <v>15780</v>
      </c>
      <c r="F1050" t="s">
        <v>5</v>
      </c>
      <c r="G1050" t="s">
        <v>2704</v>
      </c>
      <c r="H1050" t="s">
        <v>2600</v>
      </c>
      <c r="I1050">
        <v>163.17326</v>
      </c>
    </row>
    <row r="1051" spans="1:9" ht="106.2" customHeight="1">
      <c r="A1051" s="1" t="str">
        <f>"Chemistry 3494"</f>
        <v>Chemistry 3494</v>
      </c>
      <c r="B1051" t="s">
        <v>2705</v>
      </c>
      <c r="C1051" t="s">
        <v>3</v>
      </c>
      <c r="D1051" s="2">
        <v>21000</v>
      </c>
      <c r="E1051" s="2">
        <v>14699.999999999998</v>
      </c>
      <c r="F1051" t="s">
        <v>5</v>
      </c>
      <c r="G1051" t="s">
        <v>2706</v>
      </c>
      <c r="H1051" t="s">
        <v>2498</v>
      </c>
      <c r="I1051">
        <v>349.42137000000002</v>
      </c>
    </row>
    <row r="1052" spans="1:9" ht="96.6" customHeight="1">
      <c r="A1052" s="1" t="str">
        <f>"Chemistry 3502"</f>
        <v>Chemistry 3502</v>
      </c>
      <c r="B1052" t="s">
        <v>2707</v>
      </c>
      <c r="C1052" t="s">
        <v>128</v>
      </c>
      <c r="D1052" s="2">
        <v>21000</v>
      </c>
      <c r="E1052" s="2">
        <v>14699.999999999998</v>
      </c>
      <c r="F1052" t="s">
        <v>5</v>
      </c>
      <c r="G1052" t="s">
        <v>2708</v>
      </c>
      <c r="H1052" t="s">
        <v>2495</v>
      </c>
      <c r="I1052">
        <v>284.75691999999998</v>
      </c>
    </row>
    <row r="1053" spans="1:9" ht="57.75" customHeight="1">
      <c r="A1053" s="1" t="str">
        <f>"Chemistry 3507"</f>
        <v>Chemistry 3507</v>
      </c>
      <c r="B1053" t="s">
        <v>2709</v>
      </c>
      <c r="C1053" t="s">
        <v>3</v>
      </c>
      <c r="D1053" s="2">
        <v>17500</v>
      </c>
      <c r="E1053" s="2">
        <v>12250</v>
      </c>
      <c r="F1053" t="s">
        <v>5</v>
      </c>
      <c r="G1053" t="s">
        <v>2710</v>
      </c>
      <c r="H1053" t="s">
        <v>1263</v>
      </c>
      <c r="I1053">
        <v>141.17103</v>
      </c>
    </row>
    <row r="1054" spans="1:9" ht="62.25" customHeight="1">
      <c r="A1054" s="1" t="str">
        <f>"Chemistry 3510"</f>
        <v>Chemistry 3510</v>
      </c>
      <c r="B1054" t="s">
        <v>2711</v>
      </c>
      <c r="C1054" t="s">
        <v>3</v>
      </c>
      <c r="D1054" s="2">
        <v>15800</v>
      </c>
      <c r="E1054" s="2">
        <v>11060</v>
      </c>
      <c r="F1054" t="s">
        <v>5</v>
      </c>
      <c r="G1054" t="s">
        <v>2712</v>
      </c>
      <c r="H1054" t="s">
        <v>2713</v>
      </c>
      <c r="I1054">
        <v>159.18785</v>
      </c>
    </row>
    <row r="1055" spans="1:9" ht="51.6" customHeight="1">
      <c r="A1055" s="1" t="str">
        <f>"Chemistry 3519"</f>
        <v>Chemistry 3519</v>
      </c>
      <c r="B1055" t="s">
        <v>2714</v>
      </c>
      <c r="C1055" t="s">
        <v>3</v>
      </c>
      <c r="D1055" s="2">
        <v>21000</v>
      </c>
      <c r="E1055" s="2">
        <v>14699.999999999998</v>
      </c>
      <c r="F1055" t="s">
        <v>5</v>
      </c>
      <c r="G1055" t="s">
        <v>2715</v>
      </c>
      <c r="H1055" t="s">
        <v>2716</v>
      </c>
      <c r="I1055">
        <v>178.2062</v>
      </c>
    </row>
    <row r="1056" spans="1:9" ht="61.8" customHeight="1">
      <c r="A1056" s="1" t="str">
        <f>"Chemistry 3520"</f>
        <v>Chemistry 3520</v>
      </c>
      <c r="B1056" t="s">
        <v>2717</v>
      </c>
      <c r="C1056" t="s">
        <v>3</v>
      </c>
      <c r="D1056" s="2">
        <v>15800</v>
      </c>
      <c r="E1056" s="2">
        <v>11060</v>
      </c>
      <c r="F1056" t="s">
        <v>5</v>
      </c>
      <c r="G1056" t="s">
        <v>2718</v>
      </c>
      <c r="H1056" t="s">
        <v>2719</v>
      </c>
      <c r="I1056">
        <v>206.25935999999999</v>
      </c>
    </row>
    <row r="1057" spans="1:9" ht="54.45" customHeight="1">
      <c r="A1057" s="1" t="str">
        <f>"Chemistry 3521"</f>
        <v>Chemistry 3521</v>
      </c>
      <c r="B1057" t="s">
        <v>2720</v>
      </c>
      <c r="C1057" t="s">
        <v>3</v>
      </c>
      <c r="D1057" s="2">
        <v>35000</v>
      </c>
      <c r="E1057" s="2">
        <v>21000</v>
      </c>
      <c r="F1057" t="s">
        <v>5</v>
      </c>
      <c r="G1057" t="s">
        <v>2721</v>
      </c>
      <c r="H1057" t="s">
        <v>2722</v>
      </c>
      <c r="I1057">
        <v>185.26335</v>
      </c>
    </row>
    <row r="1058" spans="1:9" ht="70.2" customHeight="1">
      <c r="A1058" s="1" t="str">
        <f>"Chemistry 3525"</f>
        <v>Chemistry 3525</v>
      </c>
      <c r="B1058" t="s">
        <v>2723</v>
      </c>
      <c r="C1058" t="s">
        <v>3</v>
      </c>
      <c r="D1058" s="2">
        <v>19300</v>
      </c>
      <c r="E1058" s="2">
        <v>13510</v>
      </c>
      <c r="F1058" t="s">
        <v>5</v>
      </c>
      <c r="G1058" t="s">
        <v>2724</v>
      </c>
      <c r="H1058" t="s">
        <v>264</v>
      </c>
      <c r="I1058">
        <v>294.36442</v>
      </c>
    </row>
    <row r="1059" spans="1:9" ht="70.2" customHeight="1">
      <c r="A1059" s="1" t="str">
        <f>"Chemistry 3527"</f>
        <v>Chemistry 3527</v>
      </c>
      <c r="B1059" t="s">
        <v>2725</v>
      </c>
      <c r="C1059" t="s">
        <v>3</v>
      </c>
      <c r="D1059" s="2">
        <v>19300</v>
      </c>
      <c r="E1059" s="2">
        <v>13510</v>
      </c>
      <c r="F1059" t="s">
        <v>5</v>
      </c>
      <c r="G1059" t="s">
        <v>2726</v>
      </c>
      <c r="H1059" t="s">
        <v>674</v>
      </c>
      <c r="I1059">
        <v>310.81900999999999</v>
      </c>
    </row>
    <row r="1060" spans="1:9" ht="96.6" customHeight="1">
      <c r="A1060" s="1" t="str">
        <f>"Chemistry 3528"</f>
        <v>Chemistry 3528</v>
      </c>
      <c r="B1060" t="s">
        <v>2727</v>
      </c>
      <c r="C1060" t="s">
        <v>3</v>
      </c>
      <c r="D1060" s="2">
        <v>19300</v>
      </c>
      <c r="E1060" s="2">
        <v>13510</v>
      </c>
      <c r="F1060" t="s">
        <v>5</v>
      </c>
      <c r="G1060" t="s">
        <v>2728</v>
      </c>
      <c r="H1060" t="s">
        <v>586</v>
      </c>
      <c r="I1060">
        <v>344.37191999999999</v>
      </c>
    </row>
    <row r="1061" spans="1:9" ht="63.45" customHeight="1">
      <c r="A1061" s="1" t="str">
        <f>"Chemistry 3529"</f>
        <v>Chemistry 3529</v>
      </c>
      <c r="B1061" t="s">
        <v>2729</v>
      </c>
      <c r="C1061" t="s">
        <v>3</v>
      </c>
      <c r="D1061" s="2">
        <v>18400</v>
      </c>
      <c r="E1061" s="2">
        <v>12880</v>
      </c>
      <c r="F1061" t="s">
        <v>5</v>
      </c>
      <c r="G1061" t="s">
        <v>2730</v>
      </c>
      <c r="H1061" t="s">
        <v>877</v>
      </c>
      <c r="I1061">
        <v>214.30457000000001</v>
      </c>
    </row>
    <row r="1062" spans="1:9" ht="44.25" customHeight="1">
      <c r="A1062" s="1" t="str">
        <f>"Chemistry 3532"</f>
        <v>Chemistry 3532</v>
      </c>
      <c r="B1062" t="s">
        <v>2731</v>
      </c>
      <c r="C1062" t="s">
        <v>270</v>
      </c>
      <c r="D1062" s="2">
        <v>19300</v>
      </c>
      <c r="E1062" s="2">
        <v>13510</v>
      </c>
      <c r="F1062" t="s">
        <v>5</v>
      </c>
      <c r="G1062" t="s">
        <v>2732</v>
      </c>
      <c r="H1062" t="s">
        <v>882</v>
      </c>
      <c r="I1062">
        <v>187.11063999999999</v>
      </c>
    </row>
    <row r="1063" spans="1:9" ht="62.85" customHeight="1">
      <c r="A1063" s="1" t="str">
        <f>"Chemistry 3536"</f>
        <v>Chemistry 3536</v>
      </c>
      <c r="B1063" t="s">
        <v>2734</v>
      </c>
      <c r="C1063" t="s">
        <v>270</v>
      </c>
      <c r="D1063" s="2">
        <v>19300</v>
      </c>
      <c r="E1063" s="2">
        <v>13510</v>
      </c>
      <c r="F1063" t="s">
        <v>5</v>
      </c>
      <c r="G1063" t="s">
        <v>2735</v>
      </c>
      <c r="H1063" t="s">
        <v>275</v>
      </c>
      <c r="I1063">
        <v>267.17048</v>
      </c>
    </row>
    <row r="1064" spans="1:9" ht="58.95" customHeight="1">
      <c r="A1064" s="1" t="str">
        <f>"Chemistry 3537"</f>
        <v>Chemistry 3537</v>
      </c>
      <c r="B1064" t="s">
        <v>2736</v>
      </c>
      <c r="C1064" t="s">
        <v>270</v>
      </c>
      <c r="D1064" s="2">
        <v>19300</v>
      </c>
      <c r="E1064" s="2">
        <v>13510</v>
      </c>
      <c r="F1064" t="s">
        <v>5</v>
      </c>
      <c r="G1064" t="s">
        <v>2737</v>
      </c>
      <c r="H1064" t="s">
        <v>275</v>
      </c>
      <c r="I1064">
        <v>267.17048</v>
      </c>
    </row>
    <row r="1065" spans="1:9" ht="72.45" customHeight="1">
      <c r="A1065" s="1" t="str">
        <f>"Chemistry 3542"</f>
        <v>Chemistry 3542</v>
      </c>
      <c r="B1065" t="s">
        <v>2738</v>
      </c>
      <c r="C1065" t="s">
        <v>3</v>
      </c>
      <c r="D1065" s="2">
        <v>21000</v>
      </c>
      <c r="E1065" s="2">
        <v>14699.999999999998</v>
      </c>
      <c r="F1065" t="s">
        <v>5</v>
      </c>
      <c r="G1065" t="s">
        <v>2739</v>
      </c>
      <c r="H1065" t="s">
        <v>2740</v>
      </c>
      <c r="I1065">
        <v>257.32601</v>
      </c>
    </row>
    <row r="1066" spans="1:9" ht="106.2" customHeight="1">
      <c r="A1066" s="1" t="str">
        <f>"Chemistry 3545"</f>
        <v>Chemistry 3545</v>
      </c>
      <c r="B1066" t="s">
        <v>2741</v>
      </c>
      <c r="C1066" t="s">
        <v>3</v>
      </c>
      <c r="D1066" s="2">
        <v>21000</v>
      </c>
      <c r="E1066" s="2">
        <v>14699.999999999998</v>
      </c>
      <c r="F1066" t="s">
        <v>5</v>
      </c>
      <c r="G1066" t="s">
        <v>2742</v>
      </c>
      <c r="H1066" t="s">
        <v>2465</v>
      </c>
      <c r="I1066">
        <v>387.39335999999997</v>
      </c>
    </row>
    <row r="1067" spans="1:9" ht="57.75" customHeight="1">
      <c r="A1067" s="1" t="str">
        <f>"Chemistry 3557"</f>
        <v>Chemistry 3557</v>
      </c>
      <c r="B1067" t="s">
        <v>2744</v>
      </c>
      <c r="C1067" t="s">
        <v>3</v>
      </c>
      <c r="D1067" s="2">
        <v>17500</v>
      </c>
      <c r="E1067" s="2">
        <v>12250</v>
      </c>
      <c r="F1067" t="s">
        <v>5</v>
      </c>
      <c r="G1067" t="s">
        <v>2745</v>
      </c>
      <c r="H1067" t="s">
        <v>1414</v>
      </c>
      <c r="I1067">
        <v>111.14505</v>
      </c>
    </row>
    <row r="1068" spans="1:9" ht="71.25" customHeight="1">
      <c r="A1068" s="1" t="str">
        <f>"Chemistry 3563"</f>
        <v>Chemistry 3563</v>
      </c>
      <c r="B1068" t="s">
        <v>2746</v>
      </c>
      <c r="C1068" t="s">
        <v>3</v>
      </c>
      <c r="D1068" s="2">
        <v>17500</v>
      </c>
      <c r="E1068" s="2">
        <v>12250</v>
      </c>
      <c r="F1068" t="s">
        <v>5</v>
      </c>
      <c r="G1068" t="s">
        <v>2747</v>
      </c>
      <c r="H1068" t="s">
        <v>1179</v>
      </c>
      <c r="I1068">
        <v>177.17832000000001</v>
      </c>
    </row>
    <row r="1069" spans="1:9" ht="86.55" customHeight="1">
      <c r="A1069" s="1" t="str">
        <f>"Chemistry 3569"</f>
        <v>Chemistry 3569</v>
      </c>
      <c r="B1069" t="s">
        <v>2748</v>
      </c>
      <c r="C1069" t="s">
        <v>128</v>
      </c>
      <c r="D1069" s="2">
        <v>40300</v>
      </c>
      <c r="E1069" s="2">
        <v>24180</v>
      </c>
      <c r="F1069" t="s">
        <v>5</v>
      </c>
      <c r="G1069" t="s">
        <v>2749</v>
      </c>
      <c r="H1069" t="s">
        <v>2491</v>
      </c>
      <c r="I1069">
        <v>256.70375999999999</v>
      </c>
    </row>
    <row r="1070" spans="1:9" ht="79.8" customHeight="1">
      <c r="A1070" s="1" t="str">
        <f>"Chemistry 3571"</f>
        <v>Chemistry 3571</v>
      </c>
      <c r="B1070" t="s">
        <v>2751</v>
      </c>
      <c r="C1070" t="s">
        <v>128</v>
      </c>
      <c r="D1070" s="2">
        <v>40300</v>
      </c>
      <c r="E1070" s="2">
        <v>24180</v>
      </c>
      <c r="F1070" t="s">
        <v>5</v>
      </c>
      <c r="G1070" t="s">
        <v>2752</v>
      </c>
      <c r="H1070" t="s">
        <v>2753</v>
      </c>
      <c r="I1070">
        <v>317.60935999999998</v>
      </c>
    </row>
    <row r="1071" spans="1:9" ht="52.8" customHeight="1">
      <c r="A1071" s="1" t="str">
        <f>"Chemistry 3575"</f>
        <v>Chemistry 3575</v>
      </c>
      <c r="B1071" t="s">
        <v>2755</v>
      </c>
      <c r="C1071" t="s">
        <v>3</v>
      </c>
      <c r="D1071" s="2">
        <v>17500</v>
      </c>
      <c r="E1071" s="2">
        <v>12250</v>
      </c>
      <c r="F1071" t="s">
        <v>5</v>
      </c>
      <c r="G1071" t="s">
        <v>2756</v>
      </c>
      <c r="H1071" t="s">
        <v>2757</v>
      </c>
      <c r="I1071">
        <v>134.13533000000001</v>
      </c>
    </row>
    <row r="1072" spans="1:9" ht="44.25" customHeight="1">
      <c r="A1072" s="1" t="str">
        <f>"Chemistry 3579"</f>
        <v>Chemistry 3579</v>
      </c>
      <c r="B1072" t="s">
        <v>2759</v>
      </c>
      <c r="C1072" t="s">
        <v>270</v>
      </c>
      <c r="D1072" s="2">
        <v>19300</v>
      </c>
      <c r="E1072" s="2">
        <v>13510</v>
      </c>
      <c r="F1072" t="s">
        <v>5</v>
      </c>
      <c r="G1072" t="s">
        <v>2760</v>
      </c>
      <c r="H1072" t="s">
        <v>342</v>
      </c>
      <c r="I1072">
        <v>201.13722000000001</v>
      </c>
    </row>
    <row r="1073" spans="1:9" ht="58.95" customHeight="1">
      <c r="A1073" s="1" t="str">
        <f>"Chemistry 3582"</f>
        <v>Chemistry 3582</v>
      </c>
      <c r="B1073" t="s">
        <v>2761</v>
      </c>
      <c r="C1073" t="s">
        <v>270</v>
      </c>
      <c r="D1073" s="2">
        <v>19300</v>
      </c>
      <c r="E1073" s="2">
        <v>13510</v>
      </c>
      <c r="F1073" t="s">
        <v>5</v>
      </c>
      <c r="G1073" t="s">
        <v>2762</v>
      </c>
      <c r="H1073" t="s">
        <v>2763</v>
      </c>
      <c r="I1073">
        <v>249.18002000000001</v>
      </c>
    </row>
    <row r="1074" spans="1:9" ht="75.3" customHeight="1">
      <c r="A1074" s="1" t="str">
        <f>"Chemistry 3586"</f>
        <v>Chemistry 3586</v>
      </c>
      <c r="B1074" t="s">
        <v>2764</v>
      </c>
      <c r="C1074" t="s">
        <v>3</v>
      </c>
      <c r="D1074" s="2">
        <v>21000</v>
      </c>
      <c r="E1074" s="2">
        <v>14699.999999999998</v>
      </c>
      <c r="F1074" t="s">
        <v>5</v>
      </c>
      <c r="G1074" t="s">
        <v>2765</v>
      </c>
      <c r="H1074" t="s">
        <v>2324</v>
      </c>
      <c r="I1074">
        <v>206.24106</v>
      </c>
    </row>
    <row r="1075" spans="1:9" ht="75.3" customHeight="1">
      <c r="A1075" s="1" t="str">
        <f>"Chemistry 3587"</f>
        <v>Chemistry 3587</v>
      </c>
      <c r="B1075" t="s">
        <v>2766</v>
      </c>
      <c r="C1075" t="s">
        <v>3</v>
      </c>
      <c r="D1075" s="2">
        <v>21000</v>
      </c>
      <c r="E1075" s="2">
        <v>14699.999999999998</v>
      </c>
      <c r="F1075" t="s">
        <v>5</v>
      </c>
      <c r="G1075" t="s">
        <v>2767</v>
      </c>
      <c r="H1075" t="s">
        <v>1407</v>
      </c>
      <c r="I1075">
        <v>221.25569999999999</v>
      </c>
    </row>
    <row r="1076" spans="1:9" ht="79.2" customHeight="1">
      <c r="A1076" s="1" t="str">
        <f>"Chemistry 3588"</f>
        <v>Chemistry 3588</v>
      </c>
      <c r="B1076" t="s">
        <v>2768</v>
      </c>
      <c r="C1076" t="s">
        <v>3</v>
      </c>
      <c r="D1076" s="2">
        <v>21000</v>
      </c>
      <c r="E1076" s="2">
        <v>14699.999999999998</v>
      </c>
      <c r="F1076" t="s">
        <v>5</v>
      </c>
      <c r="G1076" t="s">
        <v>2769</v>
      </c>
      <c r="H1076" t="s">
        <v>1173</v>
      </c>
      <c r="I1076">
        <v>166.17719</v>
      </c>
    </row>
    <row r="1077" spans="1:9" ht="78.599999999999994" customHeight="1">
      <c r="A1077" s="1" t="str">
        <f>"Chemistry 3589"</f>
        <v>Chemistry 3589</v>
      </c>
      <c r="B1077" t="s">
        <v>2770</v>
      </c>
      <c r="C1077" t="s">
        <v>3</v>
      </c>
      <c r="D1077" s="2">
        <v>21000</v>
      </c>
      <c r="E1077" s="2">
        <v>14699.999999999998</v>
      </c>
      <c r="F1077" t="s">
        <v>5</v>
      </c>
      <c r="G1077" t="s">
        <v>2771</v>
      </c>
      <c r="H1077" t="s">
        <v>1407</v>
      </c>
      <c r="I1077">
        <v>221.25569999999999</v>
      </c>
    </row>
    <row r="1078" spans="1:9" ht="90.45" customHeight="1">
      <c r="A1078" s="1" t="str">
        <f>"Chemistry 3591"</f>
        <v>Chemistry 3591</v>
      </c>
      <c r="B1078" t="s">
        <v>2772</v>
      </c>
      <c r="C1078" t="s">
        <v>3</v>
      </c>
      <c r="D1078" s="2">
        <v>21000</v>
      </c>
      <c r="E1078" s="2">
        <v>14699.999999999998</v>
      </c>
      <c r="F1078" t="s">
        <v>5</v>
      </c>
      <c r="G1078" t="s">
        <v>2773</v>
      </c>
      <c r="H1078" t="s">
        <v>2774</v>
      </c>
      <c r="I1078">
        <v>283.36329999999998</v>
      </c>
    </row>
    <row r="1079" spans="1:9" ht="82.05" customHeight="1">
      <c r="A1079" s="1" t="str">
        <f>"Chemistry 3594"</f>
        <v>Chemistry 3594</v>
      </c>
      <c r="B1079" t="s">
        <v>2775</v>
      </c>
      <c r="C1079" t="s">
        <v>3</v>
      </c>
      <c r="D1079" s="2">
        <v>21000</v>
      </c>
      <c r="E1079" s="2">
        <v>14699.999999999998</v>
      </c>
      <c r="F1079" t="s">
        <v>5</v>
      </c>
      <c r="G1079" t="s">
        <v>2776</v>
      </c>
      <c r="H1079" t="s">
        <v>2743</v>
      </c>
      <c r="I1079">
        <v>335.39479</v>
      </c>
    </row>
    <row r="1080" spans="1:9" ht="76.349999999999994" customHeight="1">
      <c r="A1080" s="1" t="str">
        <f>"Chemistry 3596"</f>
        <v>Chemistry 3596</v>
      </c>
      <c r="B1080" t="s">
        <v>2777</v>
      </c>
      <c r="C1080" t="s">
        <v>3</v>
      </c>
      <c r="D1080" s="2">
        <v>21000</v>
      </c>
      <c r="E1080" s="2">
        <v>14699.999999999998</v>
      </c>
      <c r="F1080" t="s">
        <v>5</v>
      </c>
      <c r="G1080" t="s">
        <v>2778</v>
      </c>
      <c r="H1080" t="s">
        <v>1864</v>
      </c>
      <c r="I1080">
        <v>168.15002000000001</v>
      </c>
    </row>
    <row r="1081" spans="1:9" ht="92.1" customHeight="1">
      <c r="A1081" s="1" t="str">
        <f>"Chemistry 3605"</f>
        <v>Chemistry 3605</v>
      </c>
      <c r="B1081" t="s">
        <v>2779</v>
      </c>
      <c r="C1081" t="s">
        <v>3</v>
      </c>
      <c r="D1081" s="2">
        <v>15800</v>
      </c>
      <c r="E1081" s="2">
        <v>11060</v>
      </c>
      <c r="F1081" t="s">
        <v>5</v>
      </c>
      <c r="G1081" t="s">
        <v>2780</v>
      </c>
      <c r="H1081" t="s">
        <v>1157</v>
      </c>
      <c r="I1081">
        <v>203.24042</v>
      </c>
    </row>
    <row r="1082" spans="1:9" ht="78.599999999999994" customHeight="1">
      <c r="A1082" s="1" t="str">
        <f>"Chemistry 3606"</f>
        <v>Chemistry 3606</v>
      </c>
      <c r="B1082" t="s">
        <v>2781</v>
      </c>
      <c r="C1082" t="s">
        <v>3</v>
      </c>
      <c r="D1082" s="2">
        <v>17500</v>
      </c>
      <c r="E1082" s="2">
        <v>12250</v>
      </c>
      <c r="F1082" t="s">
        <v>5</v>
      </c>
      <c r="G1082" t="s">
        <v>2782</v>
      </c>
      <c r="H1082" t="s">
        <v>1281</v>
      </c>
      <c r="I1082">
        <v>189.21384</v>
      </c>
    </row>
    <row r="1083" spans="1:9" ht="67.349999999999994" customHeight="1">
      <c r="A1083" s="1" t="str">
        <f>"Chemistry 3608"</f>
        <v>Chemistry 3608</v>
      </c>
      <c r="B1083" t="s">
        <v>2783</v>
      </c>
      <c r="C1083" t="s">
        <v>3</v>
      </c>
      <c r="D1083" s="2">
        <v>17500</v>
      </c>
      <c r="E1083" s="2">
        <v>12250</v>
      </c>
      <c r="F1083" t="s">
        <v>5</v>
      </c>
      <c r="G1083" t="s">
        <v>2784</v>
      </c>
      <c r="H1083" t="s">
        <v>1270</v>
      </c>
      <c r="I1083">
        <v>160.17591999999999</v>
      </c>
    </row>
    <row r="1084" spans="1:9" ht="62.25" customHeight="1">
      <c r="A1084" s="1" t="str">
        <f>"Chemistry 3610"</f>
        <v>Chemistry 3610</v>
      </c>
      <c r="B1084" t="s">
        <v>2785</v>
      </c>
      <c r="C1084" t="s">
        <v>3</v>
      </c>
      <c r="D1084" s="2">
        <v>17500</v>
      </c>
      <c r="E1084" s="2">
        <v>12250</v>
      </c>
      <c r="F1084" t="s">
        <v>5</v>
      </c>
      <c r="G1084" t="s">
        <v>2786</v>
      </c>
      <c r="H1084" t="s">
        <v>1270</v>
      </c>
      <c r="I1084">
        <v>160.17591999999999</v>
      </c>
    </row>
    <row r="1085" spans="1:9" ht="79.8" customHeight="1">
      <c r="A1085" s="1" t="str">
        <f>"Chemistry 3612"</f>
        <v>Chemistry 3612</v>
      </c>
      <c r="B1085" t="s">
        <v>2787</v>
      </c>
      <c r="C1085" t="s">
        <v>128</v>
      </c>
      <c r="D1085" s="2">
        <v>40300</v>
      </c>
      <c r="E1085" s="2">
        <v>24180</v>
      </c>
      <c r="F1085" t="s">
        <v>5</v>
      </c>
      <c r="G1085" t="s">
        <v>2788</v>
      </c>
      <c r="H1085" t="s">
        <v>2750</v>
      </c>
      <c r="I1085">
        <v>273.15836000000002</v>
      </c>
    </row>
    <row r="1086" spans="1:9" ht="78" customHeight="1">
      <c r="A1086" s="1" t="str">
        <f>"Chemistry 3613"</f>
        <v>Chemistry 3613</v>
      </c>
      <c r="B1086" t="s">
        <v>2789</v>
      </c>
      <c r="C1086" t="s">
        <v>128</v>
      </c>
      <c r="D1086" s="2">
        <v>40300</v>
      </c>
      <c r="E1086" s="2">
        <v>24180</v>
      </c>
      <c r="F1086" t="s">
        <v>5</v>
      </c>
      <c r="G1086" t="s">
        <v>2790</v>
      </c>
      <c r="H1086" t="s">
        <v>2791</v>
      </c>
      <c r="I1086">
        <v>268.73928000000001</v>
      </c>
    </row>
    <row r="1087" spans="1:9" ht="66.3" customHeight="1">
      <c r="A1087" s="1" t="str">
        <f>"Chemistry 3615"</f>
        <v>Chemistry 3615</v>
      </c>
      <c r="B1087" t="s">
        <v>2792</v>
      </c>
      <c r="C1087" t="s">
        <v>3</v>
      </c>
      <c r="D1087" s="2">
        <v>14000</v>
      </c>
      <c r="E1087" s="2">
        <v>9800</v>
      </c>
      <c r="F1087" t="s">
        <v>5</v>
      </c>
      <c r="G1087" t="s">
        <v>2793</v>
      </c>
      <c r="H1087" t="s">
        <v>2794</v>
      </c>
      <c r="I1087">
        <v>201.14524</v>
      </c>
    </row>
    <row r="1088" spans="1:9" ht="101.1" customHeight="1">
      <c r="A1088" s="1" t="str">
        <f>"Chemistry 3619"</f>
        <v>Chemistry 3619</v>
      </c>
      <c r="B1088" t="s">
        <v>2795</v>
      </c>
      <c r="C1088" t="s">
        <v>3</v>
      </c>
      <c r="D1088" s="2">
        <v>35000</v>
      </c>
      <c r="E1088" s="2">
        <v>21000</v>
      </c>
      <c r="F1088" t="s">
        <v>5</v>
      </c>
      <c r="G1088" t="s">
        <v>2796</v>
      </c>
      <c r="H1088" t="s">
        <v>2797</v>
      </c>
      <c r="I1088">
        <v>360.44731999999999</v>
      </c>
    </row>
    <row r="1089" spans="1:9" ht="64.05" customHeight="1">
      <c r="A1089" s="1" t="str">
        <f>"Chemistry 3633"</f>
        <v>Chemistry 3633</v>
      </c>
      <c r="B1089" t="s">
        <v>2798</v>
      </c>
      <c r="C1089" t="s">
        <v>3</v>
      </c>
      <c r="D1089" s="2">
        <v>24500</v>
      </c>
      <c r="E1089" s="2">
        <v>17150</v>
      </c>
      <c r="F1089" t="s">
        <v>5</v>
      </c>
      <c r="G1089" t="s">
        <v>2799</v>
      </c>
      <c r="H1089" t="s">
        <v>2488</v>
      </c>
      <c r="I1089">
        <v>162.1885</v>
      </c>
    </row>
    <row r="1090" spans="1:9" ht="90.45" customHeight="1">
      <c r="A1090" s="1" t="str">
        <f>"Chemistry 3635"</f>
        <v>Chemistry 3635</v>
      </c>
      <c r="B1090" t="s">
        <v>2800</v>
      </c>
      <c r="C1090" t="s">
        <v>3</v>
      </c>
      <c r="D1090" s="2">
        <v>21000</v>
      </c>
      <c r="E1090" s="2">
        <v>14699.999999999998</v>
      </c>
      <c r="F1090" t="s">
        <v>5</v>
      </c>
      <c r="G1090" t="s">
        <v>2801</v>
      </c>
      <c r="H1090" t="s">
        <v>2802</v>
      </c>
      <c r="I1090">
        <v>297.38986999999997</v>
      </c>
    </row>
    <row r="1091" spans="1:9" ht="106.2" customHeight="1">
      <c r="A1091" s="1" t="str">
        <f>"Chemistry 3638"</f>
        <v>Chemistry 3638</v>
      </c>
      <c r="B1091" t="s">
        <v>2803</v>
      </c>
      <c r="C1091" t="s">
        <v>3</v>
      </c>
      <c r="D1091" s="2">
        <v>21000</v>
      </c>
      <c r="E1091" s="2">
        <v>14699.999999999998</v>
      </c>
      <c r="F1091" t="s">
        <v>5</v>
      </c>
      <c r="G1091" t="s">
        <v>2804</v>
      </c>
      <c r="H1091" t="s">
        <v>2540</v>
      </c>
      <c r="I1091">
        <v>353.84044999999998</v>
      </c>
    </row>
    <row r="1092" spans="1:9" ht="94.95" customHeight="1">
      <c r="A1092" s="1" t="str">
        <f>"Chemistry 3640"</f>
        <v>Chemistry 3640</v>
      </c>
      <c r="B1092" t="s">
        <v>2805</v>
      </c>
      <c r="C1092" t="s">
        <v>3</v>
      </c>
      <c r="D1092" s="2">
        <v>21000</v>
      </c>
      <c r="E1092" s="2">
        <v>14699.999999999998</v>
      </c>
      <c r="F1092" t="s">
        <v>5</v>
      </c>
      <c r="G1092" t="s">
        <v>2806</v>
      </c>
      <c r="H1092" t="s">
        <v>2498</v>
      </c>
      <c r="I1092">
        <v>349.42138</v>
      </c>
    </row>
    <row r="1093" spans="1:9" ht="53.25" customHeight="1">
      <c r="A1093" s="1" t="str">
        <f>"Chemistry 3646"</f>
        <v>Chemistry 3646</v>
      </c>
      <c r="B1093" t="s">
        <v>2807</v>
      </c>
      <c r="C1093" t="s">
        <v>3</v>
      </c>
      <c r="D1093" s="2">
        <v>24500</v>
      </c>
      <c r="E1093" s="2">
        <v>17150</v>
      </c>
      <c r="F1093" t="s">
        <v>5</v>
      </c>
      <c r="G1093" t="s">
        <v>2808</v>
      </c>
      <c r="H1093" t="s">
        <v>1864</v>
      </c>
      <c r="I1093">
        <v>168.15002000000001</v>
      </c>
    </row>
    <row r="1094" spans="1:9" ht="82.5" customHeight="1">
      <c r="A1094" s="1" t="str">
        <f>"Chemistry 3647"</f>
        <v>Chemistry 3647</v>
      </c>
      <c r="B1094" t="s">
        <v>2809</v>
      </c>
      <c r="C1094" t="s">
        <v>3</v>
      </c>
      <c r="D1094" s="2">
        <v>28000</v>
      </c>
      <c r="E1094" s="2">
        <v>16800</v>
      </c>
      <c r="F1094" t="s">
        <v>5</v>
      </c>
      <c r="G1094" t="s">
        <v>2810</v>
      </c>
      <c r="H1094" t="s">
        <v>12</v>
      </c>
      <c r="I1094">
        <v>196.20317</v>
      </c>
    </row>
    <row r="1095" spans="1:9" ht="60.6" customHeight="1">
      <c r="A1095" s="1" t="str">
        <f>"Chemistry 3649"</f>
        <v>Chemistry 3649</v>
      </c>
      <c r="B1095" t="s">
        <v>2811</v>
      </c>
      <c r="C1095" t="s">
        <v>3</v>
      </c>
      <c r="D1095" s="2">
        <v>17500</v>
      </c>
      <c r="E1095" s="2">
        <v>12250</v>
      </c>
      <c r="F1095" t="s">
        <v>5</v>
      </c>
      <c r="G1095" t="s">
        <v>2812</v>
      </c>
      <c r="H1095" t="s">
        <v>1291</v>
      </c>
      <c r="I1095">
        <v>151.20892000000001</v>
      </c>
    </row>
    <row r="1096" spans="1:9" ht="66.3" customHeight="1">
      <c r="A1096" s="1" t="str">
        <f>"Chemistry 3650"</f>
        <v>Chemistry 3650</v>
      </c>
      <c r="B1096" t="s">
        <v>2813</v>
      </c>
      <c r="C1096" t="s">
        <v>3</v>
      </c>
      <c r="D1096" s="2">
        <v>15800</v>
      </c>
      <c r="E1096" s="2">
        <v>11060</v>
      </c>
      <c r="F1096" t="s">
        <v>5</v>
      </c>
      <c r="G1096" t="s">
        <v>2814</v>
      </c>
      <c r="H1096" t="s">
        <v>1155</v>
      </c>
      <c r="I1096">
        <v>191.20490000000001</v>
      </c>
    </row>
    <row r="1097" spans="1:9" ht="78.599999999999994" customHeight="1">
      <c r="A1097" s="1" t="str">
        <f>"Chemistry 3653"</f>
        <v>Chemistry 3653</v>
      </c>
      <c r="B1097" t="s">
        <v>2815</v>
      </c>
      <c r="C1097" t="s">
        <v>3</v>
      </c>
      <c r="D1097" s="2">
        <v>17500</v>
      </c>
      <c r="E1097" s="2">
        <v>12250</v>
      </c>
      <c r="F1097" t="s">
        <v>5</v>
      </c>
      <c r="G1097" t="s">
        <v>2816</v>
      </c>
      <c r="H1097" t="s">
        <v>1179</v>
      </c>
      <c r="I1097">
        <v>177.17832000000001</v>
      </c>
    </row>
    <row r="1098" spans="1:9" ht="83.1" customHeight="1">
      <c r="A1098" s="1" t="str">
        <f>"Chemistry 3658"</f>
        <v>Chemistry 3658</v>
      </c>
      <c r="B1098" t="s">
        <v>2817</v>
      </c>
      <c r="C1098" t="s">
        <v>128</v>
      </c>
      <c r="D1098" s="2">
        <v>40300</v>
      </c>
      <c r="E1098" s="2">
        <v>24180</v>
      </c>
      <c r="F1098" t="s">
        <v>5</v>
      </c>
      <c r="G1098" t="s">
        <v>2818</v>
      </c>
      <c r="H1098" t="s">
        <v>2753</v>
      </c>
      <c r="I1098">
        <v>317.60935000000001</v>
      </c>
    </row>
    <row r="1099" spans="1:9" ht="60" customHeight="1">
      <c r="A1099" s="1" t="str">
        <f>"Chemistry 3660"</f>
        <v>Chemistry 3660</v>
      </c>
      <c r="B1099" t="s">
        <v>2819</v>
      </c>
      <c r="C1099" t="s">
        <v>3</v>
      </c>
      <c r="D1099" s="2">
        <v>26300</v>
      </c>
      <c r="E1099" s="2">
        <v>15780</v>
      </c>
      <c r="F1099" t="s">
        <v>5</v>
      </c>
      <c r="G1099" t="s">
        <v>2820</v>
      </c>
      <c r="H1099" t="s">
        <v>2821</v>
      </c>
      <c r="I1099">
        <v>192.23277999999999</v>
      </c>
    </row>
    <row r="1100" spans="1:9" ht="46.5" customHeight="1">
      <c r="A1100" s="1" t="str">
        <f>"Chemistry 3662"</f>
        <v>Chemistry 3662</v>
      </c>
      <c r="B1100" t="s">
        <v>2822</v>
      </c>
      <c r="C1100" t="s">
        <v>128</v>
      </c>
      <c r="D1100" s="2">
        <v>35000</v>
      </c>
      <c r="E1100" s="2">
        <v>21000</v>
      </c>
      <c r="F1100" t="s">
        <v>5</v>
      </c>
      <c r="G1100" t="s">
        <v>2823</v>
      </c>
      <c r="H1100" t="s">
        <v>2223</v>
      </c>
      <c r="I1100">
        <v>121.60848</v>
      </c>
    </row>
    <row r="1101" spans="1:9" ht="62.25" customHeight="1">
      <c r="A1101" s="1" t="str">
        <f>"Chemistry 3665"</f>
        <v>Chemistry 3665</v>
      </c>
      <c r="B1101" t="s">
        <v>2824</v>
      </c>
      <c r="C1101" t="s">
        <v>128</v>
      </c>
      <c r="D1101" s="2">
        <v>35000</v>
      </c>
      <c r="E1101" s="2">
        <v>21000</v>
      </c>
      <c r="F1101" t="s">
        <v>5</v>
      </c>
      <c r="G1101" t="s">
        <v>2825</v>
      </c>
      <c r="H1101" t="s">
        <v>2239</v>
      </c>
      <c r="I1101">
        <v>171.61598000000001</v>
      </c>
    </row>
    <row r="1102" spans="1:9" ht="51.6" customHeight="1">
      <c r="A1102" s="1" t="str">
        <f>"Chemistry 3672"</f>
        <v>Chemistry 3672</v>
      </c>
      <c r="B1102" t="s">
        <v>2826</v>
      </c>
      <c r="C1102" t="s">
        <v>498</v>
      </c>
      <c r="D1102" s="2">
        <v>19300</v>
      </c>
      <c r="E1102" s="2">
        <v>13510</v>
      </c>
      <c r="F1102" t="s">
        <v>5</v>
      </c>
      <c r="G1102" t="s">
        <v>2827</v>
      </c>
      <c r="H1102" t="s">
        <v>500</v>
      </c>
      <c r="I1102">
        <v>300.65559999999999</v>
      </c>
    </row>
    <row r="1103" spans="1:9" ht="51.6" customHeight="1">
      <c r="A1103" s="1" t="str">
        <f>"Chemistry 3673"</f>
        <v>Chemistry 3673</v>
      </c>
      <c r="B1103" t="s">
        <v>2828</v>
      </c>
      <c r="C1103" t="s">
        <v>498</v>
      </c>
      <c r="D1103" s="2">
        <v>19300</v>
      </c>
      <c r="E1103" s="2">
        <v>13510</v>
      </c>
      <c r="F1103" t="s">
        <v>5</v>
      </c>
      <c r="G1103" t="s">
        <v>2829</v>
      </c>
      <c r="H1103" t="s">
        <v>500</v>
      </c>
      <c r="I1103">
        <v>300.65559999999999</v>
      </c>
    </row>
    <row r="1104" spans="1:9" ht="62.25" customHeight="1">
      <c r="A1104" s="1" t="str">
        <f>"Chemistry 3675"</f>
        <v>Chemistry 3675</v>
      </c>
      <c r="B1104" t="s">
        <v>2830</v>
      </c>
      <c r="C1104" t="s">
        <v>3</v>
      </c>
      <c r="D1104" s="2">
        <v>26300</v>
      </c>
      <c r="E1104" s="2">
        <v>15780</v>
      </c>
      <c r="F1104" t="s">
        <v>5</v>
      </c>
      <c r="G1104" t="s">
        <v>2831</v>
      </c>
      <c r="H1104" t="s">
        <v>2631</v>
      </c>
      <c r="I1104">
        <v>134.17839000000001</v>
      </c>
    </row>
    <row r="1105" spans="1:9" ht="75.75" customHeight="1">
      <c r="A1105" s="1" t="str">
        <f>"Chemistry 3676"</f>
        <v>Chemistry 3676</v>
      </c>
      <c r="B1105" t="s">
        <v>2832</v>
      </c>
      <c r="C1105" t="s">
        <v>3</v>
      </c>
      <c r="D1105" s="2">
        <v>31500</v>
      </c>
      <c r="E1105" s="2">
        <v>18900</v>
      </c>
      <c r="F1105" t="s">
        <v>5</v>
      </c>
      <c r="G1105" t="s">
        <v>2833</v>
      </c>
      <c r="H1105" t="s">
        <v>2572</v>
      </c>
      <c r="I1105">
        <v>189.1163</v>
      </c>
    </row>
    <row r="1106" spans="1:9" ht="94.95" customHeight="1">
      <c r="A1106" s="1" t="str">
        <f>"Chemistry 3678"</f>
        <v>Chemistry 3678</v>
      </c>
      <c r="B1106" t="s">
        <v>2834</v>
      </c>
      <c r="C1106" t="s">
        <v>3</v>
      </c>
      <c r="D1106" s="2">
        <v>21000</v>
      </c>
      <c r="E1106" s="2">
        <v>14699.999999999998</v>
      </c>
      <c r="F1106" t="s">
        <v>5</v>
      </c>
      <c r="G1106" t="s">
        <v>2835</v>
      </c>
      <c r="H1106" t="s">
        <v>2836</v>
      </c>
      <c r="I1106">
        <v>320.38346000000001</v>
      </c>
    </row>
    <row r="1107" spans="1:9" ht="58.95" customHeight="1">
      <c r="A1107" s="1" t="str">
        <f>"Chemistry 3688"</f>
        <v>Chemistry 3688</v>
      </c>
      <c r="B1107" t="s">
        <v>2837</v>
      </c>
      <c r="C1107" t="s">
        <v>3</v>
      </c>
      <c r="D1107" s="2">
        <v>24500</v>
      </c>
      <c r="E1107" s="2">
        <v>17150</v>
      </c>
      <c r="F1107" t="s">
        <v>5</v>
      </c>
      <c r="G1107" t="s">
        <v>2838</v>
      </c>
      <c r="H1107" t="s">
        <v>12</v>
      </c>
      <c r="I1107">
        <v>196.20318</v>
      </c>
    </row>
    <row r="1108" spans="1:9" ht="59.55" customHeight="1">
      <c r="A1108" s="1" t="str">
        <f>"Chemistry 3693"</f>
        <v>Chemistry 3693</v>
      </c>
      <c r="B1108" t="s">
        <v>2839</v>
      </c>
      <c r="C1108" t="s">
        <v>128</v>
      </c>
      <c r="D1108" s="2">
        <v>28000</v>
      </c>
      <c r="E1108" s="2">
        <v>16800</v>
      </c>
      <c r="F1108" t="s">
        <v>5</v>
      </c>
      <c r="G1108" t="s">
        <v>2840</v>
      </c>
      <c r="H1108" t="s">
        <v>2841</v>
      </c>
      <c r="I1108">
        <v>175.69891999999999</v>
      </c>
    </row>
    <row r="1109" spans="1:9" ht="65.099999999999994" customHeight="1">
      <c r="A1109" s="1" t="str">
        <f>"Chemistry 3694"</f>
        <v>Chemistry 3694</v>
      </c>
      <c r="B1109" t="s">
        <v>2842</v>
      </c>
      <c r="C1109" t="s">
        <v>128</v>
      </c>
      <c r="D1109" s="2">
        <v>33300</v>
      </c>
      <c r="E1109" s="2">
        <v>19980</v>
      </c>
      <c r="F1109" t="s">
        <v>5</v>
      </c>
      <c r="G1109" t="s">
        <v>2843</v>
      </c>
      <c r="H1109" t="s">
        <v>2257</v>
      </c>
      <c r="I1109">
        <v>225.71454</v>
      </c>
    </row>
    <row r="1110" spans="1:9" ht="66.75" customHeight="1">
      <c r="A1110" s="1" t="str">
        <f>"Chemistry 3713"</f>
        <v>Chemistry 3713</v>
      </c>
      <c r="B1110" t="s">
        <v>2845</v>
      </c>
      <c r="C1110" t="s">
        <v>270</v>
      </c>
      <c r="D1110" s="2">
        <v>19300</v>
      </c>
      <c r="E1110" s="2">
        <v>13510</v>
      </c>
      <c r="F1110" t="s">
        <v>5</v>
      </c>
      <c r="G1110" t="s">
        <v>2846</v>
      </c>
      <c r="H1110" t="s">
        <v>589</v>
      </c>
      <c r="I1110">
        <v>317.17797999999999</v>
      </c>
    </row>
    <row r="1111" spans="1:9" ht="65.099999999999994" customHeight="1">
      <c r="A1111" s="1" t="str">
        <f>"Chemistry 3714"</f>
        <v>Chemistry 3714</v>
      </c>
      <c r="B1111" t="s">
        <v>2847</v>
      </c>
      <c r="C1111" t="s">
        <v>270</v>
      </c>
      <c r="D1111" s="2">
        <v>19300</v>
      </c>
      <c r="E1111" s="2">
        <v>13510</v>
      </c>
      <c r="F1111" t="s">
        <v>5</v>
      </c>
      <c r="G1111" t="s">
        <v>2848</v>
      </c>
      <c r="H1111" t="s">
        <v>589</v>
      </c>
      <c r="I1111">
        <v>317.17797999999999</v>
      </c>
    </row>
    <row r="1112" spans="1:9" ht="63.45" customHeight="1">
      <c r="A1112" s="1" t="str">
        <f>"Chemistry 3725"</f>
        <v>Chemistry 3725</v>
      </c>
      <c r="B1112" t="s">
        <v>2849</v>
      </c>
      <c r="C1112" t="s">
        <v>3</v>
      </c>
      <c r="D1112" s="2">
        <v>21000</v>
      </c>
      <c r="E1112" s="2">
        <v>14699.999999999998</v>
      </c>
      <c r="F1112" t="s">
        <v>5</v>
      </c>
      <c r="G1112" t="s">
        <v>2850</v>
      </c>
      <c r="H1112" t="s">
        <v>254</v>
      </c>
      <c r="I1112">
        <v>228.33116000000001</v>
      </c>
    </row>
    <row r="1113" spans="1:9" ht="106.2" customHeight="1">
      <c r="A1113" s="1" t="str">
        <f>"Chemistry 3728"</f>
        <v>Chemistry 3728</v>
      </c>
      <c r="B1113" t="s">
        <v>2851</v>
      </c>
      <c r="C1113" t="s">
        <v>3</v>
      </c>
      <c r="D1113" s="2">
        <v>21000</v>
      </c>
      <c r="E1113" s="2">
        <v>14699.999999999998</v>
      </c>
      <c r="F1113" t="s">
        <v>5</v>
      </c>
      <c r="G1113" t="s">
        <v>2852</v>
      </c>
      <c r="H1113" t="s">
        <v>169</v>
      </c>
      <c r="I1113">
        <v>305.41518000000002</v>
      </c>
    </row>
    <row r="1114" spans="1:9" ht="60" customHeight="1">
      <c r="A1114" s="1" t="str">
        <f>"Chemistry 3730"</f>
        <v>Chemistry 3730</v>
      </c>
      <c r="B1114" t="s">
        <v>2853</v>
      </c>
      <c r="C1114" t="s">
        <v>3</v>
      </c>
      <c r="D1114" s="2">
        <v>28000</v>
      </c>
      <c r="E1114" s="2">
        <v>16800</v>
      </c>
      <c r="F1114" t="s">
        <v>5</v>
      </c>
      <c r="G1114" t="s">
        <v>2854</v>
      </c>
      <c r="H1114" t="s">
        <v>32</v>
      </c>
      <c r="I1114">
        <v>208.21387999999999</v>
      </c>
    </row>
    <row r="1115" spans="1:9" ht="74.099999999999994" customHeight="1">
      <c r="A1115" s="1" t="str">
        <f>"Chemistry 3738"</f>
        <v>Chemistry 3738</v>
      </c>
      <c r="B1115" t="s">
        <v>2855</v>
      </c>
      <c r="C1115" t="s">
        <v>128</v>
      </c>
      <c r="D1115" s="2">
        <v>22800</v>
      </c>
      <c r="E1115" s="2">
        <v>15959.999999999998</v>
      </c>
      <c r="F1115" t="s">
        <v>5</v>
      </c>
      <c r="G1115" t="s">
        <v>2856</v>
      </c>
      <c r="H1115" t="s">
        <v>2420</v>
      </c>
      <c r="I1115">
        <v>258.14702</v>
      </c>
    </row>
    <row r="1116" spans="1:9" ht="57.75" customHeight="1">
      <c r="A1116" s="1" t="str">
        <f>"Chemistry 3740"</f>
        <v>Chemistry 3740</v>
      </c>
      <c r="B1116" t="s">
        <v>2857</v>
      </c>
      <c r="C1116" t="s">
        <v>3</v>
      </c>
      <c r="D1116" s="2">
        <v>17500</v>
      </c>
      <c r="E1116" s="2">
        <v>12250</v>
      </c>
      <c r="F1116" t="s">
        <v>5</v>
      </c>
      <c r="G1116" t="s">
        <v>2858</v>
      </c>
      <c r="H1116" t="s">
        <v>1291</v>
      </c>
      <c r="I1116">
        <v>151.20892000000001</v>
      </c>
    </row>
    <row r="1117" spans="1:9" ht="60.6" customHeight="1">
      <c r="A1117" s="1" t="str">
        <f>"Chemistry 3741"</f>
        <v>Chemistry 3741</v>
      </c>
      <c r="B1117" t="s">
        <v>2859</v>
      </c>
      <c r="C1117" t="s">
        <v>3</v>
      </c>
      <c r="D1117" s="2">
        <v>17500</v>
      </c>
      <c r="E1117" s="2">
        <v>12250</v>
      </c>
      <c r="F1117" t="s">
        <v>5</v>
      </c>
      <c r="G1117" t="s">
        <v>2860</v>
      </c>
      <c r="H1117" t="s">
        <v>1417</v>
      </c>
      <c r="I1117">
        <v>153.18173999999999</v>
      </c>
    </row>
    <row r="1118" spans="1:9" ht="69" customHeight="1">
      <c r="A1118" s="1" t="str">
        <f>"Chemistry 3744"</f>
        <v>Chemistry 3744</v>
      </c>
      <c r="B1118" t="s">
        <v>2862</v>
      </c>
      <c r="C1118" t="s">
        <v>128</v>
      </c>
      <c r="D1118" s="2">
        <v>40300</v>
      </c>
      <c r="E1118" s="2">
        <v>24180</v>
      </c>
      <c r="F1118" t="s">
        <v>5</v>
      </c>
      <c r="G1118" t="s">
        <v>2863</v>
      </c>
      <c r="H1118" t="s">
        <v>2861</v>
      </c>
      <c r="I1118">
        <v>239.74112</v>
      </c>
    </row>
    <row r="1119" spans="1:9" ht="65.099999999999994" customHeight="1">
      <c r="A1119" s="1" t="str">
        <f>"Chemistry 3745"</f>
        <v>Chemistry 3745</v>
      </c>
      <c r="B1119" t="s">
        <v>2864</v>
      </c>
      <c r="C1119" t="s">
        <v>128</v>
      </c>
      <c r="D1119" s="2">
        <v>40300</v>
      </c>
      <c r="E1119" s="2">
        <v>24180</v>
      </c>
      <c r="F1119" t="s">
        <v>5</v>
      </c>
      <c r="G1119" t="s">
        <v>2865</v>
      </c>
      <c r="H1119" t="s">
        <v>2866</v>
      </c>
      <c r="I1119">
        <v>255.74052</v>
      </c>
    </row>
    <row r="1120" spans="1:9" ht="69" customHeight="1">
      <c r="A1120" s="1" t="str">
        <f>"Chemistry 3746"</f>
        <v>Chemistry 3746</v>
      </c>
      <c r="B1120" t="s">
        <v>2867</v>
      </c>
      <c r="C1120" t="s">
        <v>128</v>
      </c>
      <c r="D1120" s="2">
        <v>40300</v>
      </c>
      <c r="E1120" s="2">
        <v>24180</v>
      </c>
      <c r="F1120" t="s">
        <v>5</v>
      </c>
      <c r="G1120" t="s">
        <v>2868</v>
      </c>
      <c r="H1120" t="s">
        <v>2866</v>
      </c>
      <c r="I1120">
        <v>255.74052</v>
      </c>
    </row>
    <row r="1121" spans="1:9" ht="67.95" customHeight="1">
      <c r="A1121" s="1" t="str">
        <f>"Chemistry 3753"</f>
        <v>Chemistry 3753</v>
      </c>
      <c r="B1121" t="s">
        <v>2872</v>
      </c>
      <c r="C1121" t="s">
        <v>498</v>
      </c>
      <c r="D1121" s="2">
        <v>14000</v>
      </c>
      <c r="E1121" s="2">
        <v>9800</v>
      </c>
      <c r="F1121" t="s">
        <v>5</v>
      </c>
      <c r="G1121" t="s">
        <v>2873</v>
      </c>
      <c r="H1121" t="s">
        <v>2870</v>
      </c>
      <c r="I1121">
        <v>321.07407999999998</v>
      </c>
    </row>
    <row r="1122" spans="1:9" ht="70.2" customHeight="1">
      <c r="A1122" s="1" t="str">
        <f>"Chemistry 3755"</f>
        <v>Chemistry 3755</v>
      </c>
      <c r="B1122" t="s">
        <v>2875</v>
      </c>
      <c r="C1122" t="s">
        <v>3</v>
      </c>
      <c r="D1122" s="2">
        <v>19300</v>
      </c>
      <c r="E1122" s="2">
        <v>13510</v>
      </c>
      <c r="F1122" t="s">
        <v>5</v>
      </c>
      <c r="G1122" t="s">
        <v>2876</v>
      </c>
      <c r="H1122" t="s">
        <v>246</v>
      </c>
      <c r="I1122">
        <v>306.39992999999998</v>
      </c>
    </row>
    <row r="1123" spans="1:9" ht="44.25" customHeight="1">
      <c r="A1123" s="1" t="str">
        <f>"Chemistry 3756"</f>
        <v>Chemistry 3756</v>
      </c>
      <c r="B1123" t="s">
        <v>2877</v>
      </c>
      <c r="C1123" t="s">
        <v>270</v>
      </c>
      <c r="D1123" s="2">
        <v>19300</v>
      </c>
      <c r="E1123" s="2">
        <v>13510</v>
      </c>
      <c r="F1123" t="s">
        <v>5</v>
      </c>
      <c r="G1123" t="s">
        <v>2878</v>
      </c>
      <c r="H1123" t="s">
        <v>482</v>
      </c>
      <c r="I1123">
        <v>227.17449999999999</v>
      </c>
    </row>
    <row r="1124" spans="1:9" ht="61.8" customHeight="1">
      <c r="A1124" s="1" t="str">
        <f>"Chemistry 3764"</f>
        <v>Chemistry 3764</v>
      </c>
      <c r="B1124" t="s">
        <v>2880</v>
      </c>
      <c r="C1124" t="s">
        <v>270</v>
      </c>
      <c r="D1124" s="2">
        <v>15800</v>
      </c>
      <c r="E1124" s="2">
        <v>11060</v>
      </c>
      <c r="F1124" t="s">
        <v>5</v>
      </c>
      <c r="G1124" t="s">
        <v>2881</v>
      </c>
      <c r="H1124" t="s">
        <v>1380</v>
      </c>
      <c r="I1124">
        <v>250.16808</v>
      </c>
    </row>
    <row r="1125" spans="1:9" ht="75.3" customHeight="1">
      <c r="A1125" s="1" t="str">
        <f>"Chemistry 3766"</f>
        <v>Chemistry 3766</v>
      </c>
      <c r="B1125" t="s">
        <v>2882</v>
      </c>
      <c r="C1125" t="s">
        <v>3</v>
      </c>
      <c r="D1125" s="2">
        <v>31500</v>
      </c>
      <c r="E1125" s="2">
        <v>18900</v>
      </c>
      <c r="F1125" t="s">
        <v>5</v>
      </c>
      <c r="G1125" t="s">
        <v>2883</v>
      </c>
      <c r="H1125" t="s">
        <v>2572</v>
      </c>
      <c r="I1125">
        <v>189.1163</v>
      </c>
    </row>
    <row r="1126" spans="1:9" ht="64.5" customHeight="1">
      <c r="A1126" s="1" t="str">
        <f>"Chemistry 3767"</f>
        <v>Chemistry 3767</v>
      </c>
      <c r="B1126" t="s">
        <v>2884</v>
      </c>
      <c r="C1126" t="s">
        <v>3</v>
      </c>
      <c r="D1126" s="2">
        <v>21000</v>
      </c>
      <c r="E1126" s="2">
        <v>14699.999999999998</v>
      </c>
      <c r="F1126" t="s">
        <v>5</v>
      </c>
      <c r="G1126" t="s">
        <v>2885</v>
      </c>
      <c r="H1126" t="s">
        <v>254</v>
      </c>
      <c r="I1126">
        <v>228.33116000000001</v>
      </c>
    </row>
    <row r="1127" spans="1:9" ht="106.2" customHeight="1">
      <c r="A1127" s="1" t="str">
        <f>"Chemistry 3770"</f>
        <v>Chemistry 3770</v>
      </c>
      <c r="B1127" t="s">
        <v>2886</v>
      </c>
      <c r="C1127" t="s">
        <v>3</v>
      </c>
      <c r="D1127" s="2">
        <v>21000</v>
      </c>
      <c r="E1127" s="2">
        <v>14699.999999999998</v>
      </c>
      <c r="F1127" t="s">
        <v>5</v>
      </c>
      <c r="G1127" t="s">
        <v>2887</v>
      </c>
      <c r="H1127" t="s">
        <v>660</v>
      </c>
      <c r="I1127">
        <v>338.87218000000001</v>
      </c>
    </row>
    <row r="1128" spans="1:9" ht="71.25" customHeight="1">
      <c r="A1128" s="1" t="str">
        <f>"Chemistry 3771"</f>
        <v>Chemistry 3771</v>
      </c>
      <c r="B1128" t="s">
        <v>2888</v>
      </c>
      <c r="C1128" t="s">
        <v>128</v>
      </c>
      <c r="D1128" s="2">
        <v>24500</v>
      </c>
      <c r="E1128" s="2">
        <v>17150</v>
      </c>
      <c r="F1128" t="s">
        <v>5</v>
      </c>
      <c r="G1128" t="s">
        <v>2889</v>
      </c>
      <c r="H1128" t="s">
        <v>1658</v>
      </c>
      <c r="I1128">
        <v>203.66925000000001</v>
      </c>
    </row>
    <row r="1129" spans="1:9" ht="74.099999999999994" customHeight="1">
      <c r="A1129" s="1" t="str">
        <f>"Chemistry 3776"</f>
        <v>Chemistry 3776</v>
      </c>
      <c r="B1129" t="s">
        <v>2890</v>
      </c>
      <c r="C1129" t="s">
        <v>128</v>
      </c>
      <c r="D1129" s="2">
        <v>22800</v>
      </c>
      <c r="E1129" s="2">
        <v>15959.999999999998</v>
      </c>
      <c r="F1129" t="s">
        <v>5</v>
      </c>
      <c r="G1129" t="s">
        <v>2891</v>
      </c>
      <c r="H1129" t="s">
        <v>1554</v>
      </c>
      <c r="I1129">
        <v>253.72793999999999</v>
      </c>
    </row>
    <row r="1130" spans="1:9" ht="72.45" customHeight="1">
      <c r="A1130" s="1" t="str">
        <f>"Chemistry 3777"</f>
        <v>Chemistry 3777</v>
      </c>
      <c r="B1130" t="s">
        <v>2892</v>
      </c>
      <c r="C1130" t="s">
        <v>3</v>
      </c>
      <c r="D1130" s="2">
        <v>15800</v>
      </c>
      <c r="E1130" s="2">
        <v>11060</v>
      </c>
      <c r="F1130" t="s">
        <v>5</v>
      </c>
      <c r="G1130" t="s">
        <v>2893</v>
      </c>
      <c r="H1130" t="s">
        <v>1157</v>
      </c>
      <c r="I1130">
        <v>203.24042</v>
      </c>
    </row>
    <row r="1131" spans="1:9" ht="79.2" customHeight="1">
      <c r="A1131" s="1" t="str">
        <f>"Chemistry 3780"</f>
        <v>Chemistry 3780</v>
      </c>
      <c r="B1131" t="s">
        <v>2894</v>
      </c>
      <c r="C1131" t="s">
        <v>128</v>
      </c>
      <c r="D1131" s="2">
        <v>40300</v>
      </c>
      <c r="E1131" s="2">
        <v>24180</v>
      </c>
      <c r="F1131" t="s">
        <v>5</v>
      </c>
      <c r="G1131" t="s">
        <v>2895</v>
      </c>
      <c r="H1131" t="s">
        <v>2866</v>
      </c>
      <c r="I1131">
        <v>255.74052</v>
      </c>
    </row>
    <row r="1132" spans="1:9" ht="72.45" customHeight="1">
      <c r="A1132" s="1" t="str">
        <f>"Chemistry 3782"</f>
        <v>Chemistry 3782</v>
      </c>
      <c r="B1132" t="s">
        <v>2896</v>
      </c>
      <c r="C1132" t="s">
        <v>498</v>
      </c>
      <c r="D1132" s="2">
        <v>14000</v>
      </c>
      <c r="E1132" s="2">
        <v>9800</v>
      </c>
      <c r="F1132" t="s">
        <v>5</v>
      </c>
      <c r="G1132" t="s">
        <v>2897</v>
      </c>
      <c r="H1132" t="s">
        <v>2871</v>
      </c>
      <c r="I1132">
        <v>316.65499999999997</v>
      </c>
    </row>
    <row r="1133" spans="1:9" ht="78.599999999999994" customHeight="1">
      <c r="A1133" s="1" t="str">
        <f>"Chemistry 3784"</f>
        <v>Chemistry 3784</v>
      </c>
      <c r="B1133" t="s">
        <v>2898</v>
      </c>
      <c r="C1133" t="s">
        <v>498</v>
      </c>
      <c r="D1133" s="2">
        <v>14000</v>
      </c>
      <c r="E1133" s="2">
        <v>9800</v>
      </c>
      <c r="F1133" t="s">
        <v>5</v>
      </c>
      <c r="G1133" t="s">
        <v>2899</v>
      </c>
      <c r="H1133" t="s">
        <v>2871</v>
      </c>
      <c r="I1133">
        <v>316.65499999999997</v>
      </c>
    </row>
    <row r="1134" spans="1:9" ht="67.349999999999994" customHeight="1">
      <c r="A1134" s="1" t="str">
        <f>"Chemistry 3791"</f>
        <v>Chemistry 3791</v>
      </c>
      <c r="B1134" t="s">
        <v>2900</v>
      </c>
      <c r="C1134" t="s">
        <v>270</v>
      </c>
      <c r="D1134" s="2">
        <v>19300</v>
      </c>
      <c r="E1134" s="2">
        <v>13510</v>
      </c>
      <c r="F1134" t="s">
        <v>5</v>
      </c>
      <c r="G1134" t="s">
        <v>2901</v>
      </c>
      <c r="H1134" t="s">
        <v>504</v>
      </c>
      <c r="I1134">
        <v>281.19706000000002</v>
      </c>
    </row>
    <row r="1135" spans="1:9" ht="58.35" customHeight="1">
      <c r="A1135" s="1" t="str">
        <f>"Chemistry 3794"</f>
        <v>Chemistry 3794</v>
      </c>
      <c r="B1135" t="s">
        <v>2902</v>
      </c>
      <c r="C1135" t="s">
        <v>498</v>
      </c>
      <c r="D1135" s="2">
        <v>14000</v>
      </c>
      <c r="E1135" s="2">
        <v>9800</v>
      </c>
      <c r="F1135" t="s">
        <v>5</v>
      </c>
      <c r="G1135" t="s">
        <v>2903</v>
      </c>
      <c r="H1135" t="s">
        <v>682</v>
      </c>
      <c r="I1135">
        <v>286.62902000000003</v>
      </c>
    </row>
    <row r="1136" spans="1:9" ht="102.75" customHeight="1">
      <c r="A1136" s="1" t="str">
        <f>"Chemistry 3795"</f>
        <v>Chemistry 3795</v>
      </c>
      <c r="B1136" t="s">
        <v>2904</v>
      </c>
      <c r="C1136" t="s">
        <v>128</v>
      </c>
      <c r="D1136" s="2">
        <v>14000</v>
      </c>
      <c r="E1136" s="2">
        <v>9800</v>
      </c>
      <c r="F1136" t="s">
        <v>5</v>
      </c>
      <c r="G1136" t="s">
        <v>2905</v>
      </c>
      <c r="H1136" t="s">
        <v>2906</v>
      </c>
      <c r="I1136">
        <v>244.72118</v>
      </c>
    </row>
    <row r="1137" spans="1:9" ht="61.8" customHeight="1">
      <c r="A1137" s="1" t="str">
        <f>"Chemistry 3800"</f>
        <v>Chemistry 3800</v>
      </c>
      <c r="B1137" t="s">
        <v>2907</v>
      </c>
      <c r="C1137" t="s">
        <v>3</v>
      </c>
      <c r="D1137" s="2">
        <v>15800</v>
      </c>
      <c r="E1137" s="2">
        <v>11060</v>
      </c>
      <c r="F1137" t="s">
        <v>5</v>
      </c>
      <c r="G1137" t="s">
        <v>2908</v>
      </c>
      <c r="H1137" t="s">
        <v>166</v>
      </c>
      <c r="I1137">
        <v>179.21902</v>
      </c>
    </row>
    <row r="1138" spans="1:9" ht="61.8" customHeight="1">
      <c r="A1138" s="1" t="str">
        <f>"Chemistry 3801"</f>
        <v>Chemistry 3801</v>
      </c>
      <c r="B1138" t="s">
        <v>2909</v>
      </c>
      <c r="C1138" t="s">
        <v>3</v>
      </c>
      <c r="D1138" s="2">
        <v>15800</v>
      </c>
      <c r="E1138" s="2">
        <v>11060</v>
      </c>
      <c r="F1138" t="s">
        <v>5</v>
      </c>
      <c r="G1138" t="s">
        <v>2910</v>
      </c>
      <c r="H1138" t="s">
        <v>1526</v>
      </c>
      <c r="I1138">
        <v>192.26084</v>
      </c>
    </row>
    <row r="1139" spans="1:9" ht="61.8" customHeight="1">
      <c r="A1139" s="1" t="str">
        <f>"Chemistry 3803"</f>
        <v>Chemistry 3803</v>
      </c>
      <c r="B1139" t="s">
        <v>2911</v>
      </c>
      <c r="C1139" t="s">
        <v>3</v>
      </c>
      <c r="D1139" s="2">
        <v>15800</v>
      </c>
      <c r="E1139" s="2">
        <v>11060</v>
      </c>
      <c r="F1139" t="s">
        <v>5</v>
      </c>
      <c r="G1139" t="s">
        <v>2912</v>
      </c>
      <c r="H1139" t="s">
        <v>1526</v>
      </c>
      <c r="I1139">
        <v>192.26084</v>
      </c>
    </row>
    <row r="1140" spans="1:9" ht="92.1" customHeight="1">
      <c r="A1140" s="1" t="str">
        <f>"Chemistry 3813"</f>
        <v>Chemistry 3813</v>
      </c>
      <c r="B1140" t="s">
        <v>2913</v>
      </c>
      <c r="C1140" t="s">
        <v>128</v>
      </c>
      <c r="D1140" s="2">
        <v>22800</v>
      </c>
      <c r="E1140" s="2">
        <v>15959.999999999998</v>
      </c>
      <c r="F1140" t="s">
        <v>5</v>
      </c>
      <c r="G1140" t="s">
        <v>2914</v>
      </c>
      <c r="H1140" t="s">
        <v>2426</v>
      </c>
      <c r="I1140">
        <v>291.69992000000002</v>
      </c>
    </row>
    <row r="1141" spans="1:9" ht="78.599999999999994" customHeight="1">
      <c r="A1141" s="1" t="str">
        <f>"Chemistry 3814"</f>
        <v>Chemistry 3814</v>
      </c>
      <c r="B1141" t="s">
        <v>2915</v>
      </c>
      <c r="C1141" t="s">
        <v>128</v>
      </c>
      <c r="D1141" s="2">
        <v>22800</v>
      </c>
      <c r="E1141" s="2">
        <v>15959.999999999998</v>
      </c>
      <c r="F1141" t="s">
        <v>5</v>
      </c>
      <c r="G1141" t="s">
        <v>2916</v>
      </c>
      <c r="H1141" t="s">
        <v>2426</v>
      </c>
      <c r="I1141">
        <v>291.69992000000002</v>
      </c>
    </row>
    <row r="1142" spans="1:9" ht="62.25" customHeight="1">
      <c r="A1142" s="1" t="str">
        <f>"Chemistry 3815"</f>
        <v>Chemistry 3815</v>
      </c>
      <c r="B1142" t="s">
        <v>2917</v>
      </c>
      <c r="C1142" t="s">
        <v>3</v>
      </c>
      <c r="D1142" s="2">
        <v>17500</v>
      </c>
      <c r="E1142" s="2">
        <v>12250</v>
      </c>
      <c r="F1142" t="s">
        <v>5</v>
      </c>
      <c r="G1142" t="s">
        <v>2918</v>
      </c>
      <c r="H1142" t="s">
        <v>100</v>
      </c>
      <c r="I1142">
        <v>167.20831999999999</v>
      </c>
    </row>
    <row r="1143" spans="1:9" ht="71.25" customHeight="1">
      <c r="A1143" s="1" t="str">
        <f>"Chemistry 3819"</f>
        <v>Chemistry 3819</v>
      </c>
      <c r="B1143" t="s">
        <v>2919</v>
      </c>
      <c r="C1143" t="s">
        <v>3</v>
      </c>
      <c r="D1143" s="2">
        <v>12300</v>
      </c>
      <c r="E1143" s="2">
        <v>8610</v>
      </c>
      <c r="F1143" t="s">
        <v>5</v>
      </c>
      <c r="G1143" t="s">
        <v>2920</v>
      </c>
      <c r="H1143" t="s">
        <v>2921</v>
      </c>
      <c r="I1143">
        <v>189.22878</v>
      </c>
    </row>
    <row r="1144" spans="1:9" ht="64.5" customHeight="1">
      <c r="A1144" s="1" t="str">
        <f>"Chemistry 3822"</f>
        <v>Chemistry 3822</v>
      </c>
      <c r="B1144" t="s">
        <v>2923</v>
      </c>
      <c r="C1144" t="s">
        <v>3</v>
      </c>
      <c r="D1144" s="2">
        <v>12300</v>
      </c>
      <c r="E1144" s="2">
        <v>8610</v>
      </c>
      <c r="F1144" t="s">
        <v>5</v>
      </c>
      <c r="G1144" t="s">
        <v>2924</v>
      </c>
      <c r="H1144" t="s">
        <v>2925</v>
      </c>
      <c r="I1144">
        <v>163.19149999999999</v>
      </c>
    </row>
    <row r="1145" spans="1:9" ht="75.75" customHeight="1">
      <c r="A1145" s="1" t="str">
        <f>"Chemistry 3827"</f>
        <v>Chemistry 3827</v>
      </c>
      <c r="B1145" t="s">
        <v>2926</v>
      </c>
      <c r="C1145" t="s">
        <v>3</v>
      </c>
      <c r="D1145" s="2">
        <v>12300</v>
      </c>
      <c r="E1145" s="2">
        <v>8610</v>
      </c>
      <c r="F1145" t="s">
        <v>5</v>
      </c>
      <c r="G1145" t="s">
        <v>2927</v>
      </c>
      <c r="H1145" t="s">
        <v>2925</v>
      </c>
      <c r="I1145">
        <v>163.19149999999999</v>
      </c>
    </row>
    <row r="1146" spans="1:9" ht="71.25" customHeight="1">
      <c r="A1146" s="1" t="str">
        <f>"Chemistry 3828"</f>
        <v>Chemistry 3828</v>
      </c>
      <c r="B1146" t="s">
        <v>2928</v>
      </c>
      <c r="C1146" t="s">
        <v>3</v>
      </c>
      <c r="D1146" s="2">
        <v>14000</v>
      </c>
      <c r="E1146" s="2">
        <v>9800</v>
      </c>
      <c r="F1146" t="s">
        <v>5</v>
      </c>
      <c r="G1146" t="s">
        <v>2929</v>
      </c>
      <c r="H1146" t="s">
        <v>2922</v>
      </c>
      <c r="I1146">
        <v>219.25476</v>
      </c>
    </row>
    <row r="1147" spans="1:9" ht="67.95" customHeight="1">
      <c r="A1147" s="1" t="str">
        <f>"Chemistry 3833"</f>
        <v>Chemistry 3833</v>
      </c>
      <c r="B1147" t="s">
        <v>2930</v>
      </c>
      <c r="C1147" t="s">
        <v>498</v>
      </c>
      <c r="D1147" s="2">
        <v>14000</v>
      </c>
      <c r="E1147" s="2">
        <v>9800</v>
      </c>
      <c r="F1147" t="s">
        <v>5</v>
      </c>
      <c r="G1147" t="s">
        <v>2931</v>
      </c>
      <c r="H1147" t="s">
        <v>2869</v>
      </c>
      <c r="I1147">
        <v>304.61948000000001</v>
      </c>
    </row>
    <row r="1148" spans="1:9" ht="64.5" customHeight="1">
      <c r="A1148" s="1" t="str">
        <f>"Chemistry 3834"</f>
        <v>Chemistry 3834</v>
      </c>
      <c r="B1148" t="s">
        <v>2932</v>
      </c>
      <c r="C1148" t="s">
        <v>498</v>
      </c>
      <c r="D1148" s="2">
        <v>14000</v>
      </c>
      <c r="E1148" s="2">
        <v>9800</v>
      </c>
      <c r="F1148" t="s">
        <v>5</v>
      </c>
      <c r="G1148" t="s">
        <v>2933</v>
      </c>
      <c r="H1148" t="s">
        <v>500</v>
      </c>
      <c r="I1148">
        <v>300.65559999999999</v>
      </c>
    </row>
    <row r="1149" spans="1:9" ht="52.2" customHeight="1">
      <c r="A1149" s="1" t="str">
        <f>"Chemistry 3835"</f>
        <v>Chemistry 3835</v>
      </c>
      <c r="B1149" t="s">
        <v>2934</v>
      </c>
      <c r="C1149" t="s">
        <v>498</v>
      </c>
      <c r="D1149" s="2">
        <v>14000</v>
      </c>
      <c r="E1149" s="2">
        <v>9800</v>
      </c>
      <c r="F1149" t="s">
        <v>5</v>
      </c>
      <c r="G1149" t="s">
        <v>2935</v>
      </c>
      <c r="H1149" t="s">
        <v>500</v>
      </c>
      <c r="I1149">
        <v>300.65559999999999</v>
      </c>
    </row>
    <row r="1150" spans="1:9" ht="58.95" customHeight="1">
      <c r="A1150" s="1" t="str">
        <f>"Chemistry 3842"</f>
        <v>Chemistry 3842</v>
      </c>
      <c r="B1150" t="s">
        <v>2936</v>
      </c>
      <c r="C1150" t="s">
        <v>498</v>
      </c>
      <c r="D1150" s="2">
        <v>19300</v>
      </c>
      <c r="E1150" s="2">
        <v>13510</v>
      </c>
      <c r="F1150" t="s">
        <v>5</v>
      </c>
      <c r="G1150" t="s">
        <v>2937</v>
      </c>
      <c r="H1150" t="s">
        <v>682</v>
      </c>
      <c r="I1150">
        <v>286.62900999999999</v>
      </c>
    </row>
    <row r="1151" spans="1:9" ht="61.8" customHeight="1">
      <c r="A1151" s="1" t="str">
        <f>"Chemistry 3843"</f>
        <v>Chemistry 3843</v>
      </c>
      <c r="B1151" t="s">
        <v>2938</v>
      </c>
      <c r="C1151" t="s">
        <v>498</v>
      </c>
      <c r="D1151" s="2">
        <v>14000</v>
      </c>
      <c r="E1151" s="2">
        <v>9800</v>
      </c>
      <c r="F1151" t="s">
        <v>5</v>
      </c>
      <c r="G1151" t="s">
        <v>2939</v>
      </c>
      <c r="H1151" t="s">
        <v>2879</v>
      </c>
      <c r="I1151">
        <v>290.59289999999999</v>
      </c>
    </row>
    <row r="1152" spans="1:9" ht="58.35" customHeight="1">
      <c r="A1152" s="1" t="str">
        <f>"Chemistry 3844"</f>
        <v>Chemistry 3844</v>
      </c>
      <c r="B1152" t="s">
        <v>2940</v>
      </c>
      <c r="C1152" t="s">
        <v>498</v>
      </c>
      <c r="D1152" s="2">
        <v>14000</v>
      </c>
      <c r="E1152" s="2">
        <v>9800</v>
      </c>
      <c r="F1152" t="s">
        <v>5</v>
      </c>
      <c r="G1152" t="s">
        <v>2941</v>
      </c>
      <c r="H1152" t="s">
        <v>682</v>
      </c>
      <c r="I1152">
        <v>286.62902000000003</v>
      </c>
    </row>
    <row r="1153" spans="1:9" ht="82.05" customHeight="1">
      <c r="A1153" s="1" t="str">
        <f>"Chemistry 3848"</f>
        <v>Chemistry 3848</v>
      </c>
      <c r="B1153" t="s">
        <v>2942</v>
      </c>
      <c r="C1153" t="s">
        <v>3</v>
      </c>
      <c r="D1153" s="2">
        <v>21000</v>
      </c>
      <c r="E1153" s="2">
        <v>14699.999999999998</v>
      </c>
      <c r="F1153" t="s">
        <v>5</v>
      </c>
      <c r="G1153" t="s">
        <v>2943</v>
      </c>
      <c r="H1153" t="s">
        <v>660</v>
      </c>
      <c r="I1153">
        <v>338.87218000000001</v>
      </c>
    </row>
    <row r="1154" spans="1:9" ht="70.8" customHeight="1">
      <c r="A1154" s="1" t="str">
        <f>"Chemistry 3859"</f>
        <v>Chemistry 3859</v>
      </c>
      <c r="B1154" t="s">
        <v>2944</v>
      </c>
      <c r="C1154" t="s">
        <v>3</v>
      </c>
      <c r="D1154" s="2">
        <v>21000</v>
      </c>
      <c r="E1154" s="2">
        <v>14699.999999999998</v>
      </c>
      <c r="F1154" t="s">
        <v>5</v>
      </c>
      <c r="G1154" t="s">
        <v>2945</v>
      </c>
      <c r="H1154" t="s">
        <v>2569</v>
      </c>
      <c r="I1154">
        <v>154.20625999999999</v>
      </c>
    </row>
    <row r="1155" spans="1:9" ht="73.05" customHeight="1">
      <c r="A1155" s="1" t="str">
        <f>"Chemistry 3866"</f>
        <v>Chemistry 3866</v>
      </c>
      <c r="B1155" t="s">
        <v>2946</v>
      </c>
      <c r="C1155" t="s">
        <v>3</v>
      </c>
      <c r="D1155" s="2">
        <v>12300</v>
      </c>
      <c r="E1155" s="2">
        <v>8610</v>
      </c>
      <c r="F1155" t="s">
        <v>5</v>
      </c>
      <c r="G1155" t="s">
        <v>2947</v>
      </c>
      <c r="H1155" t="s">
        <v>2948</v>
      </c>
      <c r="I1155">
        <v>177.21807999999999</v>
      </c>
    </row>
    <row r="1156" spans="1:9" ht="73.05" customHeight="1">
      <c r="A1156" s="1" t="str">
        <f>"Chemistry 3868"</f>
        <v>Chemistry 3868</v>
      </c>
      <c r="B1156" t="s">
        <v>2949</v>
      </c>
      <c r="C1156" t="s">
        <v>3</v>
      </c>
      <c r="D1156" s="2">
        <v>12300</v>
      </c>
      <c r="E1156" s="2">
        <v>8610</v>
      </c>
      <c r="F1156" t="s">
        <v>5</v>
      </c>
      <c r="G1156" t="s">
        <v>2950</v>
      </c>
      <c r="H1156" t="s">
        <v>2948</v>
      </c>
      <c r="I1156">
        <v>177.21807999999999</v>
      </c>
    </row>
    <row r="1157" spans="1:9" ht="85.35" customHeight="1">
      <c r="A1157" s="1" t="str">
        <f>"Chemistry 3873"</f>
        <v>Chemistry 3873</v>
      </c>
      <c r="B1157" t="s">
        <v>2952</v>
      </c>
      <c r="C1157" t="s">
        <v>3</v>
      </c>
      <c r="D1157" s="2">
        <v>14000</v>
      </c>
      <c r="E1157" s="2">
        <v>9800</v>
      </c>
      <c r="F1157" t="s">
        <v>5</v>
      </c>
      <c r="G1157" t="s">
        <v>2953</v>
      </c>
      <c r="H1157" t="s">
        <v>2954</v>
      </c>
      <c r="I1157">
        <v>233.28134</v>
      </c>
    </row>
    <row r="1158" spans="1:9" ht="75.75" customHeight="1">
      <c r="A1158" s="1" t="str">
        <f>"Chemistry 3874"</f>
        <v>Chemistry 3874</v>
      </c>
      <c r="B1158" t="s">
        <v>2955</v>
      </c>
      <c r="C1158" t="s">
        <v>3</v>
      </c>
      <c r="D1158" s="2">
        <v>12300</v>
      </c>
      <c r="E1158" s="2">
        <v>8610</v>
      </c>
      <c r="F1158" t="s">
        <v>5</v>
      </c>
      <c r="G1158" t="s">
        <v>2956</v>
      </c>
      <c r="H1158" t="s">
        <v>2948</v>
      </c>
      <c r="I1158">
        <v>177.21807999999999</v>
      </c>
    </row>
    <row r="1159" spans="1:9" ht="44.25" customHeight="1">
      <c r="A1159" s="1" t="str">
        <f>"Chemistry 3881"</f>
        <v>Chemistry 3881</v>
      </c>
      <c r="B1159" t="s">
        <v>2957</v>
      </c>
      <c r="C1159" t="s">
        <v>270</v>
      </c>
      <c r="D1159" s="2">
        <v>19300</v>
      </c>
      <c r="E1159" s="2">
        <v>13510</v>
      </c>
      <c r="F1159" t="s">
        <v>5</v>
      </c>
      <c r="G1159" t="s">
        <v>2958</v>
      </c>
      <c r="H1159" t="s">
        <v>468</v>
      </c>
      <c r="I1159">
        <v>241.20107999999999</v>
      </c>
    </row>
    <row r="1160" spans="1:9" ht="65.099999999999994" customHeight="1">
      <c r="A1160" s="1" t="str">
        <f>"Chemistry 3886"</f>
        <v>Chemistry 3886</v>
      </c>
      <c r="B1160" t="s">
        <v>2959</v>
      </c>
      <c r="C1160" t="s">
        <v>3</v>
      </c>
      <c r="D1160" s="2">
        <v>15800</v>
      </c>
      <c r="E1160" s="2">
        <v>11060</v>
      </c>
      <c r="F1160" t="s">
        <v>5</v>
      </c>
      <c r="G1160" t="s">
        <v>2960</v>
      </c>
      <c r="H1160" t="s">
        <v>99</v>
      </c>
      <c r="I1160">
        <v>177.24619999999999</v>
      </c>
    </row>
    <row r="1161" spans="1:9" ht="65.099999999999994" customHeight="1">
      <c r="A1161" s="1" t="str">
        <f>"Chemistry 3887"</f>
        <v>Chemistry 3887</v>
      </c>
      <c r="B1161" t="s">
        <v>2961</v>
      </c>
      <c r="C1161" t="s">
        <v>3</v>
      </c>
      <c r="D1161" s="2">
        <v>15800</v>
      </c>
      <c r="E1161" s="2">
        <v>11060</v>
      </c>
      <c r="F1161" t="s">
        <v>5</v>
      </c>
      <c r="G1161" t="s">
        <v>2962</v>
      </c>
      <c r="H1161" t="s">
        <v>166</v>
      </c>
      <c r="I1161">
        <v>179.21902</v>
      </c>
    </row>
    <row r="1162" spans="1:9" ht="65.099999999999994" customHeight="1">
      <c r="A1162" s="1" t="str">
        <f>"Chemistry 3888"</f>
        <v>Chemistry 3888</v>
      </c>
      <c r="B1162" t="s">
        <v>2963</v>
      </c>
      <c r="C1162" t="s">
        <v>3</v>
      </c>
      <c r="D1162" s="2">
        <v>15800</v>
      </c>
      <c r="E1162" s="2">
        <v>11060</v>
      </c>
      <c r="F1162" t="s">
        <v>5</v>
      </c>
      <c r="G1162" t="s">
        <v>2964</v>
      </c>
      <c r="H1162" t="s">
        <v>1526</v>
      </c>
      <c r="I1162">
        <v>192.26084</v>
      </c>
    </row>
    <row r="1163" spans="1:9" ht="68.55" customHeight="1">
      <c r="A1163" s="1" t="str">
        <f>"Chemistry 3889"</f>
        <v>Chemistry 3889</v>
      </c>
      <c r="B1163" t="s">
        <v>2965</v>
      </c>
      <c r="C1163" t="s">
        <v>3</v>
      </c>
      <c r="D1163" s="2">
        <v>21000</v>
      </c>
      <c r="E1163" s="2">
        <v>14699.999999999998</v>
      </c>
      <c r="F1163" t="s">
        <v>5</v>
      </c>
      <c r="G1163" t="s">
        <v>2966</v>
      </c>
      <c r="H1163" t="s">
        <v>2679</v>
      </c>
      <c r="I1163">
        <v>231.13146</v>
      </c>
    </row>
    <row r="1164" spans="1:9" ht="71.849999999999994" customHeight="1">
      <c r="A1164" s="1" t="str">
        <f>"Chemistry 3896"</f>
        <v>Chemistry 3896</v>
      </c>
      <c r="B1164" t="s">
        <v>2967</v>
      </c>
      <c r="C1164" t="s">
        <v>128</v>
      </c>
      <c r="D1164" s="2">
        <v>22800</v>
      </c>
      <c r="E1164" s="2">
        <v>15959.999999999998</v>
      </c>
      <c r="F1164" t="s">
        <v>5</v>
      </c>
      <c r="G1164" t="s">
        <v>2968</v>
      </c>
      <c r="H1164" t="s">
        <v>2969</v>
      </c>
      <c r="I1164">
        <v>191.65855999999999</v>
      </c>
    </row>
    <row r="1165" spans="1:9" ht="83.1" customHeight="1">
      <c r="A1165" s="1" t="str">
        <f>"Chemistry 3898"</f>
        <v>Chemistry 3898</v>
      </c>
      <c r="B1165" t="s">
        <v>2971</v>
      </c>
      <c r="C1165" t="s">
        <v>3</v>
      </c>
      <c r="D1165" s="2">
        <v>17500</v>
      </c>
      <c r="E1165" s="2">
        <v>12250</v>
      </c>
      <c r="F1165" t="s">
        <v>5</v>
      </c>
      <c r="G1165" t="s">
        <v>2972</v>
      </c>
      <c r="H1165" t="s">
        <v>2973</v>
      </c>
      <c r="I1165">
        <v>208.18906000000001</v>
      </c>
    </row>
    <row r="1166" spans="1:9" ht="91.5" customHeight="1">
      <c r="A1166" s="1" t="str">
        <f>"Chemistry 3900"</f>
        <v>Chemistry 3900</v>
      </c>
      <c r="B1166" t="s">
        <v>2974</v>
      </c>
      <c r="C1166" t="s">
        <v>3</v>
      </c>
      <c r="D1166" s="2">
        <v>17500</v>
      </c>
      <c r="E1166" s="2">
        <v>12250</v>
      </c>
      <c r="F1166" t="s">
        <v>5</v>
      </c>
      <c r="G1166" t="s">
        <v>2975</v>
      </c>
      <c r="H1166" t="s">
        <v>2249</v>
      </c>
      <c r="I1166">
        <v>248.25291999999999</v>
      </c>
    </row>
    <row r="1167" spans="1:9" ht="106.2" customHeight="1">
      <c r="A1167" s="1" t="str">
        <f>"Chemistry 3901"</f>
        <v>Chemistry 3901</v>
      </c>
      <c r="B1167" t="s">
        <v>2976</v>
      </c>
      <c r="C1167" t="s">
        <v>3</v>
      </c>
      <c r="D1167" s="2">
        <v>17500</v>
      </c>
      <c r="E1167" s="2">
        <v>12250</v>
      </c>
      <c r="F1167" t="s">
        <v>5</v>
      </c>
      <c r="G1167" t="s">
        <v>2977</v>
      </c>
      <c r="H1167" t="s">
        <v>2249</v>
      </c>
      <c r="I1167">
        <v>248.25291999999999</v>
      </c>
    </row>
    <row r="1168" spans="1:9" ht="66.3" customHeight="1">
      <c r="A1168" s="1" t="str">
        <f>"Chemistry 3903"</f>
        <v>Chemistry 3903</v>
      </c>
      <c r="B1168" t="s">
        <v>2978</v>
      </c>
      <c r="C1168" t="s">
        <v>3</v>
      </c>
      <c r="D1168" s="2">
        <v>15800</v>
      </c>
      <c r="E1168" s="2">
        <v>11060</v>
      </c>
      <c r="F1168" t="s">
        <v>5</v>
      </c>
      <c r="G1168" t="s">
        <v>2979</v>
      </c>
      <c r="H1168" t="s">
        <v>1229</v>
      </c>
      <c r="I1168">
        <v>174.20249000000001</v>
      </c>
    </row>
    <row r="1169" spans="1:9" ht="57.75" customHeight="1">
      <c r="A1169" s="1" t="str">
        <f>"Chemistry 3905"</f>
        <v>Chemistry 3905</v>
      </c>
      <c r="B1169" t="s">
        <v>2980</v>
      </c>
      <c r="C1169" t="s">
        <v>3</v>
      </c>
      <c r="D1169" s="2">
        <v>21000</v>
      </c>
      <c r="E1169" s="2">
        <v>14699.999999999998</v>
      </c>
      <c r="F1169" t="s">
        <v>5</v>
      </c>
      <c r="G1169" t="s">
        <v>2981</v>
      </c>
      <c r="H1169" t="s">
        <v>2466</v>
      </c>
      <c r="I1169">
        <v>128.16897</v>
      </c>
    </row>
    <row r="1170" spans="1:9" ht="60" customHeight="1">
      <c r="A1170" s="1" t="str">
        <f>"Chemistry 3906"</f>
        <v>Chemistry 3906</v>
      </c>
      <c r="B1170" t="s">
        <v>2982</v>
      </c>
      <c r="C1170" t="s">
        <v>3</v>
      </c>
      <c r="D1170" s="2">
        <v>21000</v>
      </c>
      <c r="E1170" s="2">
        <v>14699.999999999998</v>
      </c>
      <c r="F1170" t="s">
        <v>5</v>
      </c>
      <c r="G1170" t="s">
        <v>2983</v>
      </c>
      <c r="H1170" t="s">
        <v>2142</v>
      </c>
      <c r="I1170">
        <v>142.19555</v>
      </c>
    </row>
    <row r="1171" spans="1:9" ht="69" customHeight="1">
      <c r="A1171" s="1" t="str">
        <f>"Chemistry 3907"</f>
        <v>Chemistry 3907</v>
      </c>
      <c r="B1171" t="s">
        <v>2984</v>
      </c>
      <c r="C1171" t="s">
        <v>128</v>
      </c>
      <c r="D1171" s="2">
        <v>40300</v>
      </c>
      <c r="E1171" s="2">
        <v>24180</v>
      </c>
      <c r="F1171" t="s">
        <v>5</v>
      </c>
      <c r="G1171" t="s">
        <v>2985</v>
      </c>
      <c r="H1171" t="s">
        <v>2178</v>
      </c>
      <c r="I1171">
        <v>243.70500000000001</v>
      </c>
    </row>
    <row r="1172" spans="1:9" ht="94.35" customHeight="1">
      <c r="A1172" s="1" t="str">
        <f>"Chemistry 3909"</f>
        <v>Chemistry 3909</v>
      </c>
      <c r="B1172" t="s">
        <v>2987</v>
      </c>
      <c r="C1172" t="s">
        <v>3</v>
      </c>
      <c r="D1172" s="2">
        <v>14000</v>
      </c>
      <c r="E1172" s="2">
        <v>9800</v>
      </c>
      <c r="F1172" t="s">
        <v>5</v>
      </c>
      <c r="G1172" t="s">
        <v>2988</v>
      </c>
      <c r="H1172" t="s">
        <v>2951</v>
      </c>
      <c r="I1172">
        <v>218.27</v>
      </c>
    </row>
    <row r="1173" spans="1:9" ht="47.7" customHeight="1">
      <c r="A1173" s="1" t="str">
        <f>"Chemistry 3916"</f>
        <v>Chemistry 3916</v>
      </c>
      <c r="B1173" t="s">
        <v>2989</v>
      </c>
      <c r="C1173" t="s">
        <v>3</v>
      </c>
      <c r="D1173" s="2">
        <v>35000</v>
      </c>
      <c r="E1173" s="2">
        <v>21000</v>
      </c>
      <c r="F1173" t="s">
        <v>5</v>
      </c>
      <c r="G1173" t="s">
        <v>2990</v>
      </c>
      <c r="H1173" t="s">
        <v>2991</v>
      </c>
      <c r="I1173">
        <v>149.18162000000001</v>
      </c>
    </row>
    <row r="1174" spans="1:9" ht="55.05" customHeight="1">
      <c r="A1174" s="1" t="str">
        <f>"Chemistry 3917"</f>
        <v>Chemistry 3917</v>
      </c>
      <c r="B1174" t="s">
        <v>2992</v>
      </c>
      <c r="C1174" t="s">
        <v>3</v>
      </c>
      <c r="D1174" s="2">
        <v>28000</v>
      </c>
      <c r="E1174" s="2">
        <v>16800</v>
      </c>
      <c r="F1174" t="s">
        <v>5</v>
      </c>
      <c r="G1174" t="s">
        <v>2993</v>
      </c>
      <c r="H1174" t="s">
        <v>2994</v>
      </c>
      <c r="I1174">
        <v>198.21575999999999</v>
      </c>
    </row>
    <row r="1175" spans="1:9" ht="75.75" customHeight="1">
      <c r="A1175" s="1" t="str">
        <f>"Chemistry 3919"</f>
        <v>Chemistry 3919</v>
      </c>
      <c r="B1175" t="s">
        <v>2995</v>
      </c>
      <c r="C1175" t="s">
        <v>128</v>
      </c>
      <c r="D1175" s="2">
        <v>11400</v>
      </c>
      <c r="E1175" s="2">
        <v>7979.9999999999991</v>
      </c>
      <c r="F1175" t="s">
        <v>5</v>
      </c>
      <c r="G1175" t="s">
        <v>2996</v>
      </c>
      <c r="H1175" t="s">
        <v>2997</v>
      </c>
      <c r="I1175">
        <v>308.72714000000002</v>
      </c>
    </row>
    <row r="1176" spans="1:9" ht="78.599999999999994" customHeight="1">
      <c r="A1176" s="1" t="str">
        <f>"Chemistry 3920"</f>
        <v>Chemistry 3920</v>
      </c>
      <c r="B1176" t="s">
        <v>2998</v>
      </c>
      <c r="C1176" t="s">
        <v>128</v>
      </c>
      <c r="D1176" s="2">
        <v>11400</v>
      </c>
      <c r="E1176" s="2">
        <v>7979.9999999999991</v>
      </c>
      <c r="F1176" t="s">
        <v>5</v>
      </c>
      <c r="G1176" t="s">
        <v>2999</v>
      </c>
      <c r="H1176" t="s">
        <v>2997</v>
      </c>
      <c r="I1176">
        <v>308.72714000000002</v>
      </c>
    </row>
    <row r="1177" spans="1:9" ht="63.45" customHeight="1">
      <c r="A1177" s="1" t="str">
        <f>"Chemistry 3921"</f>
        <v>Chemistry 3921</v>
      </c>
      <c r="B1177" t="s">
        <v>3000</v>
      </c>
      <c r="C1177" t="s">
        <v>128</v>
      </c>
      <c r="D1177" s="2">
        <v>11400</v>
      </c>
      <c r="E1177" s="2">
        <v>7979.9999999999991</v>
      </c>
      <c r="F1177" t="s">
        <v>5</v>
      </c>
      <c r="G1177" t="s">
        <v>3001</v>
      </c>
      <c r="H1177" t="s">
        <v>2997</v>
      </c>
      <c r="I1177">
        <v>308.72714000000002</v>
      </c>
    </row>
    <row r="1178" spans="1:9" ht="65.7" customHeight="1">
      <c r="A1178" s="1" t="str">
        <f>"Chemistry 3924"</f>
        <v>Chemistry 3924</v>
      </c>
      <c r="B1178" t="s">
        <v>3002</v>
      </c>
      <c r="C1178" t="s">
        <v>270</v>
      </c>
      <c r="D1178" s="2">
        <v>11400</v>
      </c>
      <c r="E1178" s="2">
        <v>7979.9999999999991</v>
      </c>
      <c r="F1178" t="s">
        <v>5</v>
      </c>
      <c r="G1178" t="s">
        <v>3003</v>
      </c>
      <c r="H1178" t="s">
        <v>2733</v>
      </c>
      <c r="I1178">
        <v>331.20456000000001</v>
      </c>
    </row>
    <row r="1179" spans="1:9" ht="62.85" customHeight="1">
      <c r="A1179" s="1" t="str">
        <f>"Chemistry 3932"</f>
        <v>Chemistry 3932</v>
      </c>
      <c r="B1179" t="s">
        <v>3004</v>
      </c>
      <c r="C1179" t="s">
        <v>270</v>
      </c>
      <c r="D1179" s="2">
        <v>19300</v>
      </c>
      <c r="E1179" s="2">
        <v>13510</v>
      </c>
      <c r="F1179" t="s">
        <v>5</v>
      </c>
      <c r="G1179" t="s">
        <v>3005</v>
      </c>
      <c r="H1179" t="s">
        <v>687</v>
      </c>
      <c r="I1179">
        <v>283.62508000000003</v>
      </c>
    </row>
    <row r="1180" spans="1:9" ht="65.099999999999994" customHeight="1">
      <c r="A1180" s="1" t="str">
        <f>"Chemistry 3933"</f>
        <v>Chemistry 3933</v>
      </c>
      <c r="B1180" t="s">
        <v>3006</v>
      </c>
      <c r="C1180" t="s">
        <v>498</v>
      </c>
      <c r="D1180" s="2">
        <v>12300</v>
      </c>
      <c r="E1180" s="2">
        <v>8610</v>
      </c>
      <c r="F1180" t="s">
        <v>5</v>
      </c>
      <c r="G1180" t="s">
        <v>3007</v>
      </c>
      <c r="H1180" t="s">
        <v>2879</v>
      </c>
      <c r="I1180">
        <v>290.59289999999999</v>
      </c>
    </row>
    <row r="1181" spans="1:9" ht="65.099999999999994" customHeight="1">
      <c r="A1181" s="1" t="str">
        <f>"Chemistry 3934"</f>
        <v>Chemistry 3934</v>
      </c>
      <c r="B1181" t="s">
        <v>3008</v>
      </c>
      <c r="C1181" t="s">
        <v>128</v>
      </c>
      <c r="D1181" s="2">
        <v>14000</v>
      </c>
      <c r="E1181" s="2">
        <v>9800</v>
      </c>
      <c r="F1181" t="s">
        <v>5</v>
      </c>
      <c r="G1181" t="s">
        <v>3009</v>
      </c>
      <c r="H1181" t="s">
        <v>3010</v>
      </c>
      <c r="I1181">
        <v>230.69460000000001</v>
      </c>
    </row>
    <row r="1182" spans="1:9" ht="94.95" customHeight="1">
      <c r="A1182" s="1" t="str">
        <f>"Chemistry 3939"</f>
        <v>Chemistry 3939</v>
      </c>
      <c r="B1182" t="s">
        <v>3011</v>
      </c>
      <c r="C1182" t="s">
        <v>3</v>
      </c>
      <c r="D1182" s="2">
        <v>28000</v>
      </c>
      <c r="E1182" s="2">
        <v>16800</v>
      </c>
      <c r="F1182" t="s">
        <v>5</v>
      </c>
      <c r="G1182" t="s">
        <v>3012</v>
      </c>
      <c r="H1182" t="s">
        <v>36</v>
      </c>
      <c r="I1182">
        <v>291.3886</v>
      </c>
    </row>
    <row r="1183" spans="1:9" ht="71.849999999999994" customHeight="1">
      <c r="A1183" s="1" t="str">
        <f>"Chemistry 3940"</f>
        <v>Chemistry 3940</v>
      </c>
      <c r="B1183" t="s">
        <v>3013</v>
      </c>
      <c r="C1183" t="s">
        <v>3</v>
      </c>
      <c r="D1183" s="2">
        <v>17500</v>
      </c>
      <c r="E1183" s="2">
        <v>12250</v>
      </c>
      <c r="F1183" t="s">
        <v>5</v>
      </c>
      <c r="G1183" t="s">
        <v>3014</v>
      </c>
      <c r="H1183" t="s">
        <v>1173</v>
      </c>
      <c r="I1183">
        <v>166.1772</v>
      </c>
    </row>
    <row r="1184" spans="1:9" ht="68.55" customHeight="1">
      <c r="A1184" s="1" t="str">
        <f>"Chemistry 3941"</f>
        <v>Chemistry 3941</v>
      </c>
      <c r="B1184" t="s">
        <v>3015</v>
      </c>
      <c r="C1184" t="s">
        <v>3</v>
      </c>
      <c r="D1184" s="2">
        <v>17500</v>
      </c>
      <c r="E1184" s="2">
        <v>12250</v>
      </c>
      <c r="F1184" t="s">
        <v>5</v>
      </c>
      <c r="G1184" t="s">
        <v>3016</v>
      </c>
      <c r="H1184" t="s">
        <v>1325</v>
      </c>
      <c r="I1184">
        <v>154.16649000000001</v>
      </c>
    </row>
    <row r="1185" spans="1:9" ht="83.7" customHeight="1">
      <c r="A1185" s="1" t="str">
        <f>"Chemistry 3943"</f>
        <v>Chemistry 3943</v>
      </c>
      <c r="B1185" t="s">
        <v>3018</v>
      </c>
      <c r="C1185" t="s">
        <v>128</v>
      </c>
      <c r="D1185" s="2">
        <v>22800</v>
      </c>
      <c r="E1185" s="2">
        <v>15959.999999999998</v>
      </c>
      <c r="F1185" t="s">
        <v>5</v>
      </c>
      <c r="G1185" t="s">
        <v>3019</v>
      </c>
      <c r="H1185" t="s">
        <v>2426</v>
      </c>
      <c r="I1185">
        <v>291.69992000000002</v>
      </c>
    </row>
    <row r="1186" spans="1:9" ht="71.849999999999994" customHeight="1">
      <c r="A1186" s="1" t="str">
        <f>"Chemistry 3947"</f>
        <v>Chemistry 3947</v>
      </c>
      <c r="B1186" t="s">
        <v>3020</v>
      </c>
      <c r="C1186" t="s">
        <v>3</v>
      </c>
      <c r="D1186" s="2">
        <v>14000</v>
      </c>
      <c r="E1186" s="2">
        <v>9800</v>
      </c>
      <c r="F1186" t="s">
        <v>5</v>
      </c>
      <c r="G1186" t="s">
        <v>3021</v>
      </c>
      <c r="H1186" t="s">
        <v>1235</v>
      </c>
      <c r="I1186">
        <v>170.16589999999999</v>
      </c>
    </row>
    <row r="1187" spans="1:9" ht="83.1" customHeight="1">
      <c r="A1187" s="1" t="str">
        <f>"Chemistry 3948"</f>
        <v>Chemistry 3948</v>
      </c>
      <c r="B1187" t="s">
        <v>3022</v>
      </c>
      <c r="C1187" t="s">
        <v>3</v>
      </c>
      <c r="D1187" s="2">
        <v>17500</v>
      </c>
      <c r="E1187" s="2">
        <v>12250</v>
      </c>
      <c r="F1187" t="s">
        <v>5</v>
      </c>
      <c r="G1187" t="s">
        <v>3023</v>
      </c>
      <c r="H1187" t="s">
        <v>2973</v>
      </c>
      <c r="I1187">
        <v>208.18906000000001</v>
      </c>
    </row>
    <row r="1188" spans="1:9" ht="83.1" customHeight="1">
      <c r="A1188" s="1" t="str">
        <f>"Chemistry 3951"</f>
        <v>Chemistry 3951</v>
      </c>
      <c r="B1188" t="s">
        <v>3025</v>
      </c>
      <c r="C1188" t="s">
        <v>3</v>
      </c>
      <c r="D1188" s="2">
        <v>17500</v>
      </c>
      <c r="E1188" s="2">
        <v>12250</v>
      </c>
      <c r="F1188" t="s">
        <v>5</v>
      </c>
      <c r="G1188" t="s">
        <v>3026</v>
      </c>
      <c r="H1188" t="s">
        <v>2249</v>
      </c>
      <c r="I1188">
        <v>248.25291999999999</v>
      </c>
    </row>
    <row r="1189" spans="1:9" ht="83.1" customHeight="1">
      <c r="A1189" s="1" t="str">
        <f>"Chemistry 3952"</f>
        <v>Chemistry 3952</v>
      </c>
      <c r="B1189" t="s">
        <v>3027</v>
      </c>
      <c r="C1189" t="s">
        <v>3</v>
      </c>
      <c r="D1189" s="2">
        <v>17500</v>
      </c>
      <c r="E1189" s="2">
        <v>12250</v>
      </c>
      <c r="F1189" t="s">
        <v>5</v>
      </c>
      <c r="G1189" t="s">
        <v>3028</v>
      </c>
      <c r="H1189" t="s">
        <v>3029</v>
      </c>
      <c r="I1189">
        <v>278.27890000000002</v>
      </c>
    </row>
    <row r="1190" spans="1:9" ht="67.95" customHeight="1">
      <c r="A1190" s="1" t="str">
        <f>"Chemistry 3953"</f>
        <v>Chemistry 3953</v>
      </c>
      <c r="B1190" t="s">
        <v>3030</v>
      </c>
      <c r="C1190" t="s">
        <v>270</v>
      </c>
      <c r="D1190" s="2">
        <v>22800</v>
      </c>
      <c r="E1190" s="2">
        <v>15959.999999999998</v>
      </c>
      <c r="F1190" t="s">
        <v>5</v>
      </c>
      <c r="G1190" t="s">
        <v>3031</v>
      </c>
      <c r="H1190" t="s">
        <v>3032</v>
      </c>
      <c r="I1190">
        <v>211.08897999999999</v>
      </c>
    </row>
    <row r="1191" spans="1:9" ht="52.2" customHeight="1">
      <c r="A1191" s="1" t="str">
        <f>"Chemistry 3954"</f>
        <v>Chemistry 3954</v>
      </c>
      <c r="B1191" t="s">
        <v>3033</v>
      </c>
      <c r="C1191" t="s">
        <v>128</v>
      </c>
      <c r="D1191" s="2">
        <v>17500</v>
      </c>
      <c r="E1191" s="2">
        <v>12250</v>
      </c>
      <c r="F1191" t="s">
        <v>5</v>
      </c>
      <c r="G1191" t="s">
        <v>3034</v>
      </c>
      <c r="H1191" t="s">
        <v>3035</v>
      </c>
      <c r="I1191">
        <v>135.63505000000001</v>
      </c>
    </row>
    <row r="1192" spans="1:9" ht="52.2" customHeight="1">
      <c r="A1192" s="1" t="str">
        <f>"Chemistry 3955"</f>
        <v>Chemistry 3955</v>
      </c>
      <c r="B1192" t="s">
        <v>3036</v>
      </c>
      <c r="C1192" t="s">
        <v>128</v>
      </c>
      <c r="D1192" s="2">
        <v>17500</v>
      </c>
      <c r="E1192" s="2">
        <v>12250</v>
      </c>
      <c r="F1192" t="s">
        <v>5</v>
      </c>
      <c r="G1192" t="s">
        <v>3037</v>
      </c>
      <c r="H1192" t="s">
        <v>2231</v>
      </c>
      <c r="I1192">
        <v>149.66163</v>
      </c>
    </row>
    <row r="1193" spans="1:9" ht="82.5" customHeight="1">
      <c r="A1193" s="1" t="str">
        <f>"Chemistry 3956"</f>
        <v>Chemistry 3956</v>
      </c>
      <c r="B1193" t="s">
        <v>3038</v>
      </c>
      <c r="C1193" t="s">
        <v>3</v>
      </c>
      <c r="D1193" s="2">
        <v>14000</v>
      </c>
      <c r="E1193" s="2">
        <v>9800</v>
      </c>
      <c r="F1193" t="s">
        <v>5</v>
      </c>
      <c r="G1193" t="s">
        <v>3039</v>
      </c>
      <c r="H1193" t="s">
        <v>2954</v>
      </c>
      <c r="I1193">
        <v>233.28134</v>
      </c>
    </row>
    <row r="1194" spans="1:9" ht="69" customHeight="1">
      <c r="A1194" s="1" t="str">
        <f>"Chemistry 3957"</f>
        <v>Chemistry 3957</v>
      </c>
      <c r="B1194" t="s">
        <v>3040</v>
      </c>
      <c r="C1194" t="s">
        <v>3</v>
      </c>
      <c r="D1194" s="2">
        <v>12300</v>
      </c>
      <c r="E1194" s="2">
        <v>8610</v>
      </c>
      <c r="F1194" t="s">
        <v>5</v>
      </c>
      <c r="G1194" t="s">
        <v>3041</v>
      </c>
      <c r="H1194" t="s">
        <v>2921</v>
      </c>
      <c r="I1194">
        <v>189.22878</v>
      </c>
    </row>
    <row r="1195" spans="1:9" ht="46.05" customHeight="1">
      <c r="A1195" s="1" t="str">
        <f>"Chemistry 3961"</f>
        <v>Chemistry 3961</v>
      </c>
      <c r="B1195" t="s">
        <v>3042</v>
      </c>
      <c r="C1195" t="s">
        <v>128</v>
      </c>
      <c r="D1195" s="2">
        <v>35000</v>
      </c>
      <c r="E1195" s="2">
        <v>21000</v>
      </c>
      <c r="F1195" t="s">
        <v>5</v>
      </c>
      <c r="G1195" t="s">
        <v>3043</v>
      </c>
      <c r="H1195" t="s">
        <v>3044</v>
      </c>
      <c r="I1195">
        <v>147.64574999999999</v>
      </c>
    </row>
    <row r="1196" spans="1:9" ht="55.5" customHeight="1">
      <c r="A1196" s="1" t="str">
        <f>"Chemistry 3969"</f>
        <v>Chemistry 3969</v>
      </c>
      <c r="B1196" t="s">
        <v>3045</v>
      </c>
      <c r="C1196" t="s">
        <v>498</v>
      </c>
      <c r="D1196" s="2">
        <v>14000</v>
      </c>
      <c r="E1196" s="2">
        <v>9800</v>
      </c>
      <c r="F1196" t="s">
        <v>5</v>
      </c>
      <c r="G1196" t="s">
        <v>3046</v>
      </c>
      <c r="H1196" t="s">
        <v>2871</v>
      </c>
      <c r="I1196">
        <v>316.65499999999997</v>
      </c>
    </row>
    <row r="1197" spans="1:9" ht="52.2" customHeight="1">
      <c r="A1197" s="1" t="str">
        <f>"Chemistry 3970"</f>
        <v>Chemistry 3970</v>
      </c>
      <c r="B1197" t="s">
        <v>3047</v>
      </c>
      <c r="C1197" t="s">
        <v>270</v>
      </c>
      <c r="D1197" s="2">
        <v>14000</v>
      </c>
      <c r="E1197" s="2">
        <v>9800</v>
      </c>
      <c r="F1197" t="s">
        <v>5</v>
      </c>
      <c r="G1197" t="s">
        <v>3048</v>
      </c>
      <c r="H1197" t="s">
        <v>1385</v>
      </c>
      <c r="I1197">
        <v>265.18272000000002</v>
      </c>
    </row>
    <row r="1198" spans="1:9" ht="58.95" customHeight="1">
      <c r="A1198" s="1" t="str">
        <f>"Chemistry 3972"</f>
        <v>Chemistry 3972</v>
      </c>
      <c r="B1198" t="s">
        <v>3049</v>
      </c>
      <c r="C1198" t="s">
        <v>270</v>
      </c>
      <c r="D1198" s="2">
        <v>19300</v>
      </c>
      <c r="E1198" s="2">
        <v>13510</v>
      </c>
      <c r="F1198" t="s">
        <v>5</v>
      </c>
      <c r="G1198" t="s">
        <v>3050</v>
      </c>
      <c r="H1198" t="s">
        <v>687</v>
      </c>
      <c r="I1198">
        <v>283.62508000000003</v>
      </c>
    </row>
    <row r="1199" spans="1:9" ht="82.5" customHeight="1">
      <c r="A1199" s="1" t="str">
        <f>"Chemistry 3973"</f>
        <v>Chemistry 3973</v>
      </c>
      <c r="B1199" t="s">
        <v>3051</v>
      </c>
      <c r="C1199" t="s">
        <v>270</v>
      </c>
      <c r="D1199" s="2">
        <v>19300</v>
      </c>
      <c r="E1199" s="2">
        <v>13510</v>
      </c>
      <c r="F1199" t="s">
        <v>5</v>
      </c>
      <c r="G1199" t="s">
        <v>3052</v>
      </c>
      <c r="H1199" t="s">
        <v>589</v>
      </c>
      <c r="I1199">
        <v>317.17797999999999</v>
      </c>
    </row>
    <row r="1200" spans="1:9" ht="55.5" customHeight="1">
      <c r="A1200" s="1" t="str">
        <f>"Chemistry 3976"</f>
        <v>Chemistry 3976</v>
      </c>
      <c r="B1200" t="s">
        <v>3053</v>
      </c>
      <c r="C1200" t="s">
        <v>3</v>
      </c>
      <c r="D1200" s="2">
        <v>28000</v>
      </c>
      <c r="E1200" s="2">
        <v>16800</v>
      </c>
      <c r="F1200" t="s">
        <v>5</v>
      </c>
      <c r="G1200" t="s">
        <v>3054</v>
      </c>
      <c r="H1200" t="s">
        <v>2060</v>
      </c>
      <c r="I1200">
        <v>164.16131999999999</v>
      </c>
    </row>
    <row r="1201" spans="1:9" ht="55.5" customHeight="1">
      <c r="A1201" s="1" t="str">
        <f>"Chemistry 3977"</f>
        <v>Chemistry 3977</v>
      </c>
      <c r="B1201" t="s">
        <v>3055</v>
      </c>
      <c r="C1201" t="s">
        <v>3</v>
      </c>
      <c r="D1201" s="2">
        <v>28000</v>
      </c>
      <c r="E1201" s="2">
        <v>16800</v>
      </c>
      <c r="F1201" t="s">
        <v>5</v>
      </c>
      <c r="G1201" t="s">
        <v>3056</v>
      </c>
      <c r="H1201" t="s">
        <v>2060</v>
      </c>
      <c r="I1201">
        <v>164.16130999999999</v>
      </c>
    </row>
    <row r="1202" spans="1:9" ht="61.8" customHeight="1">
      <c r="A1202" s="1" t="str">
        <f>"Chemistry 3980"</f>
        <v>Chemistry 3980</v>
      </c>
      <c r="B1202" t="s">
        <v>3057</v>
      </c>
      <c r="C1202" t="s">
        <v>3</v>
      </c>
      <c r="D1202" s="2">
        <v>15800</v>
      </c>
      <c r="E1202" s="2">
        <v>11060</v>
      </c>
      <c r="F1202" t="s">
        <v>5</v>
      </c>
      <c r="G1202" t="s">
        <v>3058</v>
      </c>
      <c r="H1202" t="s">
        <v>1526</v>
      </c>
      <c r="I1202">
        <v>192.26084</v>
      </c>
    </row>
    <row r="1203" spans="1:9" ht="78.599999999999994" customHeight="1">
      <c r="A1203" s="1" t="str">
        <f>"Chemistry 3985"</f>
        <v>Chemistry 3985</v>
      </c>
      <c r="B1203" t="s">
        <v>3059</v>
      </c>
      <c r="C1203" t="s">
        <v>3</v>
      </c>
      <c r="D1203" s="2">
        <v>15800</v>
      </c>
      <c r="E1203" s="2">
        <v>11060</v>
      </c>
      <c r="F1203" t="s">
        <v>5</v>
      </c>
      <c r="G1203" t="s">
        <v>3060</v>
      </c>
      <c r="H1203" t="s">
        <v>1197</v>
      </c>
      <c r="I1203">
        <v>220.19976</v>
      </c>
    </row>
    <row r="1204" spans="1:9" ht="98.25" customHeight="1">
      <c r="A1204" s="1" t="str">
        <f>"Chemistry 3987"</f>
        <v>Chemistry 3987</v>
      </c>
      <c r="B1204" t="s">
        <v>3061</v>
      </c>
      <c r="C1204" t="s">
        <v>3</v>
      </c>
      <c r="D1204" s="2">
        <v>15800</v>
      </c>
      <c r="E1204" s="2">
        <v>11060</v>
      </c>
      <c r="F1204" t="s">
        <v>5</v>
      </c>
      <c r="G1204" t="s">
        <v>3062</v>
      </c>
      <c r="H1204" t="s">
        <v>2247</v>
      </c>
      <c r="I1204">
        <v>234.22633999999999</v>
      </c>
    </row>
    <row r="1205" spans="1:9" ht="57.75" customHeight="1">
      <c r="A1205" s="1" t="str">
        <f>"Chemistry 3988"</f>
        <v>Chemistry 3988</v>
      </c>
      <c r="B1205" t="s">
        <v>3063</v>
      </c>
      <c r="C1205" t="s">
        <v>3</v>
      </c>
      <c r="D1205" s="2">
        <v>15800</v>
      </c>
      <c r="E1205" s="2">
        <v>11060</v>
      </c>
      <c r="F1205" t="s">
        <v>5</v>
      </c>
      <c r="G1205" t="s">
        <v>3064</v>
      </c>
      <c r="H1205" t="s">
        <v>2247</v>
      </c>
      <c r="I1205">
        <v>234.22633999999999</v>
      </c>
    </row>
    <row r="1206" spans="1:9" ht="58.35" customHeight="1">
      <c r="A1206" s="1" t="str">
        <f>"Chemistry 3989"</f>
        <v>Chemistry 3989</v>
      </c>
      <c r="B1206" t="s">
        <v>3065</v>
      </c>
      <c r="C1206" t="s">
        <v>3</v>
      </c>
      <c r="D1206" s="2">
        <v>15800</v>
      </c>
      <c r="E1206" s="2">
        <v>11060</v>
      </c>
      <c r="F1206" t="s">
        <v>5</v>
      </c>
      <c r="G1206" t="s">
        <v>3066</v>
      </c>
      <c r="H1206" t="s">
        <v>2247</v>
      </c>
      <c r="I1206">
        <v>234.22633999999999</v>
      </c>
    </row>
    <row r="1207" spans="1:9" ht="75.3" customHeight="1">
      <c r="A1207" s="1" t="str">
        <f>"Chemistry 3991"</f>
        <v>Chemistry 3991</v>
      </c>
      <c r="B1207" t="s">
        <v>3067</v>
      </c>
      <c r="C1207" t="s">
        <v>3</v>
      </c>
      <c r="D1207" s="2">
        <v>15800</v>
      </c>
      <c r="E1207" s="2">
        <v>11060</v>
      </c>
      <c r="F1207" t="s">
        <v>5</v>
      </c>
      <c r="G1207" t="s">
        <v>3068</v>
      </c>
      <c r="H1207" t="s">
        <v>1846</v>
      </c>
      <c r="I1207">
        <v>184.19247999999999</v>
      </c>
    </row>
    <row r="1208" spans="1:9" ht="86.55" customHeight="1">
      <c r="A1208" s="1" t="str">
        <f>"Chemistry 3992"</f>
        <v>Chemistry 3992</v>
      </c>
      <c r="B1208" t="s">
        <v>3069</v>
      </c>
      <c r="C1208" t="s">
        <v>3</v>
      </c>
      <c r="D1208" s="2">
        <v>14000</v>
      </c>
      <c r="E1208" s="2">
        <v>9800</v>
      </c>
      <c r="F1208" t="s">
        <v>5</v>
      </c>
      <c r="G1208" t="s">
        <v>3070</v>
      </c>
      <c r="H1208" t="s">
        <v>2247</v>
      </c>
      <c r="I1208">
        <v>234.22633999999999</v>
      </c>
    </row>
    <row r="1209" spans="1:9" ht="86.55" customHeight="1">
      <c r="A1209" s="1" t="str">
        <f>"Chemistry 3993"</f>
        <v>Chemistry 3993</v>
      </c>
      <c r="B1209" t="s">
        <v>3071</v>
      </c>
      <c r="C1209" t="s">
        <v>3</v>
      </c>
      <c r="D1209" s="2">
        <v>14000</v>
      </c>
      <c r="E1209" s="2">
        <v>9800</v>
      </c>
      <c r="F1209" t="s">
        <v>5</v>
      </c>
      <c r="G1209" t="s">
        <v>3072</v>
      </c>
      <c r="H1209" t="s">
        <v>2247</v>
      </c>
      <c r="I1209">
        <v>234.22633999999999</v>
      </c>
    </row>
    <row r="1210" spans="1:9" ht="93.75" customHeight="1">
      <c r="A1210" s="1" t="str">
        <f>"Chemistry 3995"</f>
        <v>Chemistry 3995</v>
      </c>
      <c r="B1210" t="s">
        <v>3073</v>
      </c>
      <c r="C1210" t="s">
        <v>3</v>
      </c>
      <c r="D1210" s="2">
        <v>14000</v>
      </c>
      <c r="E1210" s="2">
        <v>9800</v>
      </c>
      <c r="F1210" t="s">
        <v>5</v>
      </c>
      <c r="G1210" t="s">
        <v>3074</v>
      </c>
      <c r="H1210" t="s">
        <v>1197</v>
      </c>
      <c r="I1210">
        <v>220.19976</v>
      </c>
    </row>
    <row r="1211" spans="1:9" ht="82.05" customHeight="1">
      <c r="A1211" s="1" t="str">
        <f>"Chemistry 3998"</f>
        <v>Chemistry 3998</v>
      </c>
      <c r="B1211" t="s">
        <v>3075</v>
      </c>
      <c r="C1211" t="s">
        <v>3</v>
      </c>
      <c r="D1211" s="2">
        <v>28000</v>
      </c>
      <c r="E1211" s="2">
        <v>16800</v>
      </c>
      <c r="F1211" t="s">
        <v>5</v>
      </c>
      <c r="G1211" t="s">
        <v>3076</v>
      </c>
      <c r="H1211" t="s">
        <v>296</v>
      </c>
      <c r="I1211">
        <v>324.84559999999999</v>
      </c>
    </row>
    <row r="1212" spans="1:9" ht="90.45" customHeight="1">
      <c r="A1212" s="1" t="str">
        <f>"Chemistry 3999"</f>
        <v>Chemistry 3999</v>
      </c>
      <c r="B1212" t="s">
        <v>3077</v>
      </c>
      <c r="C1212" t="s">
        <v>3</v>
      </c>
      <c r="D1212" s="2">
        <v>28000</v>
      </c>
      <c r="E1212" s="2">
        <v>16800</v>
      </c>
      <c r="F1212" t="s">
        <v>5</v>
      </c>
      <c r="G1212" t="s">
        <v>3078</v>
      </c>
      <c r="H1212" t="s">
        <v>296</v>
      </c>
      <c r="I1212">
        <v>324.84559000000002</v>
      </c>
    </row>
    <row r="1213" spans="1:9" ht="84.3" customHeight="1">
      <c r="A1213" s="1" t="str">
        <f>"Chemistry 4002"</f>
        <v>Chemistry 4002</v>
      </c>
      <c r="B1213" t="s">
        <v>3079</v>
      </c>
      <c r="C1213" t="s">
        <v>3</v>
      </c>
      <c r="D1213" s="2">
        <v>17500</v>
      </c>
      <c r="E1213" s="2">
        <v>12250</v>
      </c>
      <c r="F1213" t="s">
        <v>5</v>
      </c>
      <c r="G1213" t="s">
        <v>3080</v>
      </c>
      <c r="H1213" t="s">
        <v>1482</v>
      </c>
      <c r="I1213">
        <v>168.19308000000001</v>
      </c>
    </row>
    <row r="1214" spans="1:9" ht="75.3" customHeight="1">
      <c r="A1214" s="1" t="str">
        <f>"Chemistry 4003"</f>
        <v>Chemistry 4003</v>
      </c>
      <c r="B1214" t="s">
        <v>3081</v>
      </c>
      <c r="C1214" t="s">
        <v>3</v>
      </c>
      <c r="D1214" s="2">
        <v>17500</v>
      </c>
      <c r="E1214" s="2">
        <v>12250</v>
      </c>
      <c r="F1214" t="s">
        <v>5</v>
      </c>
      <c r="G1214" t="s">
        <v>3082</v>
      </c>
      <c r="H1214" t="s">
        <v>12</v>
      </c>
      <c r="I1214">
        <v>196.20318</v>
      </c>
    </row>
    <row r="1215" spans="1:9" ht="83.1" customHeight="1">
      <c r="A1215" s="1" t="str">
        <f>"Chemistry 4008"</f>
        <v>Chemistry 4008</v>
      </c>
      <c r="B1215" t="s">
        <v>3083</v>
      </c>
      <c r="C1215" t="s">
        <v>3</v>
      </c>
      <c r="D1215" s="2">
        <v>17500</v>
      </c>
      <c r="E1215" s="2">
        <v>12250</v>
      </c>
      <c r="F1215" t="s">
        <v>5</v>
      </c>
      <c r="G1215" t="s">
        <v>3084</v>
      </c>
      <c r="H1215" t="s">
        <v>3085</v>
      </c>
      <c r="I1215">
        <v>194.16247999999999</v>
      </c>
    </row>
    <row r="1216" spans="1:9" ht="83.1" customHeight="1">
      <c r="A1216" s="1" t="str">
        <f>"Chemistry 4009"</f>
        <v>Chemistry 4009</v>
      </c>
      <c r="B1216" t="s">
        <v>3086</v>
      </c>
      <c r="C1216" t="s">
        <v>3</v>
      </c>
      <c r="D1216" s="2">
        <v>17500</v>
      </c>
      <c r="E1216" s="2">
        <v>12250</v>
      </c>
      <c r="F1216" t="s">
        <v>5</v>
      </c>
      <c r="G1216" t="s">
        <v>3087</v>
      </c>
      <c r="H1216" t="s">
        <v>3088</v>
      </c>
      <c r="I1216">
        <v>210.16188</v>
      </c>
    </row>
    <row r="1217" spans="1:9" ht="83.1" customHeight="1">
      <c r="A1217" s="1" t="str">
        <f>"Chemistry 4010"</f>
        <v>Chemistry 4010</v>
      </c>
      <c r="B1217" t="s">
        <v>3089</v>
      </c>
      <c r="C1217" t="s">
        <v>3</v>
      </c>
      <c r="D1217" s="2">
        <v>17500</v>
      </c>
      <c r="E1217" s="2">
        <v>12250</v>
      </c>
      <c r="F1217" t="s">
        <v>5</v>
      </c>
      <c r="G1217" t="s">
        <v>3090</v>
      </c>
      <c r="H1217" t="s">
        <v>3024</v>
      </c>
      <c r="I1217">
        <v>222.21564000000001</v>
      </c>
    </row>
    <row r="1218" spans="1:9" ht="83.1" customHeight="1">
      <c r="A1218" s="1" t="str">
        <f>"Chemistry 4012"</f>
        <v>Chemistry 4012</v>
      </c>
      <c r="B1218" t="s">
        <v>3091</v>
      </c>
      <c r="C1218" t="s">
        <v>3</v>
      </c>
      <c r="D1218" s="2">
        <v>17500</v>
      </c>
      <c r="E1218" s="2">
        <v>12250</v>
      </c>
      <c r="F1218" t="s">
        <v>5</v>
      </c>
      <c r="G1218" t="s">
        <v>3092</v>
      </c>
      <c r="H1218" t="s">
        <v>3088</v>
      </c>
      <c r="I1218">
        <v>210.16188</v>
      </c>
    </row>
    <row r="1219" spans="1:9" ht="94.35" customHeight="1">
      <c r="A1219" s="1" t="str">
        <f>"Chemistry 4013"</f>
        <v>Chemistry 4013</v>
      </c>
      <c r="B1219" t="s">
        <v>3093</v>
      </c>
      <c r="C1219" t="s">
        <v>3</v>
      </c>
      <c r="D1219" s="2">
        <v>17500</v>
      </c>
      <c r="E1219" s="2">
        <v>12250</v>
      </c>
      <c r="F1219" t="s">
        <v>5</v>
      </c>
      <c r="G1219" t="s">
        <v>3094</v>
      </c>
      <c r="H1219" t="s">
        <v>2973</v>
      </c>
      <c r="I1219">
        <v>208.18906000000001</v>
      </c>
    </row>
    <row r="1220" spans="1:9" ht="79.2" customHeight="1">
      <c r="A1220" s="1" t="str">
        <f>"Chemistry 4014"</f>
        <v>Chemistry 4014</v>
      </c>
      <c r="B1220" t="s">
        <v>3095</v>
      </c>
      <c r="C1220" t="s">
        <v>3</v>
      </c>
      <c r="D1220" s="2">
        <v>17500</v>
      </c>
      <c r="E1220" s="2">
        <v>12250</v>
      </c>
      <c r="F1220" t="s">
        <v>5</v>
      </c>
      <c r="G1220" t="s">
        <v>3096</v>
      </c>
      <c r="H1220" t="s">
        <v>3024</v>
      </c>
      <c r="I1220">
        <v>222.21564000000001</v>
      </c>
    </row>
    <row r="1221" spans="1:9" ht="106.2" customHeight="1">
      <c r="A1221" s="1" t="str">
        <f>"Chemistry 4015"</f>
        <v>Chemistry 4015</v>
      </c>
      <c r="B1221" t="s">
        <v>3097</v>
      </c>
      <c r="C1221" t="s">
        <v>3</v>
      </c>
      <c r="D1221" s="2">
        <v>17500</v>
      </c>
      <c r="E1221" s="2">
        <v>12250</v>
      </c>
      <c r="F1221" t="s">
        <v>5</v>
      </c>
      <c r="G1221" t="s">
        <v>3098</v>
      </c>
      <c r="H1221" t="s">
        <v>2247</v>
      </c>
      <c r="I1221">
        <v>234.22633999999999</v>
      </c>
    </row>
    <row r="1222" spans="1:9" ht="74.7" customHeight="1">
      <c r="A1222" s="1" t="str">
        <f>"Chemistry 4018"</f>
        <v>Chemistry 4018</v>
      </c>
      <c r="B1222" t="s">
        <v>3099</v>
      </c>
      <c r="C1222" t="s">
        <v>3</v>
      </c>
      <c r="D1222" s="2">
        <v>19300</v>
      </c>
      <c r="E1222" s="2">
        <v>13510</v>
      </c>
      <c r="F1222" t="s">
        <v>5</v>
      </c>
      <c r="G1222" t="s">
        <v>3100</v>
      </c>
      <c r="H1222" t="s">
        <v>1585</v>
      </c>
      <c r="I1222">
        <v>177.19982999999999</v>
      </c>
    </row>
    <row r="1223" spans="1:9" ht="72.45" customHeight="1">
      <c r="A1223" s="1" t="str">
        <f>"Chemistry 4020"</f>
        <v>Chemistry 4020</v>
      </c>
      <c r="B1223" t="s">
        <v>3101</v>
      </c>
      <c r="C1223" t="s">
        <v>128</v>
      </c>
      <c r="D1223" s="2">
        <v>40300</v>
      </c>
      <c r="E1223" s="2">
        <v>24180</v>
      </c>
      <c r="F1223" t="s">
        <v>5</v>
      </c>
      <c r="G1223" t="s">
        <v>3102</v>
      </c>
      <c r="H1223" t="s">
        <v>2178</v>
      </c>
      <c r="I1223">
        <v>243.70500000000001</v>
      </c>
    </row>
    <row r="1224" spans="1:9" ht="49.35" customHeight="1">
      <c r="A1224" s="1" t="str">
        <f>"Chemistry 4021"</f>
        <v>Chemistry 4021</v>
      </c>
      <c r="B1224" t="s">
        <v>3103</v>
      </c>
      <c r="C1224" t="s">
        <v>128</v>
      </c>
      <c r="D1224" s="2">
        <v>17500</v>
      </c>
      <c r="E1224" s="2">
        <v>12250</v>
      </c>
      <c r="F1224" t="s">
        <v>5</v>
      </c>
      <c r="G1224" t="s">
        <v>3104</v>
      </c>
      <c r="H1224" t="s">
        <v>3105</v>
      </c>
      <c r="I1224">
        <v>170.59628000000001</v>
      </c>
    </row>
    <row r="1225" spans="1:9" ht="82.5" customHeight="1">
      <c r="A1225" s="1" t="str">
        <f>"Chemistry 4031"</f>
        <v>Chemistry 4031</v>
      </c>
      <c r="B1225" t="s">
        <v>3106</v>
      </c>
      <c r="C1225" t="s">
        <v>3</v>
      </c>
      <c r="D1225" s="2">
        <v>14000</v>
      </c>
      <c r="E1225" s="2">
        <v>9800</v>
      </c>
      <c r="F1225" t="s">
        <v>5</v>
      </c>
      <c r="G1225" t="s">
        <v>3107</v>
      </c>
      <c r="H1225" t="s">
        <v>2954</v>
      </c>
      <c r="I1225">
        <v>233.28134</v>
      </c>
    </row>
    <row r="1226" spans="1:9" ht="91.05" customHeight="1">
      <c r="A1226" s="1" t="str">
        <f>"Chemistry 4035"</f>
        <v>Chemistry 4035</v>
      </c>
      <c r="B1226" t="s">
        <v>3108</v>
      </c>
      <c r="C1226" t="s">
        <v>3</v>
      </c>
      <c r="D1226" s="2">
        <v>14000</v>
      </c>
      <c r="E1226" s="2">
        <v>9800</v>
      </c>
      <c r="F1226" t="s">
        <v>5</v>
      </c>
      <c r="G1226" t="s">
        <v>3109</v>
      </c>
      <c r="H1226" t="s">
        <v>2922</v>
      </c>
      <c r="I1226">
        <v>219.25476</v>
      </c>
    </row>
    <row r="1227" spans="1:9" ht="71.25" customHeight="1">
      <c r="A1227" s="1" t="str">
        <f>"Chemistry 4038"</f>
        <v>Chemistry 4038</v>
      </c>
      <c r="B1227" t="s">
        <v>3110</v>
      </c>
      <c r="C1227" t="s">
        <v>3</v>
      </c>
      <c r="D1227" s="2">
        <v>14000</v>
      </c>
      <c r="E1227" s="2">
        <v>9800</v>
      </c>
      <c r="F1227" t="s">
        <v>5</v>
      </c>
      <c r="G1227" t="s">
        <v>3111</v>
      </c>
      <c r="H1227" t="s">
        <v>1880</v>
      </c>
      <c r="I1227">
        <v>205.22818000000001</v>
      </c>
    </row>
    <row r="1228" spans="1:9" ht="61.8" customHeight="1">
      <c r="A1228" s="1" t="str">
        <f>"Chemistry 4041"</f>
        <v>Chemistry 4041</v>
      </c>
      <c r="B1228" t="s">
        <v>3113</v>
      </c>
      <c r="C1228" t="s">
        <v>3</v>
      </c>
      <c r="D1228" s="2">
        <v>12300</v>
      </c>
      <c r="E1228" s="2">
        <v>8610</v>
      </c>
      <c r="F1228" t="s">
        <v>5</v>
      </c>
      <c r="G1228" t="s">
        <v>3114</v>
      </c>
      <c r="H1228" t="s">
        <v>2986</v>
      </c>
      <c r="I1228">
        <v>149.16492</v>
      </c>
    </row>
    <row r="1229" spans="1:9" ht="68.55" customHeight="1">
      <c r="A1229" s="1" t="str">
        <f>"Chemistry 4042"</f>
        <v>Chemistry 4042</v>
      </c>
      <c r="B1229" t="s">
        <v>3115</v>
      </c>
      <c r="C1229" t="s">
        <v>3</v>
      </c>
      <c r="D1229" s="2">
        <v>15800</v>
      </c>
      <c r="E1229" s="2">
        <v>11060</v>
      </c>
      <c r="F1229" t="s">
        <v>5</v>
      </c>
      <c r="G1229" t="s">
        <v>3116</v>
      </c>
      <c r="H1229" t="s">
        <v>2954</v>
      </c>
      <c r="I1229">
        <v>233.28134</v>
      </c>
    </row>
    <row r="1230" spans="1:9" ht="67.349999999999994" customHeight="1">
      <c r="A1230" s="1" t="str">
        <f>"Chemistry 4043"</f>
        <v>Chemistry 4043</v>
      </c>
      <c r="B1230" t="s">
        <v>3117</v>
      </c>
      <c r="C1230" t="s">
        <v>128</v>
      </c>
      <c r="D1230" s="2">
        <v>15800</v>
      </c>
      <c r="E1230" s="2">
        <v>11060</v>
      </c>
      <c r="F1230" t="s">
        <v>5</v>
      </c>
      <c r="G1230" t="s">
        <v>3118</v>
      </c>
      <c r="H1230" t="s">
        <v>3112</v>
      </c>
      <c r="I1230">
        <v>240.70436000000001</v>
      </c>
    </row>
    <row r="1231" spans="1:9" ht="47.1" customHeight="1">
      <c r="A1231" s="1" t="str">
        <f>"Chemistry 4046"</f>
        <v>Chemistry 4046</v>
      </c>
      <c r="B1231" t="s">
        <v>3119</v>
      </c>
      <c r="C1231" t="s">
        <v>128</v>
      </c>
      <c r="D1231" s="2">
        <v>35000</v>
      </c>
      <c r="E1231" s="2">
        <v>21000</v>
      </c>
      <c r="F1231" t="s">
        <v>5</v>
      </c>
      <c r="G1231" t="s">
        <v>3120</v>
      </c>
      <c r="H1231" t="s">
        <v>3121</v>
      </c>
      <c r="I1231">
        <v>133.61918</v>
      </c>
    </row>
    <row r="1232" spans="1:9" ht="51.6" customHeight="1">
      <c r="A1232" s="1" t="str">
        <f>"Chemistry 4049"</f>
        <v>Chemistry 4049</v>
      </c>
      <c r="B1232" t="s">
        <v>3122</v>
      </c>
      <c r="C1232" t="s">
        <v>3</v>
      </c>
      <c r="D1232" s="2">
        <v>31500</v>
      </c>
      <c r="E1232" s="2">
        <v>18900</v>
      </c>
      <c r="F1232" t="s">
        <v>5</v>
      </c>
      <c r="G1232" t="s">
        <v>3123</v>
      </c>
      <c r="H1232" t="s">
        <v>3124</v>
      </c>
      <c r="I1232">
        <v>170.20565999999999</v>
      </c>
    </row>
    <row r="1233" spans="1:9" ht="64.5" customHeight="1">
      <c r="A1233" s="1" t="str">
        <f>"Chemistry 4053"</f>
        <v>Chemistry 4053</v>
      </c>
      <c r="B1233" t="s">
        <v>3125</v>
      </c>
      <c r="C1233" t="s">
        <v>3</v>
      </c>
      <c r="D1233" s="2">
        <v>28000</v>
      </c>
      <c r="E1233" s="2">
        <v>16800</v>
      </c>
      <c r="F1233" t="s">
        <v>5</v>
      </c>
      <c r="G1233" t="s">
        <v>3126</v>
      </c>
      <c r="H1233" t="s">
        <v>3127</v>
      </c>
      <c r="I1233">
        <v>177.20313999999999</v>
      </c>
    </row>
    <row r="1234" spans="1:9" ht="71.25" customHeight="1">
      <c r="A1234" s="1" t="str">
        <f>"Chemistry 4054"</f>
        <v>Chemistry 4054</v>
      </c>
      <c r="B1234" t="s">
        <v>3128</v>
      </c>
      <c r="C1234" t="s">
        <v>270</v>
      </c>
      <c r="D1234" s="2">
        <v>28000</v>
      </c>
      <c r="E1234" s="2">
        <v>16800</v>
      </c>
      <c r="F1234" t="s">
        <v>5</v>
      </c>
      <c r="G1234" t="s">
        <v>3129</v>
      </c>
      <c r="H1234" t="s">
        <v>2583</v>
      </c>
      <c r="I1234">
        <v>233.04331999999999</v>
      </c>
    </row>
    <row r="1235" spans="1:9" ht="61.2" customHeight="1">
      <c r="A1235" s="1" t="str">
        <f>"Chemistry 4066"</f>
        <v>Chemistry 4066</v>
      </c>
      <c r="B1235" t="s">
        <v>3130</v>
      </c>
      <c r="C1235" t="s">
        <v>128</v>
      </c>
      <c r="D1235" s="2">
        <v>17500</v>
      </c>
      <c r="E1235" s="2">
        <v>12250</v>
      </c>
      <c r="F1235" t="s">
        <v>5</v>
      </c>
      <c r="G1235" t="s">
        <v>3131</v>
      </c>
      <c r="H1235" t="s">
        <v>3132</v>
      </c>
      <c r="I1235">
        <v>179.62304</v>
      </c>
    </row>
    <row r="1236" spans="1:9" ht="70.2" customHeight="1">
      <c r="A1236" s="1" t="str">
        <f>"Chemistry 4069"</f>
        <v>Chemistry 4069</v>
      </c>
      <c r="B1236" t="s">
        <v>3134</v>
      </c>
      <c r="C1236" t="s">
        <v>3</v>
      </c>
      <c r="D1236" s="2">
        <v>14000</v>
      </c>
      <c r="E1236" s="2">
        <v>9800</v>
      </c>
      <c r="F1236" t="s">
        <v>5</v>
      </c>
      <c r="G1236" t="s">
        <v>3135</v>
      </c>
      <c r="H1236" t="s">
        <v>3136</v>
      </c>
      <c r="I1236">
        <v>222.16445999999999</v>
      </c>
    </row>
    <row r="1237" spans="1:9" ht="93.75" customHeight="1">
      <c r="A1237" s="1" t="str">
        <f>"Chemistry 4073"</f>
        <v>Chemistry 4073</v>
      </c>
      <c r="B1237" t="s">
        <v>3138</v>
      </c>
      <c r="C1237" t="s">
        <v>3</v>
      </c>
      <c r="D1237" s="2">
        <v>15800</v>
      </c>
      <c r="E1237" s="2">
        <v>11060</v>
      </c>
      <c r="F1237" t="s">
        <v>5</v>
      </c>
      <c r="G1237" t="s">
        <v>3139</v>
      </c>
      <c r="H1237" t="s">
        <v>1567</v>
      </c>
      <c r="I1237">
        <v>182.21965</v>
      </c>
    </row>
    <row r="1238" spans="1:9" ht="75.3" customHeight="1">
      <c r="A1238" s="1" t="str">
        <f>"Chemistry 4074"</f>
        <v>Chemistry 4074</v>
      </c>
      <c r="B1238" t="s">
        <v>3140</v>
      </c>
      <c r="C1238" t="s">
        <v>3</v>
      </c>
      <c r="D1238" s="2">
        <v>15800</v>
      </c>
      <c r="E1238" s="2">
        <v>11060</v>
      </c>
      <c r="F1238" t="s">
        <v>5</v>
      </c>
      <c r="G1238" t="s">
        <v>3141</v>
      </c>
      <c r="H1238" t="s">
        <v>1326</v>
      </c>
      <c r="I1238">
        <v>180.20377999999999</v>
      </c>
    </row>
    <row r="1239" spans="1:9" ht="93.3" customHeight="1">
      <c r="A1239" s="1" t="str">
        <f>"Chemistry 4075"</f>
        <v>Chemistry 4075</v>
      </c>
      <c r="B1239" t="s">
        <v>3142</v>
      </c>
      <c r="C1239" t="s">
        <v>3</v>
      </c>
      <c r="D1239" s="2">
        <v>15800</v>
      </c>
      <c r="E1239" s="2">
        <v>11060</v>
      </c>
      <c r="F1239" t="s">
        <v>5</v>
      </c>
      <c r="G1239" t="s">
        <v>3143</v>
      </c>
      <c r="H1239" t="s">
        <v>2045</v>
      </c>
      <c r="I1239">
        <v>194.23035999999999</v>
      </c>
    </row>
    <row r="1240" spans="1:9" ht="86.55" customHeight="1">
      <c r="A1240" s="1" t="str">
        <f>"Chemistry 4078"</f>
        <v>Chemistry 4078</v>
      </c>
      <c r="B1240" t="s">
        <v>3144</v>
      </c>
      <c r="C1240" t="s">
        <v>3</v>
      </c>
      <c r="D1240" s="2">
        <v>14000</v>
      </c>
      <c r="E1240" s="2">
        <v>9800</v>
      </c>
      <c r="F1240" t="s">
        <v>5</v>
      </c>
      <c r="G1240" t="s">
        <v>3145</v>
      </c>
      <c r="H1240" t="s">
        <v>1339</v>
      </c>
      <c r="I1240">
        <v>203.19735</v>
      </c>
    </row>
    <row r="1241" spans="1:9" ht="87.6" customHeight="1">
      <c r="A1241" s="1" t="str">
        <f>"Chemistry 4080"</f>
        <v>Chemistry 4080</v>
      </c>
      <c r="B1241" t="s">
        <v>3146</v>
      </c>
      <c r="C1241" t="s">
        <v>3</v>
      </c>
      <c r="D1241" s="2">
        <v>17500</v>
      </c>
      <c r="E1241" s="2">
        <v>12250</v>
      </c>
      <c r="F1241" t="s">
        <v>5</v>
      </c>
      <c r="G1241" t="s">
        <v>3147</v>
      </c>
      <c r="H1241" t="s">
        <v>1326</v>
      </c>
      <c r="I1241">
        <v>180.20377999999999</v>
      </c>
    </row>
    <row r="1242" spans="1:9" ht="87.6" customHeight="1">
      <c r="A1242" s="1" t="str">
        <f>"Chemistry 4081"</f>
        <v>Chemistry 4081</v>
      </c>
      <c r="B1242" t="s">
        <v>3148</v>
      </c>
      <c r="C1242" t="s">
        <v>3</v>
      </c>
      <c r="D1242" s="2">
        <v>17500</v>
      </c>
      <c r="E1242" s="2">
        <v>12250</v>
      </c>
      <c r="F1242" t="s">
        <v>5</v>
      </c>
      <c r="G1242" t="s">
        <v>3149</v>
      </c>
      <c r="H1242" t="s">
        <v>2045</v>
      </c>
      <c r="I1242">
        <v>194.23035999999999</v>
      </c>
    </row>
    <row r="1243" spans="1:9" ht="65.099999999999994" customHeight="1">
      <c r="A1243" s="1" t="str">
        <f>"Chemistry 4084"</f>
        <v>Chemistry 4084</v>
      </c>
      <c r="B1243" t="s">
        <v>3151</v>
      </c>
      <c r="C1243" t="s">
        <v>128</v>
      </c>
      <c r="D1243" s="2">
        <v>22800</v>
      </c>
      <c r="E1243" s="2">
        <v>15959.999999999998</v>
      </c>
      <c r="F1243" t="s">
        <v>5</v>
      </c>
      <c r="G1243" t="s">
        <v>3152</v>
      </c>
      <c r="H1243" t="s">
        <v>1799</v>
      </c>
      <c r="I1243">
        <v>217.69584</v>
      </c>
    </row>
    <row r="1244" spans="1:9" ht="71.25" customHeight="1">
      <c r="A1244" s="1" t="str">
        <f>"Chemistry 4085"</f>
        <v>Chemistry 4085</v>
      </c>
      <c r="B1244" t="s">
        <v>3153</v>
      </c>
      <c r="C1244" t="s">
        <v>3</v>
      </c>
      <c r="D1244" s="2">
        <v>17500</v>
      </c>
      <c r="E1244" s="2">
        <v>12250</v>
      </c>
      <c r="F1244" t="s">
        <v>5</v>
      </c>
      <c r="G1244" t="s">
        <v>3154</v>
      </c>
      <c r="H1244" t="s">
        <v>3085</v>
      </c>
      <c r="I1244">
        <v>194.16247999999999</v>
      </c>
    </row>
    <row r="1245" spans="1:9" ht="47.7" customHeight="1">
      <c r="A1245" s="1" t="str">
        <f>"Chemistry 4089"</f>
        <v>Chemistry 4089</v>
      </c>
      <c r="B1245" t="s">
        <v>3155</v>
      </c>
      <c r="C1245" t="s">
        <v>270</v>
      </c>
      <c r="D1245" s="2">
        <v>22800</v>
      </c>
      <c r="E1245" s="2">
        <v>15959.999999999998</v>
      </c>
      <c r="F1245" t="s">
        <v>5</v>
      </c>
      <c r="G1245" t="s">
        <v>3156</v>
      </c>
      <c r="H1245" t="s">
        <v>3157</v>
      </c>
      <c r="I1245">
        <v>199.05346</v>
      </c>
    </row>
    <row r="1246" spans="1:9" ht="57.75" customHeight="1">
      <c r="A1246" s="1" t="str">
        <f>"Chemistry 4092"</f>
        <v>Chemistry 4092</v>
      </c>
      <c r="B1246" t="s">
        <v>3158</v>
      </c>
      <c r="C1246" t="s">
        <v>3</v>
      </c>
      <c r="D1246" s="2">
        <v>21000</v>
      </c>
      <c r="E1246" s="2">
        <v>14699.999999999998</v>
      </c>
      <c r="F1246" t="s">
        <v>5</v>
      </c>
      <c r="G1246" t="s">
        <v>3159</v>
      </c>
      <c r="H1246" t="s">
        <v>1767</v>
      </c>
      <c r="I1246">
        <v>186.24812</v>
      </c>
    </row>
    <row r="1247" spans="1:9" ht="71.25" customHeight="1">
      <c r="A1247" s="1" t="str">
        <f>"Chemistry 4104"</f>
        <v>Chemistry 4104</v>
      </c>
      <c r="B1247" t="s">
        <v>3161</v>
      </c>
      <c r="C1247" t="s">
        <v>3</v>
      </c>
      <c r="D1247" s="2">
        <v>14000</v>
      </c>
      <c r="E1247" s="2">
        <v>9800</v>
      </c>
      <c r="F1247" t="s">
        <v>5</v>
      </c>
      <c r="G1247" t="s">
        <v>3162</v>
      </c>
      <c r="H1247" t="s">
        <v>1880</v>
      </c>
      <c r="I1247">
        <v>205.22818000000001</v>
      </c>
    </row>
    <row r="1248" spans="1:9" ht="67.349999999999994" customHeight="1">
      <c r="A1248" s="1" t="str">
        <f>"Chemistry 4107"</f>
        <v>Chemistry 4107</v>
      </c>
      <c r="B1248" t="s">
        <v>3163</v>
      </c>
      <c r="C1248" t="s">
        <v>3</v>
      </c>
      <c r="D1248" s="2">
        <v>15800</v>
      </c>
      <c r="E1248" s="2">
        <v>11060</v>
      </c>
      <c r="F1248" t="s">
        <v>5</v>
      </c>
      <c r="G1248" t="s">
        <v>3164</v>
      </c>
      <c r="H1248" t="s">
        <v>1880</v>
      </c>
      <c r="I1248">
        <v>205.22818000000001</v>
      </c>
    </row>
    <row r="1249" spans="1:9" ht="67.349999999999994" customHeight="1">
      <c r="A1249" s="1" t="str">
        <f>"Chemistry 4109"</f>
        <v>Chemistry 4109</v>
      </c>
      <c r="B1249" t="s">
        <v>3165</v>
      </c>
      <c r="C1249" t="s">
        <v>128</v>
      </c>
      <c r="D1249" s="2">
        <v>15800</v>
      </c>
      <c r="E1249" s="2">
        <v>11060</v>
      </c>
      <c r="F1249" t="s">
        <v>5</v>
      </c>
      <c r="G1249" t="s">
        <v>3166</v>
      </c>
      <c r="H1249" t="s">
        <v>3167</v>
      </c>
      <c r="I1249">
        <v>254.73094</v>
      </c>
    </row>
    <row r="1250" spans="1:9" ht="54.45" customHeight="1">
      <c r="A1250" s="1" t="str">
        <f>"Chemistry 4111"</f>
        <v>Chemistry 4111</v>
      </c>
      <c r="B1250" t="s">
        <v>3168</v>
      </c>
      <c r="C1250" t="s">
        <v>128</v>
      </c>
      <c r="D1250" s="2">
        <v>31500</v>
      </c>
      <c r="E1250" s="2">
        <v>18900</v>
      </c>
      <c r="F1250" t="s">
        <v>5</v>
      </c>
      <c r="G1250" t="s">
        <v>3169</v>
      </c>
      <c r="H1250" t="s">
        <v>3170</v>
      </c>
      <c r="I1250">
        <v>191.65526</v>
      </c>
    </row>
    <row r="1251" spans="1:9" ht="52.2" customHeight="1">
      <c r="A1251" s="1" t="str">
        <f>"Chemistry 4112"</f>
        <v>Chemistry 4112</v>
      </c>
      <c r="B1251" t="s">
        <v>3171</v>
      </c>
      <c r="C1251" t="s">
        <v>3</v>
      </c>
      <c r="D1251" s="2">
        <v>14000</v>
      </c>
      <c r="E1251" s="2">
        <v>9800</v>
      </c>
      <c r="F1251" t="s">
        <v>5</v>
      </c>
      <c r="G1251" t="s">
        <v>3172</v>
      </c>
      <c r="H1251" t="s">
        <v>1526</v>
      </c>
      <c r="I1251">
        <v>192.26084</v>
      </c>
    </row>
    <row r="1252" spans="1:9" ht="106.2" customHeight="1">
      <c r="A1252" s="1" t="str">
        <f>"Chemistry 4128"</f>
        <v>Chemistry 4128</v>
      </c>
      <c r="B1252" t="s">
        <v>3175</v>
      </c>
      <c r="C1252" t="s">
        <v>3</v>
      </c>
      <c r="D1252" s="2">
        <v>15800</v>
      </c>
      <c r="E1252" s="2">
        <v>11060</v>
      </c>
      <c r="F1252" t="s">
        <v>5</v>
      </c>
      <c r="G1252" t="s">
        <v>3176</v>
      </c>
      <c r="H1252" t="s">
        <v>3177</v>
      </c>
      <c r="I1252">
        <v>248.20174</v>
      </c>
    </row>
    <row r="1253" spans="1:9" ht="73.5" customHeight="1">
      <c r="A1253" s="1" t="str">
        <f>"Chemistry 4130"</f>
        <v>Chemistry 4130</v>
      </c>
      <c r="B1253" t="s">
        <v>3178</v>
      </c>
      <c r="C1253" t="s">
        <v>3</v>
      </c>
      <c r="D1253" s="2">
        <v>15800</v>
      </c>
      <c r="E1253" s="2">
        <v>11060</v>
      </c>
      <c r="F1253" t="s">
        <v>5</v>
      </c>
      <c r="G1253" t="s">
        <v>3179</v>
      </c>
      <c r="H1253" t="s">
        <v>3174</v>
      </c>
      <c r="I1253">
        <v>234.17516000000001</v>
      </c>
    </row>
    <row r="1254" spans="1:9" ht="106.2" customHeight="1">
      <c r="A1254" s="1" t="str">
        <f>"Chemistry 4131"</f>
        <v>Chemistry 4131</v>
      </c>
      <c r="B1254" t="s">
        <v>3180</v>
      </c>
      <c r="C1254" t="s">
        <v>3</v>
      </c>
      <c r="D1254" s="2">
        <v>15800</v>
      </c>
      <c r="E1254" s="2">
        <v>11060</v>
      </c>
      <c r="F1254" t="s">
        <v>5</v>
      </c>
      <c r="G1254" t="s">
        <v>3181</v>
      </c>
      <c r="H1254" t="s">
        <v>3177</v>
      </c>
      <c r="I1254">
        <v>248.20174</v>
      </c>
    </row>
    <row r="1255" spans="1:9" ht="57.75" customHeight="1">
      <c r="A1255" s="1" t="str">
        <f>"Chemistry 4133"</f>
        <v>Chemistry 4133</v>
      </c>
      <c r="B1255" t="s">
        <v>3182</v>
      </c>
      <c r="C1255" t="s">
        <v>270</v>
      </c>
      <c r="D1255" s="2">
        <v>17500</v>
      </c>
      <c r="E1255" s="2">
        <v>12250</v>
      </c>
      <c r="F1255" t="s">
        <v>5</v>
      </c>
      <c r="G1255" t="s">
        <v>3183</v>
      </c>
      <c r="H1255" t="s">
        <v>2253</v>
      </c>
      <c r="I1255">
        <v>223.14273</v>
      </c>
    </row>
    <row r="1256" spans="1:9" ht="59.55" customHeight="1">
      <c r="A1256" s="1" t="str">
        <f>"Chemistry 4134"</f>
        <v>Chemistry 4134</v>
      </c>
      <c r="B1256" t="s">
        <v>3184</v>
      </c>
      <c r="C1256" t="s">
        <v>3</v>
      </c>
      <c r="D1256" s="2">
        <v>15800</v>
      </c>
      <c r="E1256" s="2">
        <v>11060</v>
      </c>
      <c r="F1256" t="s">
        <v>5</v>
      </c>
      <c r="G1256" t="s">
        <v>3185</v>
      </c>
      <c r="H1256" t="s">
        <v>1232</v>
      </c>
      <c r="I1256">
        <v>140.13990999999999</v>
      </c>
    </row>
    <row r="1257" spans="1:9" ht="68.55" customHeight="1">
      <c r="A1257" s="1" t="str">
        <f>"Chemistry 4135"</f>
        <v>Chemistry 4135</v>
      </c>
      <c r="B1257" t="s">
        <v>3186</v>
      </c>
      <c r="C1257" t="s">
        <v>3</v>
      </c>
      <c r="D1257" s="2">
        <v>17500</v>
      </c>
      <c r="E1257" s="2">
        <v>12250</v>
      </c>
      <c r="F1257" t="s">
        <v>5</v>
      </c>
      <c r="G1257" t="s">
        <v>3187</v>
      </c>
      <c r="H1257" t="s">
        <v>1232</v>
      </c>
      <c r="I1257">
        <v>140.13991999999999</v>
      </c>
    </row>
    <row r="1258" spans="1:9" ht="71.849999999999994" customHeight="1">
      <c r="A1258" s="1" t="str">
        <f>"Chemistry 4136"</f>
        <v>Chemistry 4136</v>
      </c>
      <c r="B1258" t="s">
        <v>3188</v>
      </c>
      <c r="C1258" t="s">
        <v>3</v>
      </c>
      <c r="D1258" s="2">
        <v>17500</v>
      </c>
      <c r="E1258" s="2">
        <v>12250</v>
      </c>
      <c r="F1258" t="s">
        <v>5</v>
      </c>
      <c r="G1258" t="s">
        <v>3189</v>
      </c>
      <c r="H1258" t="s">
        <v>1173</v>
      </c>
      <c r="I1258">
        <v>166.1772</v>
      </c>
    </row>
    <row r="1259" spans="1:9" ht="59.55" customHeight="1">
      <c r="A1259" s="1" t="str">
        <f>"Chemistry 4137"</f>
        <v>Chemistry 4137</v>
      </c>
      <c r="B1259" t="s">
        <v>3190</v>
      </c>
      <c r="C1259" t="s">
        <v>128</v>
      </c>
      <c r="D1259" s="2">
        <v>19300</v>
      </c>
      <c r="E1259" s="2">
        <v>13510</v>
      </c>
      <c r="F1259" t="s">
        <v>5</v>
      </c>
      <c r="G1259" t="s">
        <v>3191</v>
      </c>
      <c r="H1259" t="s">
        <v>3192</v>
      </c>
      <c r="I1259">
        <v>161.63256999999999</v>
      </c>
    </row>
    <row r="1260" spans="1:9" ht="61.8" customHeight="1">
      <c r="A1260" s="1" t="str">
        <f>"Chemistry 4138"</f>
        <v>Chemistry 4138</v>
      </c>
      <c r="B1260" t="s">
        <v>3193</v>
      </c>
      <c r="C1260" t="s">
        <v>128</v>
      </c>
      <c r="D1260" s="2">
        <v>19300</v>
      </c>
      <c r="E1260" s="2">
        <v>13510</v>
      </c>
      <c r="F1260" t="s">
        <v>5</v>
      </c>
      <c r="G1260" t="s">
        <v>3194</v>
      </c>
      <c r="H1260" t="s">
        <v>2970</v>
      </c>
      <c r="I1260">
        <v>187.66985</v>
      </c>
    </row>
    <row r="1261" spans="1:9" ht="62.25" customHeight="1">
      <c r="A1261" s="1" t="str">
        <f>"Chemistry 4139"</f>
        <v>Chemistry 4139</v>
      </c>
      <c r="B1261" t="s">
        <v>3195</v>
      </c>
      <c r="C1261" t="s">
        <v>128</v>
      </c>
      <c r="D1261" s="2">
        <v>19300</v>
      </c>
      <c r="E1261" s="2">
        <v>13510</v>
      </c>
      <c r="F1261" t="s">
        <v>5</v>
      </c>
      <c r="G1261" t="s">
        <v>3196</v>
      </c>
      <c r="H1261" t="s">
        <v>3197</v>
      </c>
      <c r="I1261">
        <v>201.69644</v>
      </c>
    </row>
    <row r="1262" spans="1:9" ht="59.55" customHeight="1">
      <c r="A1262" s="1" t="str">
        <f>"Chemistry 4140"</f>
        <v>Chemistry 4140</v>
      </c>
      <c r="B1262" t="s">
        <v>3198</v>
      </c>
      <c r="C1262" t="s">
        <v>128</v>
      </c>
      <c r="D1262" s="2">
        <v>19300</v>
      </c>
      <c r="E1262" s="2">
        <v>13510</v>
      </c>
      <c r="F1262" t="s">
        <v>5</v>
      </c>
      <c r="G1262" t="s">
        <v>3199</v>
      </c>
      <c r="H1262" t="s">
        <v>2970</v>
      </c>
      <c r="I1262">
        <v>187.66986</v>
      </c>
    </row>
    <row r="1263" spans="1:9" ht="83.1" customHeight="1">
      <c r="A1263" s="1" t="str">
        <f>"Chemistry 4141"</f>
        <v>Chemistry 4141</v>
      </c>
      <c r="B1263" t="s">
        <v>3200</v>
      </c>
      <c r="C1263" t="s">
        <v>3</v>
      </c>
      <c r="D1263" s="2">
        <v>17500</v>
      </c>
      <c r="E1263" s="2">
        <v>12250</v>
      </c>
      <c r="F1263" t="s">
        <v>5</v>
      </c>
      <c r="G1263" t="s">
        <v>3201</v>
      </c>
      <c r="H1263" t="s">
        <v>3085</v>
      </c>
      <c r="I1263">
        <v>194.16247999999999</v>
      </c>
    </row>
    <row r="1264" spans="1:9" ht="71.25" customHeight="1">
      <c r="A1264" s="1" t="str">
        <f>"Chemistry 4144"</f>
        <v>Chemistry 4144</v>
      </c>
      <c r="B1264" t="s">
        <v>3202</v>
      </c>
      <c r="C1264" t="s">
        <v>3</v>
      </c>
      <c r="D1264" s="2">
        <v>14000</v>
      </c>
      <c r="E1264" s="2">
        <v>9800</v>
      </c>
      <c r="F1264" t="s">
        <v>5</v>
      </c>
      <c r="G1264" t="s">
        <v>3203</v>
      </c>
      <c r="H1264" t="s">
        <v>3204</v>
      </c>
      <c r="I1264">
        <v>204.24341999999999</v>
      </c>
    </row>
    <row r="1265" spans="1:9" ht="67.349999999999994" customHeight="1">
      <c r="A1265" s="1" t="str">
        <f>"Chemistry 4146"</f>
        <v>Chemistry 4146</v>
      </c>
      <c r="B1265" t="s">
        <v>3205</v>
      </c>
      <c r="C1265" t="s">
        <v>3</v>
      </c>
      <c r="D1265" s="2">
        <v>12300</v>
      </c>
      <c r="E1265" s="2">
        <v>8610</v>
      </c>
      <c r="F1265" t="s">
        <v>5</v>
      </c>
      <c r="G1265" t="s">
        <v>3206</v>
      </c>
      <c r="H1265" t="s">
        <v>2921</v>
      </c>
      <c r="I1265">
        <v>189.22878</v>
      </c>
    </row>
    <row r="1266" spans="1:9" ht="67.349999999999994" customHeight="1">
      <c r="A1266" s="1" t="str">
        <f>"Chemistry 4147"</f>
        <v>Chemistry 4147</v>
      </c>
      <c r="B1266" t="s">
        <v>3207</v>
      </c>
      <c r="C1266" t="s">
        <v>3</v>
      </c>
      <c r="D1266" s="2">
        <v>15800</v>
      </c>
      <c r="E1266" s="2">
        <v>11060</v>
      </c>
      <c r="F1266" t="s">
        <v>5</v>
      </c>
      <c r="G1266" t="s">
        <v>3208</v>
      </c>
      <c r="H1266" t="s">
        <v>2922</v>
      </c>
      <c r="I1266">
        <v>219.25476</v>
      </c>
    </row>
    <row r="1267" spans="1:9" ht="64.5" customHeight="1">
      <c r="A1267" s="1" t="str">
        <f>"Chemistry 4149"</f>
        <v>Chemistry 4149</v>
      </c>
      <c r="B1267" t="s">
        <v>3209</v>
      </c>
      <c r="C1267" t="s">
        <v>270</v>
      </c>
      <c r="D1267" s="2">
        <v>14000</v>
      </c>
      <c r="E1267" s="2">
        <v>9800</v>
      </c>
      <c r="F1267" t="s">
        <v>5</v>
      </c>
      <c r="G1267" t="s">
        <v>3210</v>
      </c>
      <c r="H1267" t="s">
        <v>2874</v>
      </c>
      <c r="I1267">
        <v>281.18212</v>
      </c>
    </row>
    <row r="1268" spans="1:9" ht="55.5" customHeight="1">
      <c r="A1268" s="1" t="str">
        <f>"Chemistry 4150"</f>
        <v>Chemistry 4150</v>
      </c>
      <c r="B1268" t="s">
        <v>3211</v>
      </c>
      <c r="C1268" t="s">
        <v>270</v>
      </c>
      <c r="D1268" s="2">
        <v>14000</v>
      </c>
      <c r="E1268" s="2">
        <v>9800</v>
      </c>
      <c r="F1268" t="s">
        <v>5</v>
      </c>
      <c r="G1268" t="s">
        <v>3212</v>
      </c>
      <c r="H1268" t="s">
        <v>1404</v>
      </c>
      <c r="I1268">
        <v>305.12752</v>
      </c>
    </row>
    <row r="1269" spans="1:9" ht="65.099999999999994" customHeight="1">
      <c r="A1269" s="1" t="str">
        <f>"Chemistry 4151"</f>
        <v>Chemistry 4151</v>
      </c>
      <c r="B1269" t="s">
        <v>3213</v>
      </c>
      <c r="C1269" t="s">
        <v>3</v>
      </c>
      <c r="D1269" s="2">
        <v>22800</v>
      </c>
      <c r="E1269" s="2">
        <v>15959.999999999998</v>
      </c>
      <c r="F1269" t="s">
        <v>5</v>
      </c>
      <c r="G1269" t="s">
        <v>3214</v>
      </c>
      <c r="H1269" t="s">
        <v>2488</v>
      </c>
      <c r="I1269">
        <v>162.18849</v>
      </c>
    </row>
    <row r="1270" spans="1:9" ht="57.75" customHeight="1">
      <c r="A1270" s="1" t="str">
        <f>"Chemistry 4160"</f>
        <v>Chemistry 4160</v>
      </c>
      <c r="B1270" t="s">
        <v>3215</v>
      </c>
      <c r="C1270" t="s">
        <v>3</v>
      </c>
      <c r="D1270" s="2">
        <v>15800</v>
      </c>
      <c r="E1270" s="2">
        <v>11060</v>
      </c>
      <c r="F1270" t="s">
        <v>5</v>
      </c>
      <c r="G1270" t="s">
        <v>3216</v>
      </c>
      <c r="H1270" t="s">
        <v>1976</v>
      </c>
      <c r="I1270">
        <v>217.22393</v>
      </c>
    </row>
    <row r="1271" spans="1:9" ht="93.75" customHeight="1">
      <c r="A1271" s="1" t="str">
        <f>"Chemistry 4163"</f>
        <v>Chemistry 4163</v>
      </c>
      <c r="B1271" t="s">
        <v>3217</v>
      </c>
      <c r="C1271" t="s">
        <v>3</v>
      </c>
      <c r="D1271" s="2">
        <v>14000</v>
      </c>
      <c r="E1271" s="2">
        <v>9800</v>
      </c>
      <c r="F1271" t="s">
        <v>5</v>
      </c>
      <c r="G1271" t="s">
        <v>3218</v>
      </c>
      <c r="H1271" t="s">
        <v>1344</v>
      </c>
      <c r="I1271">
        <v>232.23527999999999</v>
      </c>
    </row>
    <row r="1272" spans="1:9" ht="93.3" customHeight="1">
      <c r="A1272" s="1" t="str">
        <f>"Chemistry 4165"</f>
        <v>Chemistry 4165</v>
      </c>
      <c r="B1272" t="s">
        <v>3219</v>
      </c>
      <c r="C1272" t="s">
        <v>3</v>
      </c>
      <c r="D1272" s="2">
        <v>15800</v>
      </c>
      <c r="E1272" s="2">
        <v>11060</v>
      </c>
      <c r="F1272" t="s">
        <v>5</v>
      </c>
      <c r="G1272" t="s">
        <v>3220</v>
      </c>
      <c r="H1272" t="s">
        <v>2389</v>
      </c>
      <c r="I1272">
        <v>256.18068</v>
      </c>
    </row>
    <row r="1273" spans="1:9" ht="47.7" customHeight="1">
      <c r="A1273" s="1" t="str">
        <f>"Chemistry 4170"</f>
        <v>Chemistry 4170</v>
      </c>
      <c r="B1273" t="s">
        <v>3222</v>
      </c>
      <c r="C1273" t="s">
        <v>498</v>
      </c>
      <c r="D1273" s="2">
        <v>10500</v>
      </c>
      <c r="E1273" s="2">
        <v>7349.9999999999991</v>
      </c>
      <c r="F1273" t="s">
        <v>5</v>
      </c>
      <c r="G1273" t="s">
        <v>3223</v>
      </c>
      <c r="H1273" t="s">
        <v>3224</v>
      </c>
      <c r="I1273">
        <v>218.51199</v>
      </c>
    </row>
    <row r="1274" spans="1:9" ht="94.35" customHeight="1">
      <c r="A1274" s="1" t="str">
        <f>"Chemistry 4175"</f>
        <v>Chemistry 4175</v>
      </c>
      <c r="B1274" t="s">
        <v>3225</v>
      </c>
      <c r="C1274" t="s">
        <v>3</v>
      </c>
      <c r="D1274" s="2">
        <v>17500</v>
      </c>
      <c r="E1274" s="2">
        <v>12250</v>
      </c>
      <c r="F1274" t="s">
        <v>5</v>
      </c>
      <c r="G1274" t="s">
        <v>3226</v>
      </c>
      <c r="H1274" t="s">
        <v>2247</v>
      </c>
      <c r="I1274">
        <v>234.22633999999999</v>
      </c>
    </row>
    <row r="1275" spans="1:9" ht="79.2" customHeight="1">
      <c r="A1275" s="1" t="str">
        <f>"Chemistry 4178"</f>
        <v>Chemistry 4178</v>
      </c>
      <c r="B1275" t="s">
        <v>3227</v>
      </c>
      <c r="C1275" t="s">
        <v>3</v>
      </c>
      <c r="D1275" s="2">
        <v>17500</v>
      </c>
      <c r="E1275" s="2">
        <v>12250</v>
      </c>
      <c r="F1275" t="s">
        <v>5</v>
      </c>
      <c r="G1275" t="s">
        <v>3228</v>
      </c>
      <c r="H1275" t="s">
        <v>2973</v>
      </c>
      <c r="I1275">
        <v>208.18906000000001</v>
      </c>
    </row>
    <row r="1276" spans="1:9" ht="106.2" customHeight="1">
      <c r="A1276" s="1" t="str">
        <f>"Chemistry 4179"</f>
        <v>Chemistry 4179</v>
      </c>
      <c r="B1276" t="s">
        <v>3229</v>
      </c>
      <c r="C1276" t="s">
        <v>3</v>
      </c>
      <c r="D1276" s="2">
        <v>17500</v>
      </c>
      <c r="E1276" s="2">
        <v>12250</v>
      </c>
      <c r="F1276" t="s">
        <v>5</v>
      </c>
      <c r="G1276" t="s">
        <v>3230</v>
      </c>
      <c r="H1276" t="s">
        <v>3029</v>
      </c>
      <c r="I1276">
        <v>278.27890000000002</v>
      </c>
    </row>
    <row r="1277" spans="1:9" ht="71.25" customHeight="1">
      <c r="A1277" s="1" t="str">
        <f>"Chemistry 4181"</f>
        <v>Chemistry 4181</v>
      </c>
      <c r="B1277" t="s">
        <v>3231</v>
      </c>
      <c r="C1277" t="s">
        <v>3</v>
      </c>
      <c r="D1277" s="2">
        <v>29800</v>
      </c>
      <c r="E1277" s="2">
        <v>17880</v>
      </c>
      <c r="F1277" t="s">
        <v>5</v>
      </c>
      <c r="G1277" t="s">
        <v>3232</v>
      </c>
      <c r="H1277" t="s">
        <v>2482</v>
      </c>
      <c r="I1277">
        <v>226.06992</v>
      </c>
    </row>
    <row r="1278" spans="1:9" ht="71.25" customHeight="1">
      <c r="A1278" s="1" t="str">
        <f>"Chemistry 4186"</f>
        <v>Chemistry 4186</v>
      </c>
      <c r="B1278" t="s">
        <v>3233</v>
      </c>
      <c r="C1278" t="s">
        <v>3</v>
      </c>
      <c r="D1278" s="2">
        <v>22800</v>
      </c>
      <c r="E1278" s="2">
        <v>15959.999999999998</v>
      </c>
      <c r="F1278" t="s">
        <v>5</v>
      </c>
      <c r="G1278" t="s">
        <v>3234</v>
      </c>
      <c r="H1278" t="s">
        <v>2488</v>
      </c>
      <c r="I1278">
        <v>162.1885</v>
      </c>
    </row>
    <row r="1279" spans="1:9" ht="64.5" customHeight="1">
      <c r="A1279" s="1" t="str">
        <f>"Chemistry 4190"</f>
        <v>Chemistry 4190</v>
      </c>
      <c r="B1279" t="s">
        <v>3236</v>
      </c>
      <c r="C1279" t="s">
        <v>3</v>
      </c>
      <c r="D1279" s="2">
        <v>15800</v>
      </c>
      <c r="E1279" s="2">
        <v>11060</v>
      </c>
      <c r="F1279" t="s">
        <v>5</v>
      </c>
      <c r="G1279" t="s">
        <v>3237</v>
      </c>
      <c r="H1279" t="s">
        <v>1259</v>
      </c>
      <c r="I1279">
        <v>137.18234000000001</v>
      </c>
    </row>
    <row r="1280" spans="1:9" ht="79.2" customHeight="1">
      <c r="A1280" s="1" t="str">
        <f>"Chemistry 4195"</f>
        <v>Chemistry 4195</v>
      </c>
      <c r="B1280" t="s">
        <v>3238</v>
      </c>
      <c r="C1280" t="s">
        <v>3</v>
      </c>
      <c r="D1280" s="2">
        <v>14000</v>
      </c>
      <c r="E1280" s="2">
        <v>9800</v>
      </c>
      <c r="F1280" t="s">
        <v>5</v>
      </c>
      <c r="G1280" t="s">
        <v>3239</v>
      </c>
      <c r="H1280" t="s">
        <v>1673</v>
      </c>
      <c r="I1280">
        <v>167.16195999999999</v>
      </c>
    </row>
    <row r="1281" spans="1:9" ht="86.55" customHeight="1">
      <c r="A1281" s="1" t="str">
        <f>"Chemistry 4205"</f>
        <v>Chemistry 4205</v>
      </c>
      <c r="B1281" t="s">
        <v>3240</v>
      </c>
      <c r="C1281" t="s">
        <v>3</v>
      </c>
      <c r="D1281" s="2">
        <v>14000</v>
      </c>
      <c r="E1281" s="2">
        <v>9800</v>
      </c>
      <c r="F1281" t="s">
        <v>5</v>
      </c>
      <c r="G1281" t="s">
        <v>3241</v>
      </c>
      <c r="H1281" t="s">
        <v>1976</v>
      </c>
      <c r="I1281">
        <v>217.22393</v>
      </c>
    </row>
    <row r="1282" spans="1:9" ht="106.2" customHeight="1">
      <c r="A1282" s="1" t="str">
        <f>"Chemistry 4208"</f>
        <v>Chemistry 4208</v>
      </c>
      <c r="B1282" t="s">
        <v>3243</v>
      </c>
      <c r="C1282" t="s">
        <v>3</v>
      </c>
      <c r="D1282" s="2">
        <v>15800</v>
      </c>
      <c r="E1282" s="2">
        <v>11060</v>
      </c>
      <c r="F1282" t="s">
        <v>5</v>
      </c>
      <c r="G1282" t="s">
        <v>3244</v>
      </c>
      <c r="H1282" t="s">
        <v>3242</v>
      </c>
      <c r="I1282">
        <v>271.19531999999998</v>
      </c>
    </row>
    <row r="1283" spans="1:9" ht="60.6" customHeight="1">
      <c r="A1283" s="1" t="str">
        <f>"Chemistry 4209"</f>
        <v>Chemistry 4209</v>
      </c>
      <c r="B1283" t="s">
        <v>3245</v>
      </c>
      <c r="C1283" t="s">
        <v>3</v>
      </c>
      <c r="D1283" s="2">
        <v>17500</v>
      </c>
      <c r="E1283" s="2">
        <v>12250</v>
      </c>
      <c r="F1283" t="s">
        <v>5</v>
      </c>
      <c r="G1283" t="s">
        <v>3246</v>
      </c>
      <c r="H1283" t="s">
        <v>3133</v>
      </c>
      <c r="I1283">
        <v>158.13038</v>
      </c>
    </row>
    <row r="1284" spans="1:9" ht="67.349999999999994" customHeight="1">
      <c r="A1284" s="1" t="str">
        <f>"Chemistry 4210"</f>
        <v>Chemistry 4210</v>
      </c>
      <c r="B1284" t="s">
        <v>3247</v>
      </c>
      <c r="C1284" t="s">
        <v>3</v>
      </c>
      <c r="D1284" s="2">
        <v>15800</v>
      </c>
      <c r="E1284" s="2">
        <v>11060</v>
      </c>
      <c r="F1284" t="s">
        <v>5</v>
      </c>
      <c r="G1284" t="s">
        <v>3248</v>
      </c>
      <c r="H1284" t="s">
        <v>1336</v>
      </c>
      <c r="I1284">
        <v>189.17078000000001</v>
      </c>
    </row>
    <row r="1285" spans="1:9" ht="71.25" customHeight="1">
      <c r="A1285" s="1" t="str">
        <f>"Chemistry 4215"</f>
        <v>Chemistry 4215</v>
      </c>
      <c r="B1285" t="s">
        <v>3250</v>
      </c>
      <c r="C1285" t="s">
        <v>3</v>
      </c>
      <c r="D1285" s="2">
        <v>15800</v>
      </c>
      <c r="E1285" s="2">
        <v>11060</v>
      </c>
      <c r="F1285" t="s">
        <v>5</v>
      </c>
      <c r="G1285" t="s">
        <v>3251</v>
      </c>
      <c r="H1285" t="s">
        <v>3249</v>
      </c>
      <c r="I1285">
        <v>254.08000999999999</v>
      </c>
    </row>
    <row r="1286" spans="1:9" ht="67.95" customHeight="1">
      <c r="A1286" s="1" t="str">
        <f>"Chemistry 4226"</f>
        <v>Chemistry 4226</v>
      </c>
      <c r="B1286" t="s">
        <v>3252</v>
      </c>
      <c r="C1286" t="s">
        <v>3</v>
      </c>
      <c r="D1286" s="2">
        <v>22800</v>
      </c>
      <c r="E1286" s="2">
        <v>15959.999999999998</v>
      </c>
      <c r="F1286" t="s">
        <v>5</v>
      </c>
      <c r="G1286" t="s">
        <v>3253</v>
      </c>
      <c r="H1286" t="s">
        <v>2488</v>
      </c>
      <c r="I1286">
        <v>162.1885</v>
      </c>
    </row>
    <row r="1287" spans="1:9" ht="60.6" customHeight="1">
      <c r="A1287" s="1" t="str">
        <f>"Chemistry 4231"</f>
        <v>Chemistry 4231</v>
      </c>
      <c r="B1287" t="s">
        <v>3254</v>
      </c>
      <c r="C1287" t="s">
        <v>3</v>
      </c>
      <c r="D1287" s="2">
        <v>28000</v>
      </c>
      <c r="E1287" s="2">
        <v>16800</v>
      </c>
      <c r="F1287" t="s">
        <v>5</v>
      </c>
      <c r="G1287" t="s">
        <v>3255</v>
      </c>
      <c r="H1287" t="s">
        <v>3173</v>
      </c>
      <c r="I1287">
        <v>190.24164999999999</v>
      </c>
    </row>
    <row r="1288" spans="1:9" ht="79.2" customHeight="1">
      <c r="A1288" s="1" t="str">
        <f>"Chemistry 4233"</f>
        <v>Chemistry 4233</v>
      </c>
      <c r="B1288" t="s">
        <v>3256</v>
      </c>
      <c r="C1288" t="s">
        <v>3</v>
      </c>
      <c r="D1288" s="2">
        <v>14000</v>
      </c>
      <c r="E1288" s="2">
        <v>9800</v>
      </c>
      <c r="F1288" t="s">
        <v>5</v>
      </c>
      <c r="G1288" t="s">
        <v>3257</v>
      </c>
      <c r="H1288" t="s">
        <v>1743</v>
      </c>
      <c r="I1288">
        <v>237.2518</v>
      </c>
    </row>
    <row r="1289" spans="1:9" ht="79.2" customHeight="1">
      <c r="A1289" s="1" t="str">
        <f>"Chemistry 4234"</f>
        <v>Chemistry 4234</v>
      </c>
      <c r="B1289" t="s">
        <v>3258</v>
      </c>
      <c r="C1289" t="s">
        <v>3</v>
      </c>
      <c r="D1289" s="2">
        <v>14000</v>
      </c>
      <c r="E1289" s="2">
        <v>9800</v>
      </c>
      <c r="F1289" t="s">
        <v>5</v>
      </c>
      <c r="G1289" t="s">
        <v>3259</v>
      </c>
      <c r="H1289" t="s">
        <v>1594</v>
      </c>
      <c r="I1289">
        <v>193.19924</v>
      </c>
    </row>
    <row r="1290" spans="1:9" ht="78.599999999999994" customHeight="1">
      <c r="A1290" s="1" t="str">
        <f>"Chemistry 4235"</f>
        <v>Chemistry 4235</v>
      </c>
      <c r="B1290" t="s">
        <v>3260</v>
      </c>
      <c r="C1290" t="s">
        <v>3</v>
      </c>
      <c r="D1290" s="2">
        <v>15800</v>
      </c>
      <c r="E1290" s="2">
        <v>11060</v>
      </c>
      <c r="F1290" t="s">
        <v>5</v>
      </c>
      <c r="G1290" t="s">
        <v>3261</v>
      </c>
      <c r="H1290" t="s">
        <v>165</v>
      </c>
      <c r="I1290">
        <v>223.22522000000001</v>
      </c>
    </row>
    <row r="1291" spans="1:9" ht="82.05" customHeight="1">
      <c r="A1291" s="1" t="str">
        <f>"Chemistry 4238"</f>
        <v>Chemistry 4238</v>
      </c>
      <c r="B1291" t="s">
        <v>3262</v>
      </c>
      <c r="C1291" t="s">
        <v>3</v>
      </c>
      <c r="D1291" s="2">
        <v>15800</v>
      </c>
      <c r="E1291" s="2">
        <v>11060</v>
      </c>
      <c r="F1291" t="s">
        <v>5</v>
      </c>
      <c r="G1291" t="s">
        <v>3263</v>
      </c>
      <c r="H1291" t="s">
        <v>1374</v>
      </c>
      <c r="I1291">
        <v>194.1113</v>
      </c>
    </row>
    <row r="1292" spans="1:9" ht="83.1" customHeight="1">
      <c r="A1292" s="1" t="str">
        <f>"Chemistry 4242"</f>
        <v>Chemistry 4242</v>
      </c>
      <c r="B1292" t="s">
        <v>3264</v>
      </c>
      <c r="C1292" t="s">
        <v>3</v>
      </c>
      <c r="D1292" s="2">
        <v>15800</v>
      </c>
      <c r="E1292" s="2">
        <v>11060</v>
      </c>
      <c r="F1292" t="s">
        <v>5</v>
      </c>
      <c r="G1292" t="s">
        <v>3265</v>
      </c>
      <c r="H1292" t="s">
        <v>1243</v>
      </c>
      <c r="I1292">
        <v>193.17442</v>
      </c>
    </row>
    <row r="1293" spans="1:9" ht="71.25" customHeight="1">
      <c r="A1293" s="1" t="str">
        <f>"Chemistry 4247"</f>
        <v>Chemistry 4247</v>
      </c>
      <c r="B1293" t="s">
        <v>3266</v>
      </c>
      <c r="C1293" t="s">
        <v>3</v>
      </c>
      <c r="D1293" s="2">
        <v>19300</v>
      </c>
      <c r="E1293" s="2">
        <v>13510</v>
      </c>
      <c r="F1293" t="s">
        <v>5</v>
      </c>
      <c r="G1293" t="s">
        <v>3267</v>
      </c>
      <c r="H1293" t="s">
        <v>3268</v>
      </c>
      <c r="I1293">
        <v>282.10836</v>
      </c>
    </row>
    <row r="1294" spans="1:9" ht="55.5" customHeight="1">
      <c r="A1294" s="1" t="str">
        <f>"Chemistry 4253"</f>
        <v>Chemistry 4253</v>
      </c>
      <c r="B1294" t="s">
        <v>3269</v>
      </c>
      <c r="C1294" t="s">
        <v>3</v>
      </c>
      <c r="D1294" s="2">
        <v>19300</v>
      </c>
      <c r="E1294" s="2">
        <v>13510</v>
      </c>
      <c r="F1294" t="s">
        <v>5</v>
      </c>
      <c r="G1294" t="s">
        <v>3270</v>
      </c>
      <c r="H1294" t="s">
        <v>3268</v>
      </c>
      <c r="I1294">
        <v>282.10836</v>
      </c>
    </row>
    <row r="1295" spans="1:9" ht="79.2" customHeight="1">
      <c r="A1295" s="1" t="str">
        <f>"Chemistry 4272"</f>
        <v>Chemistry 4272</v>
      </c>
      <c r="B1295" t="s">
        <v>3273</v>
      </c>
      <c r="C1295" t="s">
        <v>3</v>
      </c>
      <c r="D1295" s="2">
        <v>14000</v>
      </c>
      <c r="E1295" s="2">
        <v>9800</v>
      </c>
      <c r="F1295" t="s">
        <v>5</v>
      </c>
      <c r="G1295" t="s">
        <v>3274</v>
      </c>
      <c r="H1295" t="s">
        <v>1587</v>
      </c>
      <c r="I1295">
        <v>153.13538</v>
      </c>
    </row>
    <row r="1296" spans="1:9" ht="55.5" customHeight="1">
      <c r="A1296" s="1" t="str">
        <f>"Chemistry 4274"</f>
        <v>Chemistry 4274</v>
      </c>
      <c r="B1296" t="s">
        <v>3275</v>
      </c>
      <c r="C1296" t="s">
        <v>3</v>
      </c>
      <c r="D1296" s="2">
        <v>15800</v>
      </c>
      <c r="E1296" s="2">
        <v>11060</v>
      </c>
      <c r="F1296" t="s">
        <v>5</v>
      </c>
      <c r="G1296" t="s">
        <v>3276</v>
      </c>
      <c r="H1296" t="s">
        <v>1962</v>
      </c>
      <c r="I1296">
        <v>194.18729999999999</v>
      </c>
    </row>
    <row r="1297" spans="1:9" ht="71.25" customHeight="1">
      <c r="A1297" s="1" t="str">
        <f>"Chemistry 4275"</f>
        <v>Chemistry 4275</v>
      </c>
      <c r="B1297" t="s">
        <v>3277</v>
      </c>
      <c r="C1297" t="s">
        <v>3</v>
      </c>
      <c r="D1297" s="2">
        <v>15800</v>
      </c>
      <c r="E1297" s="2">
        <v>11060</v>
      </c>
      <c r="F1297" t="s">
        <v>5</v>
      </c>
      <c r="G1297" t="s">
        <v>3278</v>
      </c>
      <c r="H1297" t="s">
        <v>1787</v>
      </c>
      <c r="I1297">
        <v>182.17660000000001</v>
      </c>
    </row>
    <row r="1298" spans="1:9" ht="106.2" customHeight="1">
      <c r="A1298" s="1" t="str">
        <f>"Chemistry 4281"</f>
        <v>Chemistry 4281</v>
      </c>
      <c r="B1298" t="s">
        <v>3279</v>
      </c>
      <c r="C1298" t="s">
        <v>3</v>
      </c>
      <c r="D1298" s="2">
        <v>15800</v>
      </c>
      <c r="E1298" s="2">
        <v>11060</v>
      </c>
      <c r="F1298" t="s">
        <v>5</v>
      </c>
      <c r="G1298" t="s">
        <v>3280</v>
      </c>
      <c r="H1298" t="s">
        <v>3242</v>
      </c>
      <c r="I1298">
        <v>271.19531999999998</v>
      </c>
    </row>
    <row r="1299" spans="1:9" ht="68.55" customHeight="1">
      <c r="A1299" s="1" t="str">
        <f>"Chemistry 4282"</f>
        <v>Chemistry 4282</v>
      </c>
      <c r="B1299" t="s">
        <v>3281</v>
      </c>
      <c r="C1299" t="s">
        <v>3</v>
      </c>
      <c r="D1299" s="2">
        <v>15800</v>
      </c>
      <c r="E1299" s="2">
        <v>11060</v>
      </c>
      <c r="F1299" t="s">
        <v>5</v>
      </c>
      <c r="G1299" t="s">
        <v>3282</v>
      </c>
      <c r="H1299" t="s">
        <v>1451</v>
      </c>
      <c r="I1299">
        <v>208.13788</v>
      </c>
    </row>
    <row r="1300" spans="1:9" ht="59.55" customHeight="1">
      <c r="A1300" s="1" t="str">
        <f>"Chemistry 4286"</f>
        <v>Chemistry 4286</v>
      </c>
      <c r="B1300" t="s">
        <v>3284</v>
      </c>
      <c r="C1300" t="s">
        <v>128</v>
      </c>
      <c r="D1300" s="2">
        <v>19300</v>
      </c>
      <c r="E1300" s="2">
        <v>13510</v>
      </c>
      <c r="F1300" t="s">
        <v>5</v>
      </c>
      <c r="G1300" t="s">
        <v>3285</v>
      </c>
      <c r="H1300" t="s">
        <v>3017</v>
      </c>
      <c r="I1300">
        <v>175.65916000000001</v>
      </c>
    </row>
    <row r="1301" spans="1:9" ht="57.3" customHeight="1">
      <c r="A1301" s="1" t="str">
        <f>"Chemistry 4292"</f>
        <v>Chemistry 4292</v>
      </c>
      <c r="B1301" t="s">
        <v>3286</v>
      </c>
      <c r="C1301" t="s">
        <v>3</v>
      </c>
      <c r="D1301" s="2">
        <v>35000</v>
      </c>
      <c r="E1301" s="2">
        <v>21000</v>
      </c>
      <c r="F1301" t="s">
        <v>5</v>
      </c>
      <c r="G1301" t="s">
        <v>3287</v>
      </c>
      <c r="H1301" t="s">
        <v>3288</v>
      </c>
      <c r="I1301">
        <v>197.27405999999999</v>
      </c>
    </row>
    <row r="1302" spans="1:9" ht="65.099999999999994" customHeight="1">
      <c r="A1302" s="1" t="str">
        <f>"Chemistry 4307"</f>
        <v>Chemistry 4307</v>
      </c>
      <c r="B1302" t="s">
        <v>3289</v>
      </c>
      <c r="C1302" t="s">
        <v>3</v>
      </c>
      <c r="D1302" s="2">
        <v>15800</v>
      </c>
      <c r="E1302" s="2">
        <v>11060</v>
      </c>
      <c r="F1302" t="s">
        <v>5</v>
      </c>
      <c r="G1302" t="s">
        <v>3290</v>
      </c>
      <c r="H1302" t="s">
        <v>3291</v>
      </c>
      <c r="I1302">
        <v>218.18387999999999</v>
      </c>
    </row>
    <row r="1303" spans="1:9" ht="79.2" customHeight="1">
      <c r="A1303" s="1" t="str">
        <f>"Chemistry 4313"</f>
        <v>Chemistry 4313</v>
      </c>
      <c r="B1303" t="s">
        <v>3292</v>
      </c>
      <c r="C1303" t="s">
        <v>3</v>
      </c>
      <c r="D1303" s="2">
        <v>14000</v>
      </c>
      <c r="E1303" s="2">
        <v>9800</v>
      </c>
      <c r="F1303" t="s">
        <v>5</v>
      </c>
      <c r="G1303" t="s">
        <v>3293</v>
      </c>
      <c r="H1303" t="s">
        <v>1594</v>
      </c>
      <c r="I1303">
        <v>193.19924</v>
      </c>
    </row>
    <row r="1304" spans="1:9" ht="79.2" customHeight="1">
      <c r="A1304" s="1" t="str">
        <f>"Chemistry 4315"</f>
        <v>Chemistry 4315</v>
      </c>
      <c r="B1304" t="s">
        <v>3294</v>
      </c>
      <c r="C1304" t="s">
        <v>3</v>
      </c>
      <c r="D1304" s="2">
        <v>14000</v>
      </c>
      <c r="E1304" s="2">
        <v>9800</v>
      </c>
      <c r="F1304" t="s">
        <v>5</v>
      </c>
      <c r="G1304" t="s">
        <v>3295</v>
      </c>
      <c r="H1304" t="s">
        <v>160</v>
      </c>
      <c r="I1304">
        <v>181.18853999999999</v>
      </c>
    </row>
    <row r="1305" spans="1:9" ht="84.75" customHeight="1">
      <c r="A1305" s="1" t="str">
        <f>"Chemistry 4318"</f>
        <v>Chemistry 4318</v>
      </c>
      <c r="B1305" t="s">
        <v>3296</v>
      </c>
      <c r="C1305" t="s">
        <v>3</v>
      </c>
      <c r="D1305" s="2">
        <v>15800</v>
      </c>
      <c r="E1305" s="2">
        <v>11060</v>
      </c>
      <c r="F1305" t="s">
        <v>5</v>
      </c>
      <c r="G1305" t="s">
        <v>3297</v>
      </c>
      <c r="H1305" t="s">
        <v>1973</v>
      </c>
      <c r="I1305">
        <v>222.12139999999999</v>
      </c>
    </row>
    <row r="1306" spans="1:9" ht="73.5" customHeight="1">
      <c r="A1306" s="1" t="str">
        <f>"Chemistry 4322"</f>
        <v>Chemistry 4322</v>
      </c>
      <c r="B1306" t="s">
        <v>3298</v>
      </c>
      <c r="C1306" t="s">
        <v>128</v>
      </c>
      <c r="D1306" s="2">
        <v>40300</v>
      </c>
      <c r="E1306" s="2">
        <v>24180</v>
      </c>
      <c r="F1306" t="s">
        <v>5</v>
      </c>
      <c r="G1306" t="s">
        <v>3299</v>
      </c>
      <c r="H1306" t="s">
        <v>2861</v>
      </c>
      <c r="I1306">
        <v>239.74112</v>
      </c>
    </row>
    <row r="1307" spans="1:9" ht="76.95" customHeight="1">
      <c r="A1307" s="1" t="str">
        <f>"Chemistry 4323"</f>
        <v>Chemistry 4323</v>
      </c>
      <c r="B1307" t="s">
        <v>3300</v>
      </c>
      <c r="C1307" t="s">
        <v>128</v>
      </c>
      <c r="D1307" s="2">
        <v>40300</v>
      </c>
      <c r="E1307" s="2">
        <v>24180</v>
      </c>
      <c r="F1307" t="s">
        <v>5</v>
      </c>
      <c r="G1307" t="s">
        <v>3301</v>
      </c>
      <c r="H1307" t="s">
        <v>2866</v>
      </c>
      <c r="I1307">
        <v>255.74052</v>
      </c>
    </row>
    <row r="1308" spans="1:9" ht="79.8" customHeight="1">
      <c r="A1308" s="1" t="str">
        <f>"Chemistry 4324"</f>
        <v>Chemistry 4324</v>
      </c>
      <c r="B1308" t="s">
        <v>3302</v>
      </c>
      <c r="C1308" t="s">
        <v>128</v>
      </c>
      <c r="D1308" s="2">
        <v>40300</v>
      </c>
      <c r="E1308" s="2">
        <v>24180</v>
      </c>
      <c r="F1308" t="s">
        <v>5</v>
      </c>
      <c r="G1308" t="s">
        <v>3303</v>
      </c>
      <c r="H1308" t="s">
        <v>3304</v>
      </c>
      <c r="I1308">
        <v>293.71249999999998</v>
      </c>
    </row>
    <row r="1309" spans="1:9" ht="91.5" customHeight="1">
      <c r="A1309" s="1" t="str">
        <f>"Chemistry 4330"</f>
        <v>Chemistry 4330</v>
      </c>
      <c r="B1309" t="s">
        <v>3305</v>
      </c>
      <c r="C1309" t="s">
        <v>3</v>
      </c>
      <c r="D1309" s="2">
        <v>17500</v>
      </c>
      <c r="E1309" s="2">
        <v>12250</v>
      </c>
      <c r="F1309" t="s">
        <v>5</v>
      </c>
      <c r="G1309" t="s">
        <v>3306</v>
      </c>
      <c r="H1309" t="s">
        <v>1244</v>
      </c>
      <c r="I1309">
        <v>243.18191999999999</v>
      </c>
    </row>
    <row r="1310" spans="1:9" ht="88.2" customHeight="1">
      <c r="A1310" s="1" t="str">
        <f>"Chemistry 4331"</f>
        <v>Chemistry 4331</v>
      </c>
      <c r="B1310" t="s">
        <v>3307</v>
      </c>
      <c r="C1310" t="s">
        <v>3</v>
      </c>
      <c r="D1310" s="2">
        <v>17500</v>
      </c>
      <c r="E1310" s="2">
        <v>12250</v>
      </c>
      <c r="F1310" t="s">
        <v>5</v>
      </c>
      <c r="G1310" t="s">
        <v>3308</v>
      </c>
      <c r="H1310" t="s">
        <v>3309</v>
      </c>
      <c r="I1310">
        <v>257.20850000000002</v>
      </c>
    </row>
    <row r="1311" spans="1:9" ht="51.6" customHeight="1">
      <c r="A1311" s="1" t="str">
        <f>"Chemistry 4348"</f>
        <v>Chemistry 4348</v>
      </c>
      <c r="B1311" t="s">
        <v>3312</v>
      </c>
      <c r="C1311" t="s">
        <v>3</v>
      </c>
      <c r="D1311" s="2">
        <v>15800</v>
      </c>
      <c r="E1311" s="2">
        <v>11060</v>
      </c>
      <c r="F1311" t="s">
        <v>5</v>
      </c>
      <c r="G1311" t="s">
        <v>3313</v>
      </c>
      <c r="H1311" t="s">
        <v>1326</v>
      </c>
      <c r="I1311">
        <v>180.20377999999999</v>
      </c>
    </row>
    <row r="1312" spans="1:9" ht="71.25" customHeight="1">
      <c r="A1312" s="1" t="str">
        <f>"Chemistry 4370"</f>
        <v>Chemistry 4370</v>
      </c>
      <c r="B1312" t="s">
        <v>3315</v>
      </c>
      <c r="C1312" t="s">
        <v>3</v>
      </c>
      <c r="D1312" s="2">
        <v>19300</v>
      </c>
      <c r="E1312" s="2">
        <v>13510</v>
      </c>
      <c r="F1312" t="s">
        <v>5</v>
      </c>
      <c r="G1312" t="s">
        <v>3316</v>
      </c>
      <c r="H1312" t="s">
        <v>3268</v>
      </c>
      <c r="I1312">
        <v>282.10836</v>
      </c>
    </row>
    <row r="1313" spans="1:9" ht="61.2" customHeight="1">
      <c r="A1313" s="1" t="str">
        <f>"Chemistry 4426"</f>
        <v>Chemistry 4426</v>
      </c>
      <c r="B1313" t="s">
        <v>3317</v>
      </c>
      <c r="C1313" t="s">
        <v>3</v>
      </c>
      <c r="D1313" s="2">
        <v>23700</v>
      </c>
      <c r="E1313" s="2">
        <v>16590</v>
      </c>
      <c r="F1313" t="s">
        <v>5</v>
      </c>
      <c r="G1313" t="s">
        <v>3318</v>
      </c>
      <c r="H1313" t="s">
        <v>3319</v>
      </c>
      <c r="I1313">
        <v>182.19820000000001</v>
      </c>
    </row>
    <row r="1314" spans="1:9" ht="53.25" customHeight="1">
      <c r="A1314" s="1" t="str">
        <f>"Chemistry 4427"</f>
        <v>Chemistry 4427</v>
      </c>
      <c r="B1314" t="s">
        <v>3320</v>
      </c>
      <c r="C1314" t="s">
        <v>3</v>
      </c>
      <c r="D1314" s="2">
        <v>23700</v>
      </c>
      <c r="E1314" s="2">
        <v>16590</v>
      </c>
      <c r="F1314" t="s">
        <v>5</v>
      </c>
      <c r="G1314" t="s">
        <v>3321</v>
      </c>
      <c r="H1314" t="s">
        <v>3322</v>
      </c>
      <c r="I1314">
        <v>168.17161999999999</v>
      </c>
    </row>
    <row r="1315" spans="1:9" ht="44.25" customHeight="1">
      <c r="A1315" s="1" t="str">
        <f>"Chemistry 4429"</f>
        <v>Chemistry 4429</v>
      </c>
      <c r="B1315" t="s">
        <v>3323</v>
      </c>
      <c r="C1315" t="s">
        <v>270</v>
      </c>
      <c r="D1315" s="2">
        <v>17500</v>
      </c>
      <c r="E1315" s="2">
        <v>12250</v>
      </c>
      <c r="F1315" t="s">
        <v>5</v>
      </c>
      <c r="G1315" t="s">
        <v>3324</v>
      </c>
      <c r="H1315" t="s">
        <v>342</v>
      </c>
      <c r="I1315">
        <v>201.13722000000001</v>
      </c>
    </row>
    <row r="1316" spans="1:9" ht="52.2" customHeight="1">
      <c r="A1316" s="1" t="str">
        <f>"Chemistry 4431"</f>
        <v>Chemistry 4431</v>
      </c>
      <c r="B1316" t="s">
        <v>3325</v>
      </c>
      <c r="C1316" t="s">
        <v>270</v>
      </c>
      <c r="D1316" s="2">
        <v>22800</v>
      </c>
      <c r="E1316" s="2">
        <v>15959.999999999998</v>
      </c>
      <c r="F1316" t="s">
        <v>5</v>
      </c>
      <c r="G1316" t="s">
        <v>3326</v>
      </c>
      <c r="H1316" t="s">
        <v>3327</v>
      </c>
      <c r="I1316">
        <v>273.19988000000001</v>
      </c>
    </row>
    <row r="1317" spans="1:9" ht="53.25" customHeight="1">
      <c r="A1317" s="1" t="str">
        <f>"Chemistry 4432"</f>
        <v>Chemistry 4432</v>
      </c>
      <c r="B1317" t="s">
        <v>3328</v>
      </c>
      <c r="C1317" t="s">
        <v>270</v>
      </c>
      <c r="D1317" s="2">
        <v>22800</v>
      </c>
      <c r="E1317" s="2">
        <v>15959.999999999998</v>
      </c>
      <c r="F1317" t="s">
        <v>5</v>
      </c>
      <c r="G1317" t="s">
        <v>3329</v>
      </c>
      <c r="H1317" t="s">
        <v>663</v>
      </c>
      <c r="I1317">
        <v>231.16319999999999</v>
      </c>
    </row>
    <row r="1318" spans="1:9" ht="64.5" customHeight="1">
      <c r="A1318" s="1" t="str">
        <f>"Chemistry 4442"</f>
        <v>Chemistry 4442</v>
      </c>
      <c r="B1318" t="s">
        <v>3331</v>
      </c>
      <c r="C1318" t="s">
        <v>128</v>
      </c>
      <c r="D1318" s="2">
        <v>33300</v>
      </c>
      <c r="E1318" s="2">
        <v>19980</v>
      </c>
      <c r="F1318" t="s">
        <v>5</v>
      </c>
      <c r="G1318" t="s">
        <v>3332</v>
      </c>
      <c r="H1318" t="s">
        <v>1148</v>
      </c>
      <c r="I1318">
        <v>215.67666</v>
      </c>
    </row>
    <row r="1319" spans="1:9" ht="51.6" customHeight="1">
      <c r="A1319" s="1" t="str">
        <f>"Chemistry 4449"</f>
        <v>Chemistry 4449</v>
      </c>
      <c r="B1319" t="s">
        <v>3335</v>
      </c>
      <c r="C1319" t="s">
        <v>128</v>
      </c>
      <c r="D1319" s="2">
        <v>28000</v>
      </c>
      <c r="E1319" s="2">
        <v>16800</v>
      </c>
      <c r="F1319" t="s">
        <v>5</v>
      </c>
      <c r="G1319" t="s">
        <v>3336</v>
      </c>
      <c r="H1319" t="s">
        <v>3337</v>
      </c>
      <c r="I1319">
        <v>201.65008</v>
      </c>
    </row>
    <row r="1320" spans="1:9" ht="75.75" customHeight="1">
      <c r="A1320" s="1" t="str">
        <f>"Chemistry 4467"</f>
        <v>Chemistry 4467</v>
      </c>
      <c r="B1320" t="s">
        <v>3339</v>
      </c>
      <c r="C1320" t="s">
        <v>128</v>
      </c>
      <c r="D1320" s="2">
        <v>36800</v>
      </c>
      <c r="E1320" s="2">
        <v>22080</v>
      </c>
      <c r="F1320" t="s">
        <v>5</v>
      </c>
      <c r="G1320" t="s">
        <v>3340</v>
      </c>
      <c r="H1320" t="s">
        <v>3333</v>
      </c>
      <c r="I1320">
        <v>213.66077999999999</v>
      </c>
    </row>
    <row r="1321" spans="1:9" ht="75.75" customHeight="1">
      <c r="A1321" s="1" t="str">
        <f>"Chemistry 4469"</f>
        <v>Chemistry 4469</v>
      </c>
      <c r="B1321" t="s">
        <v>3341</v>
      </c>
      <c r="C1321" t="s">
        <v>3330</v>
      </c>
      <c r="D1321" s="2">
        <v>47300</v>
      </c>
      <c r="E1321" s="2">
        <v>28380</v>
      </c>
      <c r="F1321" t="s">
        <v>5</v>
      </c>
      <c r="G1321" t="s">
        <v>3342</v>
      </c>
      <c r="H1321" t="s">
        <v>3343</v>
      </c>
      <c r="I1321">
        <v>202.18561</v>
      </c>
    </row>
    <row r="1322" spans="1:9" ht="75.75" customHeight="1">
      <c r="A1322" s="1" t="str">
        <f>"Chemistry 4479"</f>
        <v>Chemistry 4479</v>
      </c>
      <c r="B1322" t="s">
        <v>3344</v>
      </c>
      <c r="C1322" t="s">
        <v>3</v>
      </c>
      <c r="D1322" s="2">
        <v>19300</v>
      </c>
      <c r="E1322" s="2">
        <v>13510</v>
      </c>
      <c r="F1322" t="s">
        <v>5</v>
      </c>
      <c r="G1322" t="s">
        <v>3345</v>
      </c>
      <c r="H1322" t="s">
        <v>2046</v>
      </c>
      <c r="I1322">
        <v>238.23985999999999</v>
      </c>
    </row>
    <row r="1323" spans="1:9" ht="67.349999999999994" customHeight="1">
      <c r="A1323" s="1" t="str">
        <f>"Chemistry 4483"</f>
        <v>Chemistry 4483</v>
      </c>
      <c r="B1323" t="s">
        <v>3346</v>
      </c>
      <c r="C1323" t="s">
        <v>128</v>
      </c>
      <c r="D1323" s="2">
        <v>40300</v>
      </c>
      <c r="E1323" s="2">
        <v>24180</v>
      </c>
      <c r="F1323" t="s">
        <v>5</v>
      </c>
      <c r="G1323" t="s">
        <v>3347</v>
      </c>
      <c r="H1323" t="s">
        <v>2861</v>
      </c>
      <c r="I1323">
        <v>239.74112</v>
      </c>
    </row>
    <row r="1324" spans="1:9" ht="64.5" customHeight="1">
      <c r="A1324" s="1" t="str">
        <f>"Chemistry 4489"</f>
        <v>Chemistry 4489</v>
      </c>
      <c r="B1324" t="s">
        <v>3348</v>
      </c>
      <c r="C1324" t="s">
        <v>270</v>
      </c>
      <c r="D1324" s="2">
        <v>31500</v>
      </c>
      <c r="E1324" s="2">
        <v>18900</v>
      </c>
      <c r="F1324" t="s">
        <v>5</v>
      </c>
      <c r="G1324" t="s">
        <v>3349</v>
      </c>
      <c r="H1324" t="s">
        <v>3314</v>
      </c>
      <c r="I1324">
        <v>313.21409999999997</v>
      </c>
    </row>
    <row r="1325" spans="1:9" ht="83.1" customHeight="1">
      <c r="A1325" s="1" t="str">
        <f>"Chemistry 4490"</f>
        <v>Chemistry 4490</v>
      </c>
      <c r="B1325" t="s">
        <v>3350</v>
      </c>
      <c r="C1325" t="s">
        <v>3</v>
      </c>
      <c r="D1325" s="2">
        <v>15800</v>
      </c>
      <c r="E1325" s="2">
        <v>11060</v>
      </c>
      <c r="F1325" t="s">
        <v>5</v>
      </c>
      <c r="G1325" t="s">
        <v>3351</v>
      </c>
      <c r="H1325" t="s">
        <v>1245</v>
      </c>
      <c r="I1325">
        <v>205.20993999999999</v>
      </c>
    </row>
    <row r="1326" spans="1:9" ht="91.5" customHeight="1">
      <c r="A1326" s="1" t="str">
        <f>"Chemistry 4491"</f>
        <v>Chemistry 4491</v>
      </c>
      <c r="B1326" t="s">
        <v>3352</v>
      </c>
      <c r="C1326" t="s">
        <v>3</v>
      </c>
      <c r="D1326" s="2">
        <v>17500</v>
      </c>
      <c r="E1326" s="2">
        <v>12250</v>
      </c>
      <c r="F1326" t="s">
        <v>5</v>
      </c>
      <c r="G1326" t="s">
        <v>3353</v>
      </c>
      <c r="H1326" t="s">
        <v>3309</v>
      </c>
      <c r="I1326">
        <v>257.20850000000002</v>
      </c>
    </row>
    <row r="1327" spans="1:9" ht="91.5" customHeight="1">
      <c r="A1327" s="1" t="str">
        <f>"Chemistry 4492"</f>
        <v>Chemistry 4492</v>
      </c>
      <c r="B1327" t="s">
        <v>3354</v>
      </c>
      <c r="C1327" t="s">
        <v>3</v>
      </c>
      <c r="D1327" s="2">
        <v>17500</v>
      </c>
      <c r="E1327" s="2">
        <v>12250</v>
      </c>
      <c r="F1327" t="s">
        <v>5</v>
      </c>
      <c r="G1327" t="s">
        <v>3355</v>
      </c>
      <c r="H1327" t="s">
        <v>3356</v>
      </c>
      <c r="I1327">
        <v>273.2079</v>
      </c>
    </row>
    <row r="1328" spans="1:9" ht="52.2" customHeight="1">
      <c r="A1328" s="1" t="str">
        <f>"Chemistry 4505"</f>
        <v>Chemistry 4505</v>
      </c>
      <c r="B1328" t="s">
        <v>3358</v>
      </c>
      <c r="C1328" t="s">
        <v>270</v>
      </c>
      <c r="D1328" s="2">
        <v>12300</v>
      </c>
      <c r="E1328" s="2">
        <v>8610</v>
      </c>
      <c r="F1328" t="s">
        <v>5</v>
      </c>
      <c r="G1328" t="s">
        <v>3359</v>
      </c>
      <c r="H1328" t="s">
        <v>342</v>
      </c>
      <c r="I1328">
        <v>201.13722000000001</v>
      </c>
    </row>
    <row r="1329" spans="1:9" ht="71.849999999999994" customHeight="1">
      <c r="A1329" s="1" t="str">
        <f>"Chemistry 4512"</f>
        <v>Chemistry 4512</v>
      </c>
      <c r="B1329" t="s">
        <v>3360</v>
      </c>
      <c r="C1329" t="s">
        <v>3</v>
      </c>
      <c r="D1329" s="2">
        <v>21000</v>
      </c>
      <c r="E1329" s="2">
        <v>14699.999999999998</v>
      </c>
      <c r="F1329" t="s">
        <v>5</v>
      </c>
      <c r="G1329" t="s">
        <v>3361</v>
      </c>
      <c r="H1329" t="s">
        <v>3133</v>
      </c>
      <c r="I1329">
        <v>158.13038</v>
      </c>
    </row>
    <row r="1330" spans="1:9" ht="52.2" customHeight="1">
      <c r="A1330" s="1" t="str">
        <f>"Chemistry 4514"</f>
        <v>Chemistry 4514</v>
      </c>
      <c r="B1330" t="s">
        <v>3362</v>
      </c>
      <c r="C1330" t="s">
        <v>270</v>
      </c>
      <c r="D1330" s="2">
        <v>22800</v>
      </c>
      <c r="E1330" s="2">
        <v>15959.999999999998</v>
      </c>
      <c r="F1330" t="s">
        <v>5</v>
      </c>
      <c r="G1330" t="s">
        <v>3363</v>
      </c>
      <c r="H1330" t="s">
        <v>3157</v>
      </c>
      <c r="I1330">
        <v>199.05346</v>
      </c>
    </row>
    <row r="1331" spans="1:9" ht="76.95" customHeight="1">
      <c r="A1331" s="1" t="str">
        <f>"Chemistry 4516"</f>
        <v>Chemistry 4516</v>
      </c>
      <c r="B1331" t="s">
        <v>3364</v>
      </c>
      <c r="C1331" t="s">
        <v>3</v>
      </c>
      <c r="D1331" s="2">
        <v>40300</v>
      </c>
      <c r="E1331" s="2">
        <v>24180</v>
      </c>
      <c r="F1331" t="s">
        <v>5</v>
      </c>
      <c r="G1331" t="s">
        <v>3365</v>
      </c>
      <c r="H1331" t="s">
        <v>2754</v>
      </c>
      <c r="I1331">
        <v>306.37511999999998</v>
      </c>
    </row>
    <row r="1332" spans="1:9" ht="70.2" customHeight="1">
      <c r="A1332" s="1" t="str">
        <f>"Chemistry 4518"</f>
        <v>Chemistry 4518</v>
      </c>
      <c r="B1332" t="s">
        <v>3367</v>
      </c>
      <c r="C1332" t="s">
        <v>3</v>
      </c>
      <c r="D1332" s="2">
        <v>24500</v>
      </c>
      <c r="E1332" s="2">
        <v>17150</v>
      </c>
      <c r="F1332" t="s">
        <v>5</v>
      </c>
      <c r="G1332" t="s">
        <v>3368</v>
      </c>
      <c r="H1332" t="s">
        <v>2162</v>
      </c>
      <c r="I1332">
        <v>190.23835</v>
      </c>
    </row>
    <row r="1333" spans="1:9" ht="61.2" customHeight="1">
      <c r="A1333" s="1" t="str">
        <f>"Chemistry 4524"</f>
        <v>Chemistry 4524</v>
      </c>
      <c r="B1333" t="s">
        <v>3369</v>
      </c>
      <c r="C1333" t="s">
        <v>270</v>
      </c>
      <c r="D1333" s="2">
        <v>31500</v>
      </c>
      <c r="E1333" s="2">
        <v>18900</v>
      </c>
      <c r="F1333" t="s">
        <v>5</v>
      </c>
      <c r="G1333" t="s">
        <v>3370</v>
      </c>
      <c r="H1333" t="s">
        <v>3314</v>
      </c>
      <c r="I1333">
        <v>313.21409999999997</v>
      </c>
    </row>
    <row r="1334" spans="1:9" ht="75.75" customHeight="1">
      <c r="A1334" s="1" t="str">
        <f>"Chemistry 4547"</f>
        <v>Chemistry 4547</v>
      </c>
      <c r="B1334" t="s">
        <v>3371</v>
      </c>
      <c r="C1334" t="s">
        <v>3</v>
      </c>
      <c r="D1334" s="2">
        <v>19300</v>
      </c>
      <c r="E1334" s="2">
        <v>13510</v>
      </c>
      <c r="F1334" t="s">
        <v>5</v>
      </c>
      <c r="G1334" t="s">
        <v>3372</v>
      </c>
      <c r="H1334" t="s">
        <v>12</v>
      </c>
      <c r="I1334">
        <v>196.20317</v>
      </c>
    </row>
    <row r="1335" spans="1:9" ht="82.05" customHeight="1">
      <c r="A1335" s="1" t="str">
        <f>"Chemistry 4555"</f>
        <v>Chemistry 4555</v>
      </c>
      <c r="B1335" t="s">
        <v>3373</v>
      </c>
      <c r="C1335" t="s">
        <v>128</v>
      </c>
      <c r="D1335" s="2">
        <v>17500</v>
      </c>
      <c r="E1335" s="2">
        <v>12250</v>
      </c>
      <c r="F1335" t="s">
        <v>5</v>
      </c>
      <c r="G1335" t="s">
        <v>3374</v>
      </c>
      <c r="H1335" t="s">
        <v>2696</v>
      </c>
      <c r="I1335">
        <v>215.60396</v>
      </c>
    </row>
    <row r="1336" spans="1:9" ht="56.1" customHeight="1">
      <c r="A1336" s="1" t="str">
        <f>"Chemistry 4557"</f>
        <v>Chemistry 4557</v>
      </c>
      <c r="B1336" t="s">
        <v>3375</v>
      </c>
      <c r="C1336" t="s">
        <v>128</v>
      </c>
      <c r="D1336" s="2">
        <v>21000</v>
      </c>
      <c r="E1336" s="2">
        <v>14699.999999999998</v>
      </c>
      <c r="F1336" t="s">
        <v>5</v>
      </c>
      <c r="G1336" t="s">
        <v>3376</v>
      </c>
      <c r="H1336" t="s">
        <v>2696</v>
      </c>
      <c r="I1336">
        <v>215.60396</v>
      </c>
    </row>
    <row r="1337" spans="1:9" ht="59.55" customHeight="1">
      <c r="A1337" s="1" t="str">
        <f>"Chemistry 4558"</f>
        <v>Chemistry 4558</v>
      </c>
      <c r="B1337" t="s">
        <v>3377</v>
      </c>
      <c r="C1337" t="s">
        <v>128</v>
      </c>
      <c r="D1337" s="2">
        <v>19300</v>
      </c>
      <c r="E1337" s="2">
        <v>13510</v>
      </c>
      <c r="F1337" t="s">
        <v>5</v>
      </c>
      <c r="G1337" t="s">
        <v>3378</v>
      </c>
      <c r="H1337" t="s">
        <v>2969</v>
      </c>
      <c r="I1337">
        <v>191.65855999999999</v>
      </c>
    </row>
    <row r="1338" spans="1:9" ht="103.95" customHeight="1">
      <c r="A1338" s="1" t="str">
        <f>"Chemistry 4561"</f>
        <v>Chemistry 4561</v>
      </c>
      <c r="B1338" t="s">
        <v>3380</v>
      </c>
      <c r="C1338" t="s">
        <v>3</v>
      </c>
      <c r="D1338" s="2">
        <v>28000</v>
      </c>
      <c r="E1338" s="2">
        <v>16800</v>
      </c>
      <c r="F1338" t="s">
        <v>5</v>
      </c>
      <c r="G1338" t="s">
        <v>3381</v>
      </c>
      <c r="H1338" t="s">
        <v>3382</v>
      </c>
      <c r="I1338">
        <v>302.77379999999999</v>
      </c>
    </row>
    <row r="1339" spans="1:9" ht="94.95" customHeight="1">
      <c r="A1339" s="1" t="str">
        <f>"Chemistry 4562"</f>
        <v>Chemistry 4562</v>
      </c>
      <c r="B1339" t="s">
        <v>3383</v>
      </c>
      <c r="C1339" t="s">
        <v>3</v>
      </c>
      <c r="D1339" s="2">
        <v>28000</v>
      </c>
      <c r="E1339" s="2">
        <v>16800</v>
      </c>
      <c r="F1339" t="s">
        <v>5</v>
      </c>
      <c r="G1339" t="s">
        <v>3384</v>
      </c>
      <c r="H1339" t="s">
        <v>3366</v>
      </c>
      <c r="I1339">
        <v>298.35471999999999</v>
      </c>
    </row>
    <row r="1340" spans="1:9" ht="48.3" customHeight="1">
      <c r="A1340" s="1" t="str">
        <f>"Chemistry 4564"</f>
        <v>Chemistry 4564</v>
      </c>
      <c r="B1340" t="s">
        <v>3386</v>
      </c>
      <c r="C1340" t="s">
        <v>128</v>
      </c>
      <c r="D1340" s="2">
        <v>28000</v>
      </c>
      <c r="E1340" s="2">
        <v>16800</v>
      </c>
      <c r="F1340" t="s">
        <v>5</v>
      </c>
      <c r="G1340" t="s">
        <v>3387</v>
      </c>
      <c r="H1340" t="s">
        <v>3385</v>
      </c>
      <c r="I1340">
        <v>293.78528</v>
      </c>
    </row>
    <row r="1341" spans="1:9" ht="67.349999999999994" customHeight="1">
      <c r="A1341" s="1" t="str">
        <f>"Chemistry 4565"</f>
        <v>Chemistry 4565</v>
      </c>
      <c r="B1341" t="s">
        <v>3388</v>
      </c>
      <c r="C1341" t="s">
        <v>128</v>
      </c>
      <c r="D1341" s="2">
        <v>28000</v>
      </c>
      <c r="E1341" s="2">
        <v>16800</v>
      </c>
      <c r="F1341" t="s">
        <v>5</v>
      </c>
      <c r="G1341" t="s">
        <v>3389</v>
      </c>
      <c r="H1341" t="s">
        <v>3390</v>
      </c>
      <c r="I1341">
        <v>310.23988000000003</v>
      </c>
    </row>
    <row r="1342" spans="1:9" ht="87" customHeight="1">
      <c r="A1342" s="1" t="str">
        <f>"Chemistry 4573"</f>
        <v>Chemistry 4573</v>
      </c>
      <c r="B1342" t="s">
        <v>3391</v>
      </c>
      <c r="C1342" t="s">
        <v>3</v>
      </c>
      <c r="D1342" s="2">
        <v>19300</v>
      </c>
      <c r="E1342" s="2">
        <v>13510</v>
      </c>
      <c r="F1342" t="s">
        <v>5</v>
      </c>
      <c r="G1342" t="s">
        <v>3392</v>
      </c>
      <c r="H1342" t="s">
        <v>3357</v>
      </c>
      <c r="I1342">
        <v>266.09402</v>
      </c>
    </row>
    <row r="1343" spans="1:9" ht="71.25" customHeight="1">
      <c r="A1343" s="1" t="str">
        <f>"Chemistry 4575"</f>
        <v>Chemistry 4575</v>
      </c>
      <c r="B1343" t="s">
        <v>3393</v>
      </c>
      <c r="C1343" t="s">
        <v>3</v>
      </c>
      <c r="D1343" s="2">
        <v>26300</v>
      </c>
      <c r="E1343" s="2">
        <v>15780</v>
      </c>
      <c r="F1343" t="s">
        <v>5</v>
      </c>
      <c r="G1343" t="s">
        <v>3394</v>
      </c>
      <c r="H1343" t="s">
        <v>3310</v>
      </c>
      <c r="I1343">
        <v>283.09642000000002</v>
      </c>
    </row>
    <row r="1344" spans="1:9" ht="67.95" customHeight="1">
      <c r="A1344" s="1" t="str">
        <f>"Chemistry 4578"</f>
        <v>Chemistry 4578</v>
      </c>
      <c r="B1344" t="s">
        <v>3395</v>
      </c>
      <c r="C1344" t="s">
        <v>3</v>
      </c>
      <c r="D1344" s="2">
        <v>17500</v>
      </c>
      <c r="E1344" s="2">
        <v>12250</v>
      </c>
      <c r="F1344" t="s">
        <v>5</v>
      </c>
      <c r="G1344" t="s">
        <v>3396</v>
      </c>
      <c r="H1344" t="s">
        <v>3397</v>
      </c>
      <c r="I1344">
        <v>172.17848000000001</v>
      </c>
    </row>
    <row r="1345" spans="1:9" ht="67.95" customHeight="1">
      <c r="A1345" s="1" t="str">
        <f>"Chemistry 4579"</f>
        <v>Chemistry 4579</v>
      </c>
      <c r="B1345" t="s">
        <v>3398</v>
      </c>
      <c r="C1345" t="s">
        <v>3</v>
      </c>
      <c r="D1345" s="2">
        <v>17500</v>
      </c>
      <c r="E1345" s="2">
        <v>12250</v>
      </c>
      <c r="F1345" t="s">
        <v>5</v>
      </c>
      <c r="G1345" t="s">
        <v>3399</v>
      </c>
      <c r="H1345" t="s">
        <v>3397</v>
      </c>
      <c r="I1345">
        <v>172.17848000000001</v>
      </c>
    </row>
    <row r="1346" spans="1:9" ht="64.05" customHeight="1">
      <c r="A1346" s="1" t="str">
        <f>"Chemistry 4581"</f>
        <v>Chemistry 4581</v>
      </c>
      <c r="B1346" t="s">
        <v>3400</v>
      </c>
      <c r="C1346" t="s">
        <v>3</v>
      </c>
      <c r="D1346" s="2">
        <v>26300</v>
      </c>
      <c r="E1346" s="2">
        <v>15780</v>
      </c>
      <c r="F1346" t="s">
        <v>5</v>
      </c>
      <c r="G1346" t="s">
        <v>3401</v>
      </c>
      <c r="H1346" t="s">
        <v>2648</v>
      </c>
      <c r="I1346">
        <v>148.20498000000001</v>
      </c>
    </row>
    <row r="1347" spans="1:9" ht="71.849999999999994" customHeight="1">
      <c r="A1347" s="1" t="str">
        <f>"Chemistry 4582"</f>
        <v>Chemistry 4582</v>
      </c>
      <c r="B1347" t="s">
        <v>3402</v>
      </c>
      <c r="C1347" t="s">
        <v>3</v>
      </c>
      <c r="D1347" s="2">
        <v>26300</v>
      </c>
      <c r="E1347" s="2">
        <v>15780</v>
      </c>
      <c r="F1347" t="s">
        <v>5</v>
      </c>
      <c r="G1347" t="s">
        <v>3403</v>
      </c>
      <c r="H1347" t="s">
        <v>2719</v>
      </c>
      <c r="I1347">
        <v>206.25935999999999</v>
      </c>
    </row>
    <row r="1348" spans="1:9" ht="55.5" customHeight="1">
      <c r="A1348" s="1" t="str">
        <f>"Chemistry 4598"</f>
        <v>Chemistry 4598</v>
      </c>
      <c r="B1348" t="s">
        <v>3404</v>
      </c>
      <c r="C1348" t="s">
        <v>3</v>
      </c>
      <c r="D1348" s="2">
        <v>19300</v>
      </c>
      <c r="E1348" s="2">
        <v>13510</v>
      </c>
      <c r="F1348" t="s">
        <v>5</v>
      </c>
      <c r="G1348" t="s">
        <v>3405</v>
      </c>
      <c r="H1348" t="s">
        <v>3271</v>
      </c>
      <c r="I1348">
        <v>203.03657999999999</v>
      </c>
    </row>
    <row r="1349" spans="1:9" ht="62.85" customHeight="1">
      <c r="A1349" s="1" t="str">
        <f>"Chemistry 4616"</f>
        <v>Chemistry 4616</v>
      </c>
      <c r="B1349" t="s">
        <v>3406</v>
      </c>
      <c r="C1349" t="s">
        <v>3</v>
      </c>
      <c r="D1349" s="2">
        <v>21000</v>
      </c>
      <c r="E1349" s="2">
        <v>14699.999999999998</v>
      </c>
      <c r="F1349" t="s">
        <v>5</v>
      </c>
      <c r="G1349" t="s">
        <v>3407</v>
      </c>
      <c r="H1349" t="s">
        <v>2006</v>
      </c>
      <c r="I1349">
        <v>177.16007999999999</v>
      </c>
    </row>
    <row r="1350" spans="1:9" ht="106.2" customHeight="1">
      <c r="A1350" s="1" t="str">
        <f>"Chemistry 4618"</f>
        <v>Chemistry 4618</v>
      </c>
      <c r="B1350" t="s">
        <v>3408</v>
      </c>
      <c r="C1350" t="s">
        <v>3</v>
      </c>
      <c r="D1350" s="2">
        <v>15800</v>
      </c>
      <c r="E1350" s="2">
        <v>11060</v>
      </c>
      <c r="F1350" t="s">
        <v>5</v>
      </c>
      <c r="G1350" t="s">
        <v>3409</v>
      </c>
      <c r="H1350" t="s">
        <v>3221</v>
      </c>
      <c r="I1350">
        <v>286.20666</v>
      </c>
    </row>
    <row r="1351" spans="1:9" ht="81.45" customHeight="1">
      <c r="A1351" s="1" t="str">
        <f>"Chemistry 4619"</f>
        <v>Chemistry 4619</v>
      </c>
      <c r="B1351" t="s">
        <v>3410</v>
      </c>
      <c r="C1351" t="s">
        <v>3</v>
      </c>
      <c r="D1351" s="2">
        <v>26300</v>
      </c>
      <c r="E1351" s="2">
        <v>15780</v>
      </c>
      <c r="F1351" t="s">
        <v>5</v>
      </c>
      <c r="G1351" t="s">
        <v>3411</v>
      </c>
      <c r="H1351" t="s">
        <v>3412</v>
      </c>
      <c r="I1351">
        <v>234.31252000000001</v>
      </c>
    </row>
    <row r="1352" spans="1:9" ht="94.35" customHeight="1">
      <c r="A1352" s="1" t="str">
        <f>"Chemistry 4620"</f>
        <v>Chemistry 4620</v>
      </c>
      <c r="B1352" t="s">
        <v>3413</v>
      </c>
      <c r="C1352" t="s">
        <v>3</v>
      </c>
      <c r="D1352" s="2">
        <v>26300</v>
      </c>
      <c r="E1352" s="2">
        <v>15780</v>
      </c>
      <c r="F1352" t="s">
        <v>5</v>
      </c>
      <c r="G1352" t="s">
        <v>3414</v>
      </c>
      <c r="H1352" t="s">
        <v>3415</v>
      </c>
      <c r="I1352">
        <v>232.29664</v>
      </c>
    </row>
    <row r="1353" spans="1:9" ht="44.25" customHeight="1">
      <c r="A1353" s="1" t="str">
        <f>"Chemistry 4623"</f>
        <v>Chemistry 4623</v>
      </c>
      <c r="B1353" t="s">
        <v>3416</v>
      </c>
      <c r="C1353" t="s">
        <v>128</v>
      </c>
      <c r="D1353" s="2">
        <v>28000</v>
      </c>
      <c r="E1353" s="2">
        <v>16800</v>
      </c>
      <c r="F1353" t="s">
        <v>5</v>
      </c>
      <c r="G1353" t="s">
        <v>3417</v>
      </c>
      <c r="H1353" t="s">
        <v>3418</v>
      </c>
      <c r="I1353">
        <v>253.7893</v>
      </c>
    </row>
    <row r="1354" spans="1:9" ht="67.349999999999994" customHeight="1">
      <c r="A1354" s="1" t="str">
        <f>"Chemistry 4658"</f>
        <v>Chemistry 4658</v>
      </c>
      <c r="B1354" t="s">
        <v>3420</v>
      </c>
      <c r="C1354" t="s">
        <v>128</v>
      </c>
      <c r="D1354" s="2">
        <v>40300</v>
      </c>
      <c r="E1354" s="2">
        <v>24180</v>
      </c>
      <c r="F1354" t="s">
        <v>5</v>
      </c>
      <c r="G1354" t="s">
        <v>3421</v>
      </c>
      <c r="H1354" t="s">
        <v>2861</v>
      </c>
      <c r="I1354">
        <v>239.74112</v>
      </c>
    </row>
    <row r="1355" spans="1:9" ht="84.75" customHeight="1">
      <c r="A1355" s="1" t="str">
        <f>"Chemistry 4659"</f>
        <v>Chemistry 4659</v>
      </c>
      <c r="B1355" t="s">
        <v>3422</v>
      </c>
      <c r="C1355" t="s">
        <v>128</v>
      </c>
      <c r="D1355" s="2">
        <v>40300</v>
      </c>
      <c r="E1355" s="2">
        <v>24180</v>
      </c>
      <c r="F1355" t="s">
        <v>5</v>
      </c>
      <c r="G1355" t="s">
        <v>3423</v>
      </c>
      <c r="H1355" t="s">
        <v>3304</v>
      </c>
      <c r="I1355">
        <v>293.71249999999998</v>
      </c>
    </row>
    <row r="1356" spans="1:9" ht="94.35" customHeight="1">
      <c r="A1356" s="1" t="str">
        <f>"Chemistry 4660"</f>
        <v>Chemistry 4660</v>
      </c>
      <c r="B1356" t="s">
        <v>3424</v>
      </c>
      <c r="C1356" t="s">
        <v>3</v>
      </c>
      <c r="D1356" s="2">
        <v>26300</v>
      </c>
      <c r="E1356" s="2">
        <v>15780</v>
      </c>
      <c r="F1356" t="s">
        <v>5</v>
      </c>
      <c r="G1356" t="s">
        <v>3425</v>
      </c>
      <c r="H1356" t="s">
        <v>3426</v>
      </c>
      <c r="I1356">
        <v>236.28533999999999</v>
      </c>
    </row>
    <row r="1357" spans="1:9" ht="94.35" customHeight="1">
      <c r="A1357" s="1" t="str">
        <f>"Chemistry 4661"</f>
        <v>Chemistry 4661</v>
      </c>
      <c r="B1357" t="s">
        <v>3427</v>
      </c>
      <c r="C1357" t="s">
        <v>128</v>
      </c>
      <c r="D1357" s="2">
        <v>28000</v>
      </c>
      <c r="E1357" s="2">
        <v>16800</v>
      </c>
      <c r="F1357" t="s">
        <v>5</v>
      </c>
      <c r="G1357" t="s">
        <v>3428</v>
      </c>
      <c r="H1357" t="s">
        <v>3429</v>
      </c>
      <c r="I1357">
        <v>305.77773999999999</v>
      </c>
    </row>
    <row r="1358" spans="1:9" ht="45.45" customHeight="1">
      <c r="A1358" s="1" t="str">
        <f>"Chemistry 4662"</f>
        <v>Chemistry 4662</v>
      </c>
      <c r="B1358" t="s">
        <v>3430</v>
      </c>
      <c r="C1358" t="s">
        <v>3</v>
      </c>
      <c r="D1358" s="2">
        <v>28000</v>
      </c>
      <c r="E1358" s="2">
        <v>16800</v>
      </c>
      <c r="F1358" t="s">
        <v>5</v>
      </c>
      <c r="G1358" t="s">
        <v>3431</v>
      </c>
      <c r="H1358" t="s">
        <v>3432</v>
      </c>
      <c r="I1358">
        <v>205.31765999999999</v>
      </c>
    </row>
    <row r="1359" spans="1:9" ht="51.6" customHeight="1">
      <c r="A1359" s="1" t="str">
        <f>"Chemistry 4663"</f>
        <v>Chemistry 4663</v>
      </c>
      <c r="B1359" t="s">
        <v>3433</v>
      </c>
      <c r="C1359" t="s">
        <v>270</v>
      </c>
      <c r="D1359" s="2">
        <v>35000</v>
      </c>
      <c r="E1359" s="2">
        <v>21000</v>
      </c>
      <c r="F1359" t="s">
        <v>5</v>
      </c>
      <c r="G1359" t="s">
        <v>3434</v>
      </c>
      <c r="H1359" t="s">
        <v>3435</v>
      </c>
      <c r="I1359">
        <v>313.24382000000003</v>
      </c>
    </row>
    <row r="1360" spans="1:9" ht="91.05" customHeight="1">
      <c r="A1360" s="1" t="str">
        <f>"Chemistry 4664"</f>
        <v>Chemistry 4664</v>
      </c>
      <c r="B1360" t="s">
        <v>3436</v>
      </c>
      <c r="C1360" t="s">
        <v>3</v>
      </c>
      <c r="D1360" s="2">
        <v>26300</v>
      </c>
      <c r="E1360" s="2">
        <v>15780</v>
      </c>
      <c r="F1360" t="s">
        <v>5</v>
      </c>
      <c r="G1360" t="s">
        <v>3437</v>
      </c>
      <c r="H1360" t="s">
        <v>2479</v>
      </c>
      <c r="I1360">
        <v>234.29092</v>
      </c>
    </row>
    <row r="1361" spans="1:9" ht="67.95" customHeight="1">
      <c r="A1361" s="1" t="str">
        <f>"Chemistry 4693"</f>
        <v>Chemistry 4693</v>
      </c>
      <c r="B1361" t="s">
        <v>3438</v>
      </c>
      <c r="C1361" t="s">
        <v>3</v>
      </c>
      <c r="D1361" s="2">
        <v>21000</v>
      </c>
      <c r="E1361" s="2">
        <v>14699.999999999998</v>
      </c>
      <c r="F1361" t="s">
        <v>5</v>
      </c>
      <c r="G1361" t="s">
        <v>3439</v>
      </c>
      <c r="H1361" t="s">
        <v>1864</v>
      </c>
      <c r="I1361">
        <v>168.15002000000001</v>
      </c>
    </row>
    <row r="1362" spans="1:9" ht="67.95" customHeight="1">
      <c r="A1362" s="1" t="str">
        <f>"Chemistry 4694"</f>
        <v>Chemistry 4694</v>
      </c>
      <c r="B1362" t="s">
        <v>3440</v>
      </c>
      <c r="C1362" t="s">
        <v>3</v>
      </c>
      <c r="D1362" s="2">
        <v>21000</v>
      </c>
      <c r="E1362" s="2">
        <v>14699.999999999998</v>
      </c>
      <c r="F1362" t="s">
        <v>5</v>
      </c>
      <c r="G1362" t="s">
        <v>3441</v>
      </c>
      <c r="H1362" t="s">
        <v>1932</v>
      </c>
      <c r="I1362">
        <v>198.17599999999999</v>
      </c>
    </row>
    <row r="1363" spans="1:9" ht="85.95" customHeight="1">
      <c r="A1363" s="1" t="str">
        <f>"Chemistry 4698"</f>
        <v>Chemistry 4698</v>
      </c>
      <c r="B1363" t="s">
        <v>3442</v>
      </c>
      <c r="C1363" t="s">
        <v>3</v>
      </c>
      <c r="D1363" s="2">
        <v>22800</v>
      </c>
      <c r="E1363" s="2">
        <v>15959.999999999998</v>
      </c>
      <c r="F1363" t="s">
        <v>5</v>
      </c>
      <c r="G1363" t="s">
        <v>3443</v>
      </c>
      <c r="H1363" t="s">
        <v>1962</v>
      </c>
      <c r="I1363">
        <v>194.18729999999999</v>
      </c>
    </row>
    <row r="1364" spans="1:9" ht="75.75" customHeight="1">
      <c r="A1364" s="1" t="str">
        <f>"Chemistry 4702"</f>
        <v>Chemistry 4702</v>
      </c>
      <c r="B1364" t="s">
        <v>3444</v>
      </c>
      <c r="C1364" t="s">
        <v>3</v>
      </c>
      <c r="D1364" s="2">
        <v>19300</v>
      </c>
      <c r="E1364" s="2">
        <v>13510</v>
      </c>
      <c r="F1364" t="s">
        <v>5</v>
      </c>
      <c r="G1364" t="s">
        <v>3445</v>
      </c>
      <c r="H1364" t="s">
        <v>1973</v>
      </c>
      <c r="I1364">
        <v>222.12139999999999</v>
      </c>
    </row>
    <row r="1365" spans="1:9" ht="71.25" customHeight="1">
      <c r="A1365" s="1" t="str">
        <f>"Chemistry 4704"</f>
        <v>Chemistry 4704</v>
      </c>
      <c r="B1365" t="s">
        <v>3446</v>
      </c>
      <c r="C1365" t="s">
        <v>3</v>
      </c>
      <c r="D1365" s="2">
        <v>40300</v>
      </c>
      <c r="E1365" s="2">
        <v>24180</v>
      </c>
      <c r="F1365" t="s">
        <v>5</v>
      </c>
      <c r="G1365" t="s">
        <v>3447</v>
      </c>
      <c r="H1365" t="s">
        <v>3419</v>
      </c>
      <c r="I1365">
        <v>223.69865999999999</v>
      </c>
    </row>
    <row r="1366" spans="1:9" ht="103.95" customHeight="1">
      <c r="A1366" s="1" t="str">
        <f>"Chemistry 4705"</f>
        <v>Chemistry 4705</v>
      </c>
      <c r="B1366" t="s">
        <v>3448</v>
      </c>
      <c r="C1366" t="s">
        <v>3</v>
      </c>
      <c r="D1366" s="2">
        <v>28000</v>
      </c>
      <c r="E1366" s="2">
        <v>16800</v>
      </c>
      <c r="F1366" t="s">
        <v>5</v>
      </c>
      <c r="G1366" t="s">
        <v>3449</v>
      </c>
      <c r="H1366" t="s">
        <v>3366</v>
      </c>
      <c r="I1366">
        <v>298.35471999999999</v>
      </c>
    </row>
    <row r="1367" spans="1:9" ht="44.25" customHeight="1">
      <c r="A1367" s="1" t="str">
        <f>"Chemistry 4706"</f>
        <v>Chemistry 4706</v>
      </c>
      <c r="B1367" t="s">
        <v>3450</v>
      </c>
      <c r="C1367" t="s">
        <v>3</v>
      </c>
      <c r="D1367" s="2">
        <v>28000</v>
      </c>
      <c r="E1367" s="2">
        <v>16800</v>
      </c>
      <c r="F1367" t="s">
        <v>5</v>
      </c>
      <c r="G1367" t="s">
        <v>3451</v>
      </c>
      <c r="H1367" t="s">
        <v>3452</v>
      </c>
      <c r="I1367">
        <v>203.30178000000001</v>
      </c>
    </row>
    <row r="1368" spans="1:9" ht="79.2" customHeight="1">
      <c r="A1368" s="1" t="str">
        <f>"Chemistry 4708"</f>
        <v>Chemistry 4708</v>
      </c>
      <c r="B1368" t="s">
        <v>3453</v>
      </c>
      <c r="C1368" t="s">
        <v>3</v>
      </c>
      <c r="D1368" s="2">
        <v>19300</v>
      </c>
      <c r="E1368" s="2">
        <v>13510</v>
      </c>
      <c r="F1368" t="s">
        <v>5</v>
      </c>
      <c r="G1368" t="s">
        <v>3454</v>
      </c>
      <c r="H1368" t="s">
        <v>3272</v>
      </c>
      <c r="I1368">
        <v>251.07937999999999</v>
      </c>
    </row>
    <row r="1369" spans="1:9" ht="63.45" customHeight="1">
      <c r="A1369" s="1" t="str">
        <f>"Chemistry 4721"</f>
        <v>Chemistry 4721</v>
      </c>
      <c r="B1369" t="s">
        <v>3455</v>
      </c>
      <c r="C1369" t="s">
        <v>128</v>
      </c>
      <c r="D1369" s="2">
        <v>21000</v>
      </c>
      <c r="E1369" s="2">
        <v>14699.999999999998</v>
      </c>
      <c r="F1369" t="s">
        <v>5</v>
      </c>
      <c r="G1369" t="s">
        <v>3456</v>
      </c>
      <c r="H1369" t="s">
        <v>289</v>
      </c>
      <c r="I1369">
        <v>190.67049</v>
      </c>
    </row>
    <row r="1370" spans="1:9" ht="94.35" customHeight="1">
      <c r="A1370" s="1" t="str">
        <f>"Chemistry 4735"</f>
        <v>Chemistry 4735</v>
      </c>
      <c r="B1370" t="s">
        <v>3457</v>
      </c>
      <c r="C1370" t="s">
        <v>128</v>
      </c>
      <c r="D1370" s="2">
        <v>28000</v>
      </c>
      <c r="E1370" s="2">
        <v>16800</v>
      </c>
      <c r="F1370" t="s">
        <v>5</v>
      </c>
      <c r="G1370" t="s">
        <v>3458</v>
      </c>
      <c r="H1370" t="s">
        <v>3429</v>
      </c>
      <c r="I1370">
        <v>305.77773999999999</v>
      </c>
    </row>
    <row r="1371" spans="1:9" ht="49.35" customHeight="1">
      <c r="A1371" s="1" t="str">
        <f>"Chemistry 4736"</f>
        <v>Chemistry 4736</v>
      </c>
      <c r="B1371" t="s">
        <v>3459</v>
      </c>
      <c r="C1371" t="s">
        <v>3</v>
      </c>
      <c r="D1371" s="2">
        <v>28000</v>
      </c>
      <c r="E1371" s="2">
        <v>16800</v>
      </c>
      <c r="F1371" t="s">
        <v>5</v>
      </c>
      <c r="G1371" t="s">
        <v>3460</v>
      </c>
      <c r="H1371" t="s">
        <v>3461</v>
      </c>
      <c r="I1371">
        <v>207.29048</v>
      </c>
    </row>
    <row r="1372" spans="1:9" ht="82.5" customHeight="1">
      <c r="A1372" s="1" t="str">
        <f>"Chemistry 4738"</f>
        <v>Chemistry 4738</v>
      </c>
      <c r="B1372" t="s">
        <v>3462</v>
      </c>
      <c r="C1372" t="s">
        <v>128</v>
      </c>
      <c r="D1372" s="2">
        <v>28000</v>
      </c>
      <c r="E1372" s="2">
        <v>16800</v>
      </c>
      <c r="F1372" t="s">
        <v>5</v>
      </c>
      <c r="G1372" t="s">
        <v>3463</v>
      </c>
      <c r="H1372" t="s">
        <v>3464</v>
      </c>
      <c r="I1372">
        <v>343.79277999999999</v>
      </c>
    </row>
    <row r="1373" spans="1:9" ht="78.599999999999994" customHeight="1">
      <c r="A1373" s="1" t="str">
        <f>"Chemistry 4742"</f>
        <v>Chemistry 4742</v>
      </c>
      <c r="B1373" t="s">
        <v>3466</v>
      </c>
      <c r="C1373" t="s">
        <v>3</v>
      </c>
      <c r="D1373" s="2">
        <v>19300</v>
      </c>
      <c r="E1373" s="2">
        <v>13510</v>
      </c>
      <c r="F1373" t="s">
        <v>5</v>
      </c>
      <c r="G1373" t="s">
        <v>3467</v>
      </c>
      <c r="H1373" t="s">
        <v>3465</v>
      </c>
      <c r="I1373">
        <v>230.10167999999999</v>
      </c>
    </row>
    <row r="1374" spans="1:9" ht="58.35" customHeight="1">
      <c r="A1374" s="1" t="str">
        <f>"Chemistry 4747"</f>
        <v>Chemistry 4747</v>
      </c>
      <c r="B1374" t="s">
        <v>3468</v>
      </c>
      <c r="C1374" t="s">
        <v>3</v>
      </c>
      <c r="D1374" s="2">
        <v>15800</v>
      </c>
      <c r="E1374" s="2">
        <v>11060</v>
      </c>
      <c r="F1374" t="s">
        <v>5</v>
      </c>
      <c r="G1374" t="s">
        <v>3469</v>
      </c>
      <c r="H1374" t="s">
        <v>3465</v>
      </c>
      <c r="I1374">
        <v>230.10167999999999</v>
      </c>
    </row>
    <row r="1375" spans="1:9" ht="67.95" customHeight="1">
      <c r="A1375" s="1" t="str">
        <f>"Chemistry 4758"</f>
        <v>Chemistry 4758</v>
      </c>
      <c r="B1375" t="s">
        <v>3470</v>
      </c>
      <c r="C1375" t="s">
        <v>3</v>
      </c>
      <c r="D1375" s="2">
        <v>22800</v>
      </c>
      <c r="E1375" s="2">
        <v>15959.999999999998</v>
      </c>
      <c r="F1375" t="s">
        <v>5</v>
      </c>
      <c r="G1375" t="s">
        <v>3471</v>
      </c>
      <c r="H1375" t="s">
        <v>1973</v>
      </c>
      <c r="I1375">
        <v>222.12139999999999</v>
      </c>
    </row>
    <row r="1376" spans="1:9" ht="78.599999999999994" customHeight="1">
      <c r="A1376" s="1" t="str">
        <f>"Chemistry 4761"</f>
        <v>Chemistry 4761</v>
      </c>
      <c r="B1376" t="s">
        <v>3472</v>
      </c>
      <c r="C1376" t="s">
        <v>3</v>
      </c>
      <c r="D1376" s="2">
        <v>22800</v>
      </c>
      <c r="E1376" s="2">
        <v>15959.999999999998</v>
      </c>
      <c r="F1376" t="s">
        <v>5</v>
      </c>
      <c r="G1376" t="s">
        <v>3473</v>
      </c>
      <c r="H1376" t="s">
        <v>2009</v>
      </c>
      <c r="I1376">
        <v>224.21328</v>
      </c>
    </row>
    <row r="1377" spans="1:9" ht="61.8" customHeight="1">
      <c r="A1377" s="1" t="str">
        <f>"Chemistry 4764"</f>
        <v>Chemistry 4764</v>
      </c>
      <c r="B1377" t="s">
        <v>3474</v>
      </c>
      <c r="C1377" t="s">
        <v>128</v>
      </c>
      <c r="D1377" s="2">
        <v>15800</v>
      </c>
      <c r="E1377" s="2">
        <v>11060</v>
      </c>
      <c r="F1377" t="s">
        <v>5</v>
      </c>
      <c r="G1377" t="s">
        <v>3475</v>
      </c>
      <c r="H1377" t="s">
        <v>3476</v>
      </c>
      <c r="I1377">
        <v>199.72031999999999</v>
      </c>
    </row>
    <row r="1378" spans="1:9" ht="61.8" customHeight="1">
      <c r="A1378" s="1" t="str">
        <f>"Chemistry 4765"</f>
        <v>Chemistry 4765</v>
      </c>
      <c r="B1378" t="s">
        <v>3477</v>
      </c>
      <c r="C1378" t="s">
        <v>128</v>
      </c>
      <c r="D1378" s="2">
        <v>15800</v>
      </c>
      <c r="E1378" s="2">
        <v>11060</v>
      </c>
      <c r="F1378" t="s">
        <v>5</v>
      </c>
      <c r="G1378" t="s">
        <v>3478</v>
      </c>
      <c r="H1378" t="s">
        <v>2128</v>
      </c>
      <c r="I1378">
        <v>185.69373999999999</v>
      </c>
    </row>
    <row r="1379" spans="1:9" ht="51.6" customHeight="1">
      <c r="A1379" s="1" t="str">
        <f>"Chemistry 4772"</f>
        <v>Chemistry 4772</v>
      </c>
      <c r="B1379" t="s">
        <v>3479</v>
      </c>
      <c r="C1379" t="s">
        <v>270</v>
      </c>
      <c r="D1379" s="2">
        <v>21000</v>
      </c>
      <c r="E1379" s="2">
        <v>14699.999999999998</v>
      </c>
      <c r="F1379" t="s">
        <v>5</v>
      </c>
      <c r="G1379" t="s">
        <v>3480</v>
      </c>
      <c r="H1379" t="s">
        <v>677</v>
      </c>
      <c r="I1379">
        <v>213.14791</v>
      </c>
    </row>
    <row r="1380" spans="1:9" ht="65.099999999999994" customHeight="1">
      <c r="A1380" s="1" t="str">
        <f>"Chemistry 4783"</f>
        <v>Chemistry 4783</v>
      </c>
      <c r="B1380" t="s">
        <v>3481</v>
      </c>
      <c r="C1380" t="s">
        <v>128</v>
      </c>
      <c r="D1380" s="2">
        <v>17500</v>
      </c>
      <c r="E1380" s="2">
        <v>12250</v>
      </c>
      <c r="F1380" t="s">
        <v>5</v>
      </c>
      <c r="G1380" t="s">
        <v>3482</v>
      </c>
      <c r="H1380" t="s">
        <v>2151</v>
      </c>
      <c r="I1380">
        <v>203.6842</v>
      </c>
    </row>
    <row r="1381" spans="1:9" ht="65.099999999999994" customHeight="1">
      <c r="A1381" s="1" t="str">
        <f>"Chemistry 4784"</f>
        <v>Chemistry 4784</v>
      </c>
      <c r="B1381" t="s">
        <v>3483</v>
      </c>
      <c r="C1381" t="s">
        <v>128</v>
      </c>
      <c r="D1381" s="2">
        <v>17500</v>
      </c>
      <c r="E1381" s="2">
        <v>12250</v>
      </c>
      <c r="F1381" t="s">
        <v>5</v>
      </c>
      <c r="G1381" t="s">
        <v>3484</v>
      </c>
      <c r="H1381" t="s">
        <v>2141</v>
      </c>
      <c r="I1381">
        <v>217.71078</v>
      </c>
    </row>
    <row r="1382" spans="1:9" ht="69.599999999999994" customHeight="1">
      <c r="A1382" s="1" t="str">
        <f>"Chemistry 4792"</f>
        <v>Chemistry 4792</v>
      </c>
      <c r="B1382" t="s">
        <v>3486</v>
      </c>
      <c r="C1382" t="s">
        <v>128</v>
      </c>
      <c r="D1382" s="2">
        <v>28000</v>
      </c>
      <c r="E1382" s="2">
        <v>16800</v>
      </c>
      <c r="F1382" t="s">
        <v>5</v>
      </c>
      <c r="G1382" t="s">
        <v>3487</v>
      </c>
      <c r="H1382" t="s">
        <v>3488</v>
      </c>
      <c r="I1382">
        <v>247.71194</v>
      </c>
    </row>
    <row r="1383" spans="1:9" ht="73.5" customHeight="1">
      <c r="A1383" s="1" t="str">
        <f>"Chemistry 4794"</f>
        <v>Chemistry 4794</v>
      </c>
      <c r="B1383" t="s">
        <v>3489</v>
      </c>
      <c r="C1383" t="s">
        <v>128</v>
      </c>
      <c r="D1383" s="2">
        <v>28000</v>
      </c>
      <c r="E1383" s="2">
        <v>16800</v>
      </c>
      <c r="F1383" t="s">
        <v>5</v>
      </c>
      <c r="G1383" t="s">
        <v>3490</v>
      </c>
      <c r="H1383" t="s">
        <v>2254</v>
      </c>
      <c r="I1383">
        <v>265.70240000000001</v>
      </c>
    </row>
    <row r="1384" spans="1:9" ht="95.55" customHeight="1">
      <c r="A1384" s="1" t="str">
        <f>"Chemistry 4815"</f>
        <v>Chemistry 4815</v>
      </c>
      <c r="B1384" t="s">
        <v>3492</v>
      </c>
      <c r="C1384" t="s">
        <v>3334</v>
      </c>
      <c r="D1384" s="2">
        <v>24500</v>
      </c>
      <c r="E1384" s="2">
        <v>17150</v>
      </c>
      <c r="F1384" t="s">
        <v>5</v>
      </c>
      <c r="G1384" t="s">
        <v>3493</v>
      </c>
      <c r="H1384" t="s">
        <v>3491</v>
      </c>
      <c r="I1384">
        <v>270.18538000000001</v>
      </c>
    </row>
    <row r="1385" spans="1:9" ht="59.55" customHeight="1">
      <c r="A1385" s="1" t="str">
        <f>"Chemistry 4819"</f>
        <v>Chemistry 4819</v>
      </c>
      <c r="B1385" t="s">
        <v>3494</v>
      </c>
      <c r="C1385" t="s">
        <v>3</v>
      </c>
      <c r="D1385" s="2">
        <v>14000</v>
      </c>
      <c r="E1385" s="2">
        <v>9800</v>
      </c>
      <c r="F1385" t="s">
        <v>5</v>
      </c>
      <c r="G1385" t="s">
        <v>3495</v>
      </c>
      <c r="H1385" t="s">
        <v>3133</v>
      </c>
      <c r="I1385">
        <v>158.13038</v>
      </c>
    </row>
    <row r="1386" spans="1:9" ht="67.95" customHeight="1">
      <c r="A1386" s="1" t="str">
        <f>"Chemistry 4826"</f>
        <v>Chemistry 4826</v>
      </c>
      <c r="B1386" t="s">
        <v>3496</v>
      </c>
      <c r="C1386" t="s">
        <v>128</v>
      </c>
      <c r="D1386" s="2">
        <v>19300</v>
      </c>
      <c r="E1386" s="2">
        <v>13510</v>
      </c>
      <c r="F1386" t="s">
        <v>5</v>
      </c>
      <c r="G1386" t="s">
        <v>3497</v>
      </c>
      <c r="H1386" t="s">
        <v>1064</v>
      </c>
      <c r="I1386">
        <v>201.66831999999999</v>
      </c>
    </row>
    <row r="1387" spans="1:9" ht="67.95" customHeight="1">
      <c r="A1387" s="1" t="str">
        <f>"Chemistry 4827"</f>
        <v>Chemistry 4827</v>
      </c>
      <c r="B1387" t="s">
        <v>3498</v>
      </c>
      <c r="C1387" t="s">
        <v>128</v>
      </c>
      <c r="D1387" s="2">
        <v>19300</v>
      </c>
      <c r="E1387" s="2">
        <v>13510</v>
      </c>
      <c r="F1387" t="s">
        <v>5</v>
      </c>
      <c r="G1387" t="s">
        <v>3499</v>
      </c>
      <c r="H1387" t="s">
        <v>2102</v>
      </c>
      <c r="I1387">
        <v>215.69489999999999</v>
      </c>
    </row>
    <row r="1388" spans="1:9" ht="78.599999999999994" customHeight="1">
      <c r="A1388" s="1" t="str">
        <f>"Chemistry 4828"</f>
        <v>Chemistry 4828</v>
      </c>
      <c r="B1388" t="s">
        <v>3500</v>
      </c>
      <c r="C1388" t="s">
        <v>128</v>
      </c>
      <c r="D1388" s="2">
        <v>19300</v>
      </c>
      <c r="E1388" s="2">
        <v>13510</v>
      </c>
      <c r="F1388" t="s">
        <v>5</v>
      </c>
      <c r="G1388" t="s">
        <v>3501</v>
      </c>
      <c r="H1388" t="s">
        <v>3485</v>
      </c>
      <c r="I1388">
        <v>245.72087999999999</v>
      </c>
    </row>
    <row r="1389" spans="1:9" ht="67.95" customHeight="1">
      <c r="A1389" s="1" t="str">
        <f>"Chemistry 4831"</f>
        <v>Chemistry 4831</v>
      </c>
      <c r="B1389" t="s">
        <v>3502</v>
      </c>
      <c r="C1389" t="s">
        <v>128</v>
      </c>
      <c r="D1389" s="2">
        <v>21000</v>
      </c>
      <c r="E1389" s="2">
        <v>14699.999999999998</v>
      </c>
      <c r="F1389" t="s">
        <v>5</v>
      </c>
      <c r="G1389" t="s">
        <v>3503</v>
      </c>
      <c r="H1389" t="s">
        <v>2179</v>
      </c>
      <c r="I1389">
        <v>229.72148000000001</v>
      </c>
    </row>
    <row r="1390" spans="1:9" ht="71.25" customHeight="1">
      <c r="A1390" s="1" t="str">
        <f>"Chemistry 4838"</f>
        <v>Chemistry 4838</v>
      </c>
      <c r="B1390" t="s">
        <v>3505</v>
      </c>
      <c r="C1390" t="s">
        <v>270</v>
      </c>
      <c r="D1390" s="2">
        <v>21000</v>
      </c>
      <c r="E1390" s="2">
        <v>14699.999999999998</v>
      </c>
      <c r="F1390" t="s">
        <v>5</v>
      </c>
      <c r="G1390" t="s">
        <v>3506</v>
      </c>
      <c r="H1390" t="s">
        <v>3507</v>
      </c>
      <c r="I1390">
        <v>239.11732000000001</v>
      </c>
    </row>
    <row r="1391" spans="1:9" ht="57.75" customHeight="1">
      <c r="A1391" s="1" t="str">
        <f>"Chemistry 4839"</f>
        <v>Chemistry 4839</v>
      </c>
      <c r="B1391" t="s">
        <v>3508</v>
      </c>
      <c r="C1391" t="s">
        <v>128</v>
      </c>
      <c r="D1391" s="2">
        <v>17500</v>
      </c>
      <c r="E1391" s="2">
        <v>12250</v>
      </c>
      <c r="F1391" t="s">
        <v>5</v>
      </c>
      <c r="G1391" t="s">
        <v>3509</v>
      </c>
      <c r="H1391" t="s">
        <v>1148</v>
      </c>
      <c r="I1391">
        <v>215.67666</v>
      </c>
    </row>
    <row r="1392" spans="1:9" ht="65.7" customHeight="1">
      <c r="A1392" s="1" t="str">
        <f>"Chemistry 4855"</f>
        <v>Chemistry 4855</v>
      </c>
      <c r="B1392" t="s">
        <v>3511</v>
      </c>
      <c r="C1392" t="s">
        <v>3</v>
      </c>
      <c r="D1392" s="2">
        <v>26300</v>
      </c>
      <c r="E1392" s="2">
        <v>15780</v>
      </c>
      <c r="F1392" t="s">
        <v>5</v>
      </c>
      <c r="G1392" t="s">
        <v>3512</v>
      </c>
      <c r="H1392" t="s">
        <v>2006</v>
      </c>
      <c r="I1392">
        <v>177.16007999999999</v>
      </c>
    </row>
    <row r="1393" spans="1:9" ht="65.099999999999994" customHeight="1">
      <c r="A1393" s="1" t="str">
        <f>"Chemistry 4857"</f>
        <v>Chemistry 4857</v>
      </c>
      <c r="B1393" t="s">
        <v>3513</v>
      </c>
      <c r="C1393" t="s">
        <v>128</v>
      </c>
      <c r="D1393" s="2">
        <v>17500</v>
      </c>
      <c r="E1393" s="2">
        <v>12250</v>
      </c>
      <c r="F1393" t="s">
        <v>5</v>
      </c>
      <c r="G1393" t="s">
        <v>3514</v>
      </c>
      <c r="H1393" t="s">
        <v>1043</v>
      </c>
      <c r="I1393">
        <v>189.65762000000001</v>
      </c>
    </row>
    <row r="1394" spans="1:9" ht="81.45" customHeight="1">
      <c r="A1394" s="1" t="str">
        <f>"Chemistry 4866"</f>
        <v>Chemistry 4866</v>
      </c>
      <c r="B1394" t="s">
        <v>3516</v>
      </c>
      <c r="C1394" t="s">
        <v>270</v>
      </c>
      <c r="D1394" s="2">
        <v>21000</v>
      </c>
      <c r="E1394" s="2">
        <v>14699.999999999998</v>
      </c>
      <c r="F1394" t="s">
        <v>5</v>
      </c>
      <c r="G1394" t="s">
        <v>3517</v>
      </c>
      <c r="H1394" t="s">
        <v>3515</v>
      </c>
      <c r="I1394">
        <v>255.57192000000001</v>
      </c>
    </row>
    <row r="1395" spans="1:9" ht="71.25" customHeight="1">
      <c r="A1395" s="1" t="str">
        <f>"Chemistry 4867"</f>
        <v>Chemistry 4867</v>
      </c>
      <c r="B1395" t="s">
        <v>3518</v>
      </c>
      <c r="C1395" t="s">
        <v>270</v>
      </c>
      <c r="D1395" s="2">
        <v>21000</v>
      </c>
      <c r="E1395" s="2">
        <v>14699.999999999998</v>
      </c>
      <c r="F1395" t="s">
        <v>5</v>
      </c>
      <c r="G1395" t="s">
        <v>3519</v>
      </c>
      <c r="H1395" t="s">
        <v>3520</v>
      </c>
      <c r="I1395">
        <v>289.12482</v>
      </c>
    </row>
    <row r="1396" spans="1:9" ht="54.45" customHeight="1">
      <c r="A1396" s="1" t="str">
        <f>"Chemistry 4869"</f>
        <v>Chemistry 4869</v>
      </c>
      <c r="B1396" t="s">
        <v>3521</v>
      </c>
      <c r="C1396" t="s">
        <v>270</v>
      </c>
      <c r="D1396" s="2">
        <v>19300</v>
      </c>
      <c r="E1396" s="2">
        <v>13510</v>
      </c>
      <c r="F1396" t="s">
        <v>5</v>
      </c>
      <c r="G1396" t="s">
        <v>3522</v>
      </c>
      <c r="H1396" t="s">
        <v>2173</v>
      </c>
      <c r="I1396">
        <v>237.16932</v>
      </c>
    </row>
    <row r="1397" spans="1:9" ht="106.2" customHeight="1">
      <c r="A1397" s="1" t="str">
        <f>"Chemistry 4876"</f>
        <v>Chemistry 4876</v>
      </c>
      <c r="B1397" t="s">
        <v>3523</v>
      </c>
      <c r="C1397" t="s">
        <v>3330</v>
      </c>
      <c r="D1397" s="2">
        <v>21000</v>
      </c>
      <c r="E1397" s="2">
        <v>14699.999999999998</v>
      </c>
      <c r="F1397" t="s">
        <v>5</v>
      </c>
      <c r="G1397" t="s">
        <v>3524</v>
      </c>
      <c r="H1397" t="s">
        <v>3525</v>
      </c>
      <c r="I1397">
        <v>284.14228000000003</v>
      </c>
    </row>
    <row r="1398" spans="1:9" ht="106.2" customHeight="1">
      <c r="A1398" s="1" t="str">
        <f>"Chemistry 4878"</f>
        <v>Chemistry 4878</v>
      </c>
      <c r="B1398" t="s">
        <v>3526</v>
      </c>
      <c r="C1398" t="s">
        <v>3330</v>
      </c>
      <c r="D1398" s="2">
        <v>21000</v>
      </c>
      <c r="E1398" s="2">
        <v>14699.999999999998</v>
      </c>
      <c r="F1398" t="s">
        <v>5</v>
      </c>
      <c r="G1398" t="s">
        <v>3527</v>
      </c>
      <c r="H1398" t="s">
        <v>3528</v>
      </c>
      <c r="I1398">
        <v>270.23475000000002</v>
      </c>
    </row>
    <row r="1399" spans="1:9" ht="55.5" customHeight="1">
      <c r="A1399" s="1" t="str">
        <f>"Chemistry 4888"</f>
        <v>Chemistry 4888</v>
      </c>
      <c r="B1399" t="s">
        <v>3529</v>
      </c>
      <c r="C1399" t="s">
        <v>128</v>
      </c>
      <c r="D1399" s="2">
        <v>21000</v>
      </c>
      <c r="E1399" s="2">
        <v>14699.999999999998</v>
      </c>
      <c r="F1399" t="s">
        <v>5</v>
      </c>
      <c r="G1399" t="s">
        <v>3530</v>
      </c>
      <c r="H1399" t="s">
        <v>2102</v>
      </c>
      <c r="I1399">
        <v>215.69489999999999</v>
      </c>
    </row>
    <row r="1400" spans="1:9" ht="61.8" customHeight="1">
      <c r="A1400" s="1" t="str">
        <f>"Chemistry 4889"</f>
        <v>Chemistry 4889</v>
      </c>
      <c r="B1400" t="s">
        <v>3531</v>
      </c>
      <c r="C1400" t="s">
        <v>128</v>
      </c>
      <c r="D1400" s="2">
        <v>21000</v>
      </c>
      <c r="E1400" s="2">
        <v>14699.999999999998</v>
      </c>
      <c r="F1400" t="s">
        <v>5</v>
      </c>
      <c r="G1400" t="s">
        <v>3532</v>
      </c>
      <c r="H1400" t="s">
        <v>1706</v>
      </c>
      <c r="I1400">
        <v>259.74745999999999</v>
      </c>
    </row>
    <row r="1401" spans="1:9" ht="63.45" customHeight="1">
      <c r="A1401" s="1" t="str">
        <f>"Chemistry 4892"</f>
        <v>Chemistry 4892</v>
      </c>
      <c r="B1401" t="s">
        <v>3533</v>
      </c>
      <c r="C1401" t="s">
        <v>270</v>
      </c>
      <c r="D1401" s="2">
        <v>21000</v>
      </c>
      <c r="E1401" s="2">
        <v>14699.999999999998</v>
      </c>
      <c r="F1401" t="s">
        <v>5</v>
      </c>
      <c r="G1401" t="s">
        <v>3534</v>
      </c>
      <c r="H1401" t="s">
        <v>3507</v>
      </c>
      <c r="I1401">
        <v>239.11732000000001</v>
      </c>
    </row>
    <row r="1402" spans="1:9" ht="57.75" customHeight="1">
      <c r="A1402" s="1" t="str">
        <f>"Chemistry 4908"</f>
        <v>Chemistry 4908</v>
      </c>
      <c r="B1402" t="s">
        <v>3535</v>
      </c>
      <c r="C1402" t="s">
        <v>270</v>
      </c>
      <c r="D1402" s="2">
        <v>17500</v>
      </c>
      <c r="E1402" s="2">
        <v>12250</v>
      </c>
      <c r="F1402" t="s">
        <v>5</v>
      </c>
      <c r="G1402" t="s">
        <v>3536</v>
      </c>
      <c r="H1402" t="s">
        <v>2253</v>
      </c>
      <c r="I1402">
        <v>223.14273</v>
      </c>
    </row>
    <row r="1403" spans="1:9" ht="72.45" customHeight="1">
      <c r="A1403" s="1" t="str">
        <f>"Chemistry 4913"</f>
        <v>Chemistry 4913</v>
      </c>
      <c r="B1403" t="s">
        <v>3537</v>
      </c>
      <c r="C1403" t="s">
        <v>128</v>
      </c>
      <c r="D1403" s="2">
        <v>21000</v>
      </c>
      <c r="E1403" s="2">
        <v>14699.999999999998</v>
      </c>
      <c r="F1403" t="s">
        <v>5</v>
      </c>
      <c r="G1403" t="s">
        <v>3538</v>
      </c>
      <c r="H1403" t="s">
        <v>1706</v>
      </c>
      <c r="I1403">
        <v>259.74745999999999</v>
      </c>
    </row>
    <row r="1404" spans="1:9" ht="73.5" customHeight="1">
      <c r="A1404" s="1" t="str">
        <f>"Chemistry 4914"</f>
        <v>Chemistry 4914</v>
      </c>
      <c r="B1404" t="s">
        <v>3539</v>
      </c>
      <c r="C1404" t="s">
        <v>3</v>
      </c>
      <c r="D1404" s="2">
        <v>28000</v>
      </c>
      <c r="E1404" s="2">
        <v>16800</v>
      </c>
      <c r="F1404" t="s">
        <v>5</v>
      </c>
      <c r="G1404" t="s">
        <v>3540</v>
      </c>
      <c r="H1404" t="s">
        <v>3504</v>
      </c>
      <c r="I1404">
        <v>241.27698000000001</v>
      </c>
    </row>
    <row r="1405" spans="1:9" ht="43.2" customHeight="1">
      <c r="A1405" s="1" t="str">
        <f>"Chemistry 4920"</f>
        <v>Chemistry 4920</v>
      </c>
      <c r="B1405" t="s">
        <v>3541</v>
      </c>
      <c r="C1405" t="s">
        <v>128</v>
      </c>
      <c r="D1405" s="2">
        <v>19300</v>
      </c>
      <c r="E1405" s="2">
        <v>13510</v>
      </c>
      <c r="F1405" t="s">
        <v>5</v>
      </c>
      <c r="G1405" t="s">
        <v>3542</v>
      </c>
      <c r="H1405" t="s">
        <v>2224</v>
      </c>
      <c r="I1405">
        <v>163.68821</v>
      </c>
    </row>
    <row r="1406" spans="1:9" ht="68.55" customHeight="1">
      <c r="A1406" s="1" t="str">
        <f>"Chemistry 4933"</f>
        <v>Chemistry 4933</v>
      </c>
      <c r="B1406" t="s">
        <v>3544</v>
      </c>
      <c r="C1406" t="s">
        <v>3</v>
      </c>
      <c r="D1406" s="2">
        <v>18400</v>
      </c>
      <c r="E1406" s="2">
        <v>12880</v>
      </c>
      <c r="F1406" t="s">
        <v>5</v>
      </c>
      <c r="G1406" t="s">
        <v>3545</v>
      </c>
      <c r="H1406" t="s">
        <v>3546</v>
      </c>
      <c r="I1406">
        <v>150.15298000000001</v>
      </c>
    </row>
    <row r="1407" spans="1:9" ht="66.3" customHeight="1">
      <c r="A1407" s="1" t="str">
        <f>"Chemistry 4934"</f>
        <v>Chemistry 4934</v>
      </c>
      <c r="B1407" t="s">
        <v>3547</v>
      </c>
      <c r="C1407" t="s">
        <v>3</v>
      </c>
      <c r="D1407" s="2">
        <v>18400</v>
      </c>
      <c r="E1407" s="2">
        <v>12880</v>
      </c>
      <c r="F1407" t="s">
        <v>5</v>
      </c>
      <c r="G1407" t="s">
        <v>3548</v>
      </c>
      <c r="H1407" t="s">
        <v>3549</v>
      </c>
      <c r="I1407">
        <v>200.16048000000001</v>
      </c>
    </row>
    <row r="1408" spans="1:9" ht="69" customHeight="1">
      <c r="A1408" s="1" t="str">
        <f>"Chemistry 4954"</f>
        <v>Chemistry 4954</v>
      </c>
      <c r="B1408" t="s">
        <v>3550</v>
      </c>
      <c r="C1408" t="s">
        <v>3</v>
      </c>
      <c r="D1408" s="2">
        <v>18400</v>
      </c>
      <c r="E1408" s="2">
        <v>12880</v>
      </c>
      <c r="F1408" t="s">
        <v>5</v>
      </c>
      <c r="G1408" t="s">
        <v>3551</v>
      </c>
      <c r="H1408" t="s">
        <v>3552</v>
      </c>
      <c r="I1408">
        <v>195.21995999999999</v>
      </c>
    </row>
    <row r="1409" spans="1:9" ht="64.05" customHeight="1">
      <c r="A1409" s="1" t="str">
        <f>"Chemistry 4955"</f>
        <v>Chemistry 4955</v>
      </c>
      <c r="B1409" t="s">
        <v>3553</v>
      </c>
      <c r="C1409" t="s">
        <v>3</v>
      </c>
      <c r="D1409" s="2">
        <v>18400</v>
      </c>
      <c r="E1409" s="2">
        <v>12880</v>
      </c>
      <c r="F1409" t="s">
        <v>5</v>
      </c>
      <c r="G1409" t="s">
        <v>3554</v>
      </c>
      <c r="H1409" t="s">
        <v>3546</v>
      </c>
      <c r="I1409">
        <v>150.15298000000001</v>
      </c>
    </row>
    <row r="1410" spans="1:9" ht="61.8" customHeight="1">
      <c r="A1410" s="1" t="str">
        <f>"Chemistry 4956"</f>
        <v>Chemistry 4956</v>
      </c>
      <c r="B1410" t="s">
        <v>3555</v>
      </c>
      <c r="C1410" t="s">
        <v>3</v>
      </c>
      <c r="D1410" s="2">
        <v>18400</v>
      </c>
      <c r="E1410" s="2">
        <v>12880</v>
      </c>
      <c r="F1410" t="s">
        <v>5</v>
      </c>
      <c r="G1410" t="s">
        <v>3556</v>
      </c>
      <c r="H1410" t="s">
        <v>3546</v>
      </c>
      <c r="I1410">
        <v>150.15298000000001</v>
      </c>
    </row>
    <row r="1411" spans="1:9" ht="67.95" customHeight="1">
      <c r="A1411" s="1" t="str">
        <f>"Chemistry 4965"</f>
        <v>Chemistry 4965</v>
      </c>
      <c r="B1411" t="s">
        <v>3557</v>
      </c>
      <c r="C1411" t="s">
        <v>270</v>
      </c>
      <c r="D1411" s="2">
        <v>21000</v>
      </c>
      <c r="E1411" s="2">
        <v>14699.999999999998</v>
      </c>
      <c r="F1411" t="s">
        <v>5</v>
      </c>
      <c r="G1411" t="s">
        <v>3558</v>
      </c>
      <c r="H1411" t="s">
        <v>2303</v>
      </c>
      <c r="I1411">
        <v>235.15343999999999</v>
      </c>
    </row>
    <row r="1412" spans="1:9" ht="63.45" customHeight="1">
      <c r="A1412" s="1" t="str">
        <f>"Chemistry 4967"</f>
        <v>Chemistry 4967</v>
      </c>
      <c r="B1412" t="s">
        <v>3559</v>
      </c>
      <c r="C1412" t="s">
        <v>270</v>
      </c>
      <c r="D1412" s="2">
        <v>21000</v>
      </c>
      <c r="E1412" s="2">
        <v>14699.999999999998</v>
      </c>
      <c r="F1412" t="s">
        <v>5</v>
      </c>
      <c r="G1412" t="s">
        <v>3560</v>
      </c>
      <c r="H1412" t="s">
        <v>3150</v>
      </c>
      <c r="I1412">
        <v>221.12685999999999</v>
      </c>
    </row>
    <row r="1413" spans="1:9" ht="52.2" customHeight="1">
      <c r="A1413" s="1" t="str">
        <f>"Chemistry 4979"</f>
        <v>Chemistry 4979</v>
      </c>
      <c r="B1413" t="s">
        <v>3562</v>
      </c>
      <c r="C1413" t="s">
        <v>3</v>
      </c>
      <c r="D1413" s="2">
        <v>29800</v>
      </c>
      <c r="E1413" s="2">
        <v>17880</v>
      </c>
      <c r="F1413" t="s">
        <v>5</v>
      </c>
      <c r="G1413" t="s">
        <v>3563</v>
      </c>
      <c r="H1413" t="s">
        <v>3160</v>
      </c>
      <c r="I1413">
        <v>241.08456000000001</v>
      </c>
    </row>
    <row r="1414" spans="1:9" ht="52.2" customHeight="1">
      <c r="A1414" s="1" t="str">
        <f>"Chemistry 4994"</f>
        <v>Chemistry 4994</v>
      </c>
      <c r="B1414" t="s">
        <v>3564</v>
      </c>
      <c r="C1414" t="s">
        <v>128</v>
      </c>
      <c r="D1414" s="2">
        <v>35000</v>
      </c>
      <c r="E1414" s="2">
        <v>21000</v>
      </c>
      <c r="F1414" t="s">
        <v>5</v>
      </c>
      <c r="G1414" t="s">
        <v>3565</v>
      </c>
      <c r="H1414" t="s">
        <v>3566</v>
      </c>
      <c r="I1414">
        <v>208.04198</v>
      </c>
    </row>
    <row r="1415" spans="1:9" ht="79.8" customHeight="1">
      <c r="A1415" s="1" t="str">
        <f>"Chemistry 5006"</f>
        <v>Chemistry 5006</v>
      </c>
      <c r="B1415" t="s">
        <v>3569</v>
      </c>
      <c r="C1415" t="s">
        <v>3</v>
      </c>
      <c r="D1415" s="2">
        <v>33300</v>
      </c>
      <c r="E1415" s="2">
        <v>19980</v>
      </c>
      <c r="F1415" t="s">
        <v>5</v>
      </c>
      <c r="G1415" t="s">
        <v>3570</v>
      </c>
      <c r="H1415" t="s">
        <v>3571</v>
      </c>
      <c r="I1415">
        <v>221.22757999999999</v>
      </c>
    </row>
    <row r="1416" spans="1:9" ht="68.55" customHeight="1">
      <c r="A1416" s="1" t="str">
        <f>"Chemistry 5013"</f>
        <v>Chemistry 5013</v>
      </c>
      <c r="B1416" t="s">
        <v>3572</v>
      </c>
      <c r="C1416" t="s">
        <v>3</v>
      </c>
      <c r="D1416" s="2">
        <v>38500</v>
      </c>
      <c r="E1416" s="2">
        <v>23100</v>
      </c>
      <c r="F1416" t="s">
        <v>5</v>
      </c>
      <c r="G1416" t="s">
        <v>3573</v>
      </c>
      <c r="H1416" t="s">
        <v>1496</v>
      </c>
      <c r="I1416">
        <v>189.25360000000001</v>
      </c>
    </row>
    <row r="1417" spans="1:9" ht="67.349999999999994" customHeight="1">
      <c r="A1417" s="1" t="str">
        <f>"Chemistry 5016"</f>
        <v>Chemistry 5016</v>
      </c>
      <c r="B1417" t="s">
        <v>3574</v>
      </c>
      <c r="C1417" t="s">
        <v>3</v>
      </c>
      <c r="D1417" s="2">
        <v>38500</v>
      </c>
      <c r="E1417" s="2">
        <v>23100</v>
      </c>
      <c r="F1417" t="s">
        <v>5</v>
      </c>
      <c r="G1417" t="s">
        <v>3575</v>
      </c>
      <c r="H1417" t="s">
        <v>3576</v>
      </c>
      <c r="I1417">
        <v>207.24405999999999</v>
      </c>
    </row>
    <row r="1418" spans="1:9" ht="71.25" customHeight="1">
      <c r="A1418" s="1" t="str">
        <f>"Chemistry 5018"</f>
        <v>Chemistry 5018</v>
      </c>
      <c r="B1418" t="s">
        <v>3577</v>
      </c>
      <c r="C1418" t="s">
        <v>128</v>
      </c>
      <c r="D1418" s="2">
        <v>38500</v>
      </c>
      <c r="E1418" s="2">
        <v>23100</v>
      </c>
      <c r="F1418" t="s">
        <v>5</v>
      </c>
      <c r="G1418" t="s">
        <v>3578</v>
      </c>
      <c r="H1418" t="s">
        <v>2844</v>
      </c>
      <c r="I1418">
        <v>260.15960000000001</v>
      </c>
    </row>
    <row r="1419" spans="1:9" ht="79.8" customHeight="1">
      <c r="A1419" s="1" t="str">
        <f>"Chemistry 5021"</f>
        <v>Chemistry 5021</v>
      </c>
      <c r="B1419" t="s">
        <v>3579</v>
      </c>
      <c r="C1419" t="s">
        <v>3</v>
      </c>
      <c r="D1419" s="2">
        <v>45500</v>
      </c>
      <c r="E1419" s="2">
        <v>27300</v>
      </c>
      <c r="F1419" t="s">
        <v>5</v>
      </c>
      <c r="G1419" t="s">
        <v>3580</v>
      </c>
      <c r="H1419" t="s">
        <v>3581</v>
      </c>
      <c r="I1419">
        <v>257.25155999999998</v>
      </c>
    </row>
    <row r="1420" spans="1:9" ht="69" customHeight="1">
      <c r="A1420" s="1" t="str">
        <f>"Chemistry 5031"</f>
        <v>Chemistry 5031</v>
      </c>
      <c r="B1420" t="s">
        <v>3582</v>
      </c>
      <c r="C1420" t="s">
        <v>3</v>
      </c>
      <c r="D1420" s="2">
        <v>18400</v>
      </c>
      <c r="E1420" s="2">
        <v>12880</v>
      </c>
      <c r="F1420" t="s">
        <v>5</v>
      </c>
      <c r="G1420" t="s">
        <v>3583</v>
      </c>
      <c r="H1420" t="s">
        <v>3584</v>
      </c>
      <c r="I1420">
        <v>212.22236000000001</v>
      </c>
    </row>
    <row r="1421" spans="1:9" ht="71.849999999999994" customHeight="1">
      <c r="A1421" s="1" t="str">
        <f>"Chemistry 5032"</f>
        <v>Chemistry 5032</v>
      </c>
      <c r="B1421" t="s">
        <v>3585</v>
      </c>
      <c r="C1421" t="s">
        <v>3</v>
      </c>
      <c r="D1421" s="2">
        <v>18400</v>
      </c>
      <c r="E1421" s="2">
        <v>12880</v>
      </c>
      <c r="F1421" t="s">
        <v>5</v>
      </c>
      <c r="G1421" t="s">
        <v>3586</v>
      </c>
      <c r="H1421" t="s">
        <v>3584</v>
      </c>
      <c r="I1421">
        <v>212.22236000000001</v>
      </c>
    </row>
    <row r="1422" spans="1:9" ht="61.2" customHeight="1">
      <c r="A1422" s="1" t="str">
        <f>"Chemistry 5035"</f>
        <v>Chemistry 5035</v>
      </c>
      <c r="B1422" t="s">
        <v>3587</v>
      </c>
      <c r="C1422" t="s">
        <v>3</v>
      </c>
      <c r="D1422" s="2">
        <v>18400</v>
      </c>
      <c r="E1422" s="2">
        <v>12880</v>
      </c>
      <c r="F1422" t="s">
        <v>5</v>
      </c>
      <c r="G1422" t="s">
        <v>3588</v>
      </c>
      <c r="H1422" t="s">
        <v>3546</v>
      </c>
      <c r="I1422">
        <v>150.15298000000001</v>
      </c>
    </row>
    <row r="1423" spans="1:9" ht="67.349999999999994" customHeight="1">
      <c r="A1423" s="1" t="str">
        <f>"Chemistry 5045"</f>
        <v>Chemistry 5045</v>
      </c>
      <c r="B1423" t="s">
        <v>3589</v>
      </c>
      <c r="C1423" t="s">
        <v>3</v>
      </c>
      <c r="D1423" s="2">
        <v>35000</v>
      </c>
      <c r="E1423" s="2">
        <v>21000</v>
      </c>
      <c r="F1423" t="s">
        <v>5</v>
      </c>
      <c r="G1423" t="s">
        <v>3590</v>
      </c>
      <c r="H1423" t="s">
        <v>2925</v>
      </c>
      <c r="I1423">
        <v>163.19149999999999</v>
      </c>
    </row>
    <row r="1424" spans="1:9" ht="79.8" customHeight="1">
      <c r="A1424" s="1" t="str">
        <f>"Chemistry 5059"</f>
        <v>Chemistry 5059</v>
      </c>
      <c r="B1424" t="s">
        <v>3591</v>
      </c>
      <c r="C1424" t="s">
        <v>128</v>
      </c>
      <c r="D1424" s="2">
        <v>40300</v>
      </c>
      <c r="E1424" s="2">
        <v>24180</v>
      </c>
      <c r="F1424" t="s">
        <v>5</v>
      </c>
      <c r="G1424" t="s">
        <v>3592</v>
      </c>
      <c r="H1424" t="s">
        <v>3593</v>
      </c>
      <c r="I1424">
        <v>306.71125999999998</v>
      </c>
    </row>
    <row r="1425" spans="1:9" ht="71.25" customHeight="1">
      <c r="A1425" s="1" t="str">
        <f>"Chemistry 5071"</f>
        <v>Chemistry 5071</v>
      </c>
      <c r="B1425" t="s">
        <v>3594</v>
      </c>
      <c r="C1425" t="s">
        <v>128</v>
      </c>
      <c r="D1425" s="2">
        <v>35000</v>
      </c>
      <c r="E1425" s="2">
        <v>21000</v>
      </c>
      <c r="F1425" t="s">
        <v>5</v>
      </c>
      <c r="G1425" t="s">
        <v>3595</v>
      </c>
      <c r="H1425" t="s">
        <v>3561</v>
      </c>
      <c r="I1425">
        <v>260.55804000000001</v>
      </c>
    </row>
    <row r="1426" spans="1:9" ht="67.349999999999994" customHeight="1">
      <c r="A1426" s="1" t="str">
        <f>"Chemistry 5074"</f>
        <v>Chemistry 5074</v>
      </c>
      <c r="B1426" t="s">
        <v>3596</v>
      </c>
      <c r="C1426" t="s">
        <v>128</v>
      </c>
      <c r="D1426" s="2">
        <v>35000</v>
      </c>
      <c r="E1426" s="2">
        <v>21000</v>
      </c>
      <c r="F1426" t="s">
        <v>5</v>
      </c>
      <c r="G1426" t="s">
        <v>3597</v>
      </c>
      <c r="H1426" t="s">
        <v>3567</v>
      </c>
      <c r="I1426">
        <v>195.68856</v>
      </c>
    </row>
    <row r="1427" spans="1:9" ht="75.75" customHeight="1">
      <c r="A1427" s="1" t="str">
        <f>"Chemistry 5092"</f>
        <v>Chemistry 5092</v>
      </c>
      <c r="B1427" t="s">
        <v>3600</v>
      </c>
      <c r="C1427" t="s">
        <v>128</v>
      </c>
      <c r="D1427" s="2">
        <v>42000</v>
      </c>
      <c r="E1427" s="2">
        <v>25200</v>
      </c>
      <c r="F1427" t="s">
        <v>5</v>
      </c>
      <c r="G1427" t="s">
        <v>3601</v>
      </c>
      <c r="H1427" t="s">
        <v>3602</v>
      </c>
      <c r="I1427">
        <v>241.59487999999999</v>
      </c>
    </row>
    <row r="1428" spans="1:9" ht="52.2" customHeight="1">
      <c r="A1428" s="1" t="str">
        <f>"Chemistry 5093"</f>
        <v>Chemistry 5093</v>
      </c>
      <c r="B1428" t="s">
        <v>3603</v>
      </c>
      <c r="C1428" t="s">
        <v>128</v>
      </c>
      <c r="D1428" s="2">
        <v>42000</v>
      </c>
      <c r="E1428" s="2">
        <v>25200</v>
      </c>
      <c r="F1428" t="s">
        <v>5</v>
      </c>
      <c r="G1428" t="s">
        <v>3604</v>
      </c>
      <c r="H1428" t="s">
        <v>3599</v>
      </c>
      <c r="I1428">
        <v>187.62349</v>
      </c>
    </row>
    <row r="1429" spans="1:9" ht="67.349999999999994" customHeight="1">
      <c r="A1429" s="1" t="str">
        <f>"Chemistry 5112"</f>
        <v>Chemistry 5112</v>
      </c>
      <c r="B1429" t="s">
        <v>3606</v>
      </c>
      <c r="C1429" t="s">
        <v>3</v>
      </c>
      <c r="D1429" s="2">
        <v>49000</v>
      </c>
      <c r="E1429" s="2">
        <v>29400</v>
      </c>
      <c r="F1429" t="s">
        <v>5</v>
      </c>
      <c r="G1429" t="s">
        <v>3607</v>
      </c>
      <c r="H1429" t="s">
        <v>3608</v>
      </c>
      <c r="I1429">
        <v>289.37272000000002</v>
      </c>
    </row>
    <row r="1430" spans="1:9" ht="84.3" customHeight="1">
      <c r="A1430" s="1" t="str">
        <f>"Chemistry 5133"</f>
        <v>Chemistry 5133</v>
      </c>
      <c r="B1430" t="s">
        <v>3610</v>
      </c>
      <c r="C1430" t="s">
        <v>128</v>
      </c>
      <c r="D1430" s="2">
        <v>18400</v>
      </c>
      <c r="E1430" s="2">
        <v>12880</v>
      </c>
      <c r="F1430" t="s">
        <v>5</v>
      </c>
      <c r="G1430" t="s">
        <v>3611</v>
      </c>
      <c r="H1430" t="s">
        <v>3612</v>
      </c>
      <c r="I1430">
        <v>236.62142</v>
      </c>
    </row>
    <row r="1431" spans="1:9" ht="65.099999999999994" customHeight="1">
      <c r="A1431" s="1" t="str">
        <f>"Chemistry 5134"</f>
        <v>Chemistry 5134</v>
      </c>
      <c r="B1431" t="s">
        <v>3613</v>
      </c>
      <c r="C1431" t="s">
        <v>3</v>
      </c>
      <c r="D1431" s="2">
        <v>18400</v>
      </c>
      <c r="E1431" s="2">
        <v>12880</v>
      </c>
      <c r="F1431" t="s">
        <v>5</v>
      </c>
      <c r="G1431" t="s">
        <v>3614</v>
      </c>
      <c r="H1431" t="s">
        <v>3549</v>
      </c>
      <c r="I1431">
        <v>200.16048000000001</v>
      </c>
    </row>
    <row r="1432" spans="1:9" ht="70.2" customHeight="1">
      <c r="A1432" s="1" t="str">
        <f>"Chemistry 5136"</f>
        <v>Chemistry 5136</v>
      </c>
      <c r="B1432" t="s">
        <v>3615</v>
      </c>
      <c r="C1432" t="s">
        <v>128</v>
      </c>
      <c r="D1432" s="2">
        <v>40300</v>
      </c>
      <c r="E1432" s="2">
        <v>24180</v>
      </c>
      <c r="F1432" t="s">
        <v>5</v>
      </c>
      <c r="G1432" t="s">
        <v>3616</v>
      </c>
      <c r="H1432" t="s">
        <v>3593</v>
      </c>
      <c r="I1432">
        <v>306.71125999999998</v>
      </c>
    </row>
    <row r="1433" spans="1:9" ht="61.2" customHeight="1">
      <c r="A1433" s="1" t="str">
        <f>"Chemistry 5139"</f>
        <v>Chemistry 5139</v>
      </c>
      <c r="B1433" t="s">
        <v>3617</v>
      </c>
      <c r="C1433" t="s">
        <v>3</v>
      </c>
      <c r="D1433" s="2">
        <v>31500</v>
      </c>
      <c r="E1433" s="2">
        <v>18900</v>
      </c>
      <c r="F1433" t="s">
        <v>5</v>
      </c>
      <c r="G1433" t="s">
        <v>3618</v>
      </c>
      <c r="H1433" t="s">
        <v>3311</v>
      </c>
      <c r="I1433">
        <v>160.17260999999999</v>
      </c>
    </row>
    <row r="1434" spans="1:9" ht="75.75" customHeight="1">
      <c r="A1434" s="1" t="str">
        <f>"Chemistry 5148"</f>
        <v>Chemistry 5148</v>
      </c>
      <c r="B1434" t="s">
        <v>3620</v>
      </c>
      <c r="C1434" t="s">
        <v>128</v>
      </c>
      <c r="D1434" s="2">
        <v>36800</v>
      </c>
      <c r="E1434" s="2">
        <v>22080</v>
      </c>
      <c r="F1434" t="s">
        <v>5</v>
      </c>
      <c r="G1434" t="s">
        <v>3621</v>
      </c>
      <c r="H1434" t="s">
        <v>1148</v>
      </c>
      <c r="I1434">
        <v>215.67666</v>
      </c>
    </row>
    <row r="1435" spans="1:9" ht="67.95" customHeight="1">
      <c r="A1435" s="1" t="str">
        <f>"Chemistry 5154"</f>
        <v>Chemistry 5154</v>
      </c>
      <c r="B1435" t="s">
        <v>3622</v>
      </c>
      <c r="C1435" t="s">
        <v>3330</v>
      </c>
      <c r="D1435" s="2">
        <v>33300</v>
      </c>
      <c r="E1435" s="2">
        <v>19980</v>
      </c>
      <c r="F1435" t="s">
        <v>5</v>
      </c>
      <c r="G1435" t="s">
        <v>3623</v>
      </c>
      <c r="H1435" t="s">
        <v>3624</v>
      </c>
      <c r="I1435">
        <v>189.14379</v>
      </c>
    </row>
    <row r="1436" spans="1:9" ht="75.3" customHeight="1">
      <c r="A1436" s="1" t="str">
        <f>"Chemistry 5157"</f>
        <v>Chemistry 5157</v>
      </c>
      <c r="B1436" t="s">
        <v>3625</v>
      </c>
      <c r="C1436" t="s">
        <v>3330</v>
      </c>
      <c r="D1436" s="2">
        <v>38500</v>
      </c>
      <c r="E1436" s="2">
        <v>23100</v>
      </c>
      <c r="F1436" t="s">
        <v>5</v>
      </c>
      <c r="G1436" t="s">
        <v>3626</v>
      </c>
      <c r="H1436" t="s">
        <v>3627</v>
      </c>
      <c r="I1436">
        <v>225.12470999999999</v>
      </c>
    </row>
    <row r="1437" spans="1:9" ht="64.5" customHeight="1">
      <c r="A1437" s="1" t="str">
        <f>"Chemistry 5158"</f>
        <v>Chemistry 5158</v>
      </c>
      <c r="B1437" t="s">
        <v>3628</v>
      </c>
      <c r="C1437" t="s">
        <v>3330</v>
      </c>
      <c r="D1437" s="2">
        <v>38500</v>
      </c>
      <c r="E1437" s="2">
        <v>23100</v>
      </c>
      <c r="F1437" t="s">
        <v>5</v>
      </c>
      <c r="G1437" t="s">
        <v>3629</v>
      </c>
      <c r="H1437" t="s">
        <v>3343</v>
      </c>
      <c r="I1437">
        <v>202.18561</v>
      </c>
    </row>
    <row r="1438" spans="1:9" ht="55.5" customHeight="1">
      <c r="A1438" s="1" t="str">
        <f>"Chemistry 5159"</f>
        <v>Chemistry 5159</v>
      </c>
      <c r="B1438" t="s">
        <v>3630</v>
      </c>
      <c r="C1438" t="s">
        <v>3330</v>
      </c>
      <c r="D1438" s="2">
        <v>42000</v>
      </c>
      <c r="E1438" s="2">
        <v>25200</v>
      </c>
      <c r="F1438" t="s">
        <v>5</v>
      </c>
      <c r="G1438" t="s">
        <v>3631</v>
      </c>
      <c r="H1438" t="s">
        <v>3624</v>
      </c>
      <c r="I1438">
        <v>189.14377999999999</v>
      </c>
    </row>
    <row r="1439" spans="1:9" ht="75.75" customHeight="1">
      <c r="A1439" s="1" t="str">
        <f>"Chemistry 5160"</f>
        <v>Chemistry 5160</v>
      </c>
      <c r="B1439" t="s">
        <v>3632</v>
      </c>
      <c r="C1439" t="s">
        <v>3330</v>
      </c>
      <c r="D1439" s="2">
        <v>42000</v>
      </c>
      <c r="E1439" s="2">
        <v>25200</v>
      </c>
      <c r="F1439" t="s">
        <v>5</v>
      </c>
      <c r="G1439" t="s">
        <v>3633</v>
      </c>
      <c r="H1439" t="s">
        <v>3634</v>
      </c>
      <c r="I1439">
        <v>209.12531000000001</v>
      </c>
    </row>
    <row r="1440" spans="1:9" ht="85.95" customHeight="1">
      <c r="A1440" s="1" t="str">
        <f>"Chemistry 5163"</f>
        <v>Chemistry 5163</v>
      </c>
      <c r="B1440" t="s">
        <v>3635</v>
      </c>
      <c r="C1440" t="s">
        <v>3</v>
      </c>
      <c r="D1440" s="2">
        <v>28000</v>
      </c>
      <c r="E1440" s="2">
        <v>16800</v>
      </c>
      <c r="F1440" t="s">
        <v>5</v>
      </c>
      <c r="G1440" t="s">
        <v>3636</v>
      </c>
      <c r="H1440" t="s">
        <v>256</v>
      </c>
      <c r="I1440">
        <v>254.36843999999999</v>
      </c>
    </row>
    <row r="1441" spans="1:9" ht="91.5" customHeight="1">
      <c r="A1441" s="1" t="str">
        <f>"Chemistry 5165"</f>
        <v>Chemistry 5165</v>
      </c>
      <c r="B1441" t="s">
        <v>3637</v>
      </c>
      <c r="C1441" t="s">
        <v>3</v>
      </c>
      <c r="D1441" s="2">
        <v>31500</v>
      </c>
      <c r="E1441" s="2">
        <v>18900</v>
      </c>
      <c r="F1441" t="s">
        <v>5</v>
      </c>
      <c r="G1441" t="s">
        <v>3638</v>
      </c>
      <c r="H1441" t="s">
        <v>3639</v>
      </c>
      <c r="I1441">
        <v>311.33188000000001</v>
      </c>
    </row>
    <row r="1442" spans="1:9" ht="69.599999999999994" customHeight="1">
      <c r="A1442" s="1" t="str">
        <f>"Chemistry 5167"</f>
        <v>Chemistry 5167</v>
      </c>
      <c r="B1442" t="s">
        <v>3640</v>
      </c>
      <c r="C1442" t="s">
        <v>3330</v>
      </c>
      <c r="D1442" s="2">
        <v>29800</v>
      </c>
      <c r="E1442" s="2">
        <v>17880</v>
      </c>
      <c r="F1442" t="s">
        <v>5</v>
      </c>
      <c r="G1442" t="s">
        <v>3641</v>
      </c>
      <c r="H1442" t="s">
        <v>3642</v>
      </c>
      <c r="I1442">
        <v>321.34453000000002</v>
      </c>
    </row>
    <row r="1443" spans="1:9" ht="68.55" customHeight="1">
      <c r="A1443" s="1" t="str">
        <f>"Chemistry 5174"</f>
        <v>Chemistry 5174</v>
      </c>
      <c r="B1443" t="s">
        <v>3643</v>
      </c>
      <c r="C1443" t="s">
        <v>3</v>
      </c>
      <c r="D1443" s="2">
        <v>26300</v>
      </c>
      <c r="E1443" s="2">
        <v>15780</v>
      </c>
      <c r="F1443" t="s">
        <v>5</v>
      </c>
      <c r="G1443" t="s">
        <v>3644</v>
      </c>
      <c r="H1443" t="s">
        <v>2035</v>
      </c>
      <c r="I1443">
        <v>226.31527</v>
      </c>
    </row>
    <row r="1444" spans="1:9" ht="94.95" customHeight="1">
      <c r="A1444" s="1" t="str">
        <f>"Chemistry 5180"</f>
        <v>Chemistry 5180</v>
      </c>
      <c r="B1444" t="s">
        <v>3646</v>
      </c>
      <c r="C1444" t="s">
        <v>3330</v>
      </c>
      <c r="D1444" s="2">
        <v>19300</v>
      </c>
      <c r="E1444" s="2">
        <v>13510</v>
      </c>
      <c r="F1444" t="s">
        <v>5</v>
      </c>
      <c r="G1444" t="s">
        <v>3647</v>
      </c>
      <c r="H1444" t="s">
        <v>3645</v>
      </c>
      <c r="I1444">
        <v>343.35334999999998</v>
      </c>
    </row>
    <row r="1445" spans="1:9" ht="55.5" customHeight="1">
      <c r="A1445" s="1" t="str">
        <f>"Chemistry 5186"</f>
        <v>Chemistry 5186</v>
      </c>
      <c r="B1445" t="s">
        <v>3648</v>
      </c>
      <c r="C1445" t="s">
        <v>3330</v>
      </c>
      <c r="D1445" s="2">
        <v>42000</v>
      </c>
      <c r="E1445" s="2">
        <v>25200</v>
      </c>
      <c r="F1445" t="s">
        <v>5</v>
      </c>
      <c r="G1445" t="s">
        <v>3649</v>
      </c>
      <c r="H1445" t="s">
        <v>3627</v>
      </c>
      <c r="I1445">
        <v>225.12470999999999</v>
      </c>
    </row>
    <row r="1446" spans="1:9" ht="75.75" customHeight="1">
      <c r="A1446" s="1" t="str">
        <f>"Chemistry 5188"</f>
        <v>Chemistry 5188</v>
      </c>
      <c r="B1446" t="s">
        <v>3650</v>
      </c>
      <c r="C1446" t="s">
        <v>3330</v>
      </c>
      <c r="D1446" s="2">
        <v>43800</v>
      </c>
      <c r="E1446" s="2">
        <v>26280</v>
      </c>
      <c r="F1446" t="s">
        <v>5</v>
      </c>
      <c r="G1446" t="s">
        <v>3651</v>
      </c>
      <c r="H1446" t="s">
        <v>3627</v>
      </c>
      <c r="I1446">
        <v>225.12470999999999</v>
      </c>
    </row>
    <row r="1447" spans="1:9" ht="63.45" customHeight="1">
      <c r="A1447" s="1" t="str">
        <f>"Chemistry 5192"</f>
        <v>Chemistry 5192</v>
      </c>
      <c r="B1447" t="s">
        <v>3652</v>
      </c>
      <c r="C1447" t="s">
        <v>3</v>
      </c>
      <c r="D1447" s="2">
        <v>42000</v>
      </c>
      <c r="E1447" s="2">
        <v>25200</v>
      </c>
      <c r="F1447" t="s">
        <v>5</v>
      </c>
      <c r="G1447" t="s">
        <v>3653</v>
      </c>
      <c r="H1447" t="s">
        <v>260</v>
      </c>
      <c r="I1447">
        <v>240.34186</v>
      </c>
    </row>
    <row r="1448" spans="1:9" ht="63.45" customHeight="1">
      <c r="A1448" s="1" t="str">
        <f>"Chemistry 5193"</f>
        <v>Chemistry 5193</v>
      </c>
      <c r="B1448" t="s">
        <v>3654</v>
      </c>
      <c r="C1448" t="s">
        <v>3334</v>
      </c>
      <c r="D1448" s="2">
        <v>38500</v>
      </c>
      <c r="E1448" s="2">
        <v>23100</v>
      </c>
      <c r="F1448" t="s">
        <v>5</v>
      </c>
      <c r="G1448" t="s">
        <v>3655</v>
      </c>
      <c r="H1448" t="s">
        <v>3656</v>
      </c>
      <c r="I1448">
        <v>303.32294000000002</v>
      </c>
    </row>
    <row r="1449" spans="1:9" ht="86.55" customHeight="1">
      <c r="A1449" s="1" t="str">
        <f>"Chemistry 5199"</f>
        <v>Chemistry 5199</v>
      </c>
      <c r="B1449" t="s">
        <v>3657</v>
      </c>
      <c r="C1449" t="s">
        <v>3330</v>
      </c>
      <c r="D1449" s="2">
        <v>29800</v>
      </c>
      <c r="E1449" s="2">
        <v>17880</v>
      </c>
      <c r="F1449" t="s">
        <v>5</v>
      </c>
      <c r="G1449" t="s">
        <v>3658</v>
      </c>
      <c r="H1449" t="s">
        <v>3659</v>
      </c>
      <c r="I1449">
        <v>307.31795</v>
      </c>
    </row>
    <row r="1450" spans="1:9" ht="86.55" customHeight="1">
      <c r="A1450" s="1" t="str">
        <f>"Chemistry 5200"</f>
        <v>Chemistry 5200</v>
      </c>
      <c r="B1450" t="s">
        <v>3660</v>
      </c>
      <c r="C1450" t="s">
        <v>3330</v>
      </c>
      <c r="D1450" s="2">
        <v>29800</v>
      </c>
      <c r="E1450" s="2">
        <v>17880</v>
      </c>
      <c r="F1450" t="s">
        <v>5</v>
      </c>
      <c r="G1450" t="s">
        <v>3661</v>
      </c>
      <c r="H1450" t="s">
        <v>3659</v>
      </c>
      <c r="I1450">
        <v>307.31795</v>
      </c>
    </row>
    <row r="1451" spans="1:9" ht="68.55" customHeight="1">
      <c r="A1451" s="1" t="str">
        <f>"Chemistry 5205"</f>
        <v>Chemistry 5205</v>
      </c>
      <c r="B1451" t="s">
        <v>3662</v>
      </c>
      <c r="C1451" t="s">
        <v>3</v>
      </c>
      <c r="D1451" s="2">
        <v>26300</v>
      </c>
      <c r="E1451" s="2">
        <v>15780</v>
      </c>
      <c r="F1451" t="s">
        <v>5</v>
      </c>
      <c r="G1451" t="s">
        <v>3663</v>
      </c>
      <c r="H1451" t="s">
        <v>253</v>
      </c>
      <c r="I1451">
        <v>200.27798999999999</v>
      </c>
    </row>
    <row r="1452" spans="1:9" ht="79.2" customHeight="1">
      <c r="A1452" s="1" t="str">
        <f>"Chemistry 5213"</f>
        <v>Chemistry 5213</v>
      </c>
      <c r="B1452" t="s">
        <v>3665</v>
      </c>
      <c r="C1452" t="s">
        <v>3330</v>
      </c>
      <c r="D1452" s="2">
        <v>33300</v>
      </c>
      <c r="E1452" s="2">
        <v>19980</v>
      </c>
      <c r="F1452" t="s">
        <v>5</v>
      </c>
      <c r="G1452" t="s">
        <v>3666</v>
      </c>
      <c r="H1452" t="s">
        <v>3627</v>
      </c>
      <c r="I1452">
        <v>225.12470999999999</v>
      </c>
    </row>
    <row r="1453" spans="1:9" ht="75.75" customHeight="1">
      <c r="A1453" s="1" t="str">
        <f>"Chemistry 5214"</f>
        <v>Chemistry 5214</v>
      </c>
      <c r="B1453" t="s">
        <v>3667</v>
      </c>
      <c r="C1453" t="s">
        <v>128</v>
      </c>
      <c r="D1453" s="2">
        <v>38500</v>
      </c>
      <c r="E1453" s="2">
        <v>23100</v>
      </c>
      <c r="F1453" t="s">
        <v>5</v>
      </c>
      <c r="G1453" t="s">
        <v>3668</v>
      </c>
      <c r="H1453" t="s">
        <v>3338</v>
      </c>
      <c r="I1453">
        <v>203.62289999999999</v>
      </c>
    </row>
    <row r="1454" spans="1:9" ht="64.5" customHeight="1">
      <c r="A1454" s="1" t="str">
        <f>"Chemistry 5215"</f>
        <v>Chemistry 5215</v>
      </c>
      <c r="B1454" t="s">
        <v>3669</v>
      </c>
      <c r="C1454" t="s">
        <v>128</v>
      </c>
      <c r="D1454" s="2">
        <v>24500</v>
      </c>
      <c r="E1454" s="2">
        <v>17150</v>
      </c>
      <c r="F1454" t="s">
        <v>5</v>
      </c>
      <c r="G1454" t="s">
        <v>3670</v>
      </c>
      <c r="H1454" t="s">
        <v>1487</v>
      </c>
      <c r="I1454">
        <v>175.61609000000001</v>
      </c>
    </row>
    <row r="1455" spans="1:9" ht="84.3" customHeight="1">
      <c r="A1455" s="1" t="str">
        <f>"Chemistry 5222"</f>
        <v>Chemistry 5222</v>
      </c>
      <c r="B1455" t="s">
        <v>3672</v>
      </c>
      <c r="C1455" t="s">
        <v>3</v>
      </c>
      <c r="D1455" s="2">
        <v>42000</v>
      </c>
      <c r="E1455" s="2">
        <v>25200</v>
      </c>
      <c r="F1455" t="s">
        <v>5</v>
      </c>
      <c r="G1455" t="s">
        <v>3673</v>
      </c>
      <c r="H1455" t="s">
        <v>260</v>
      </c>
      <c r="I1455">
        <v>240.34186</v>
      </c>
    </row>
    <row r="1456" spans="1:9" ht="85.95" customHeight="1">
      <c r="A1456" s="1" t="str">
        <f>"Chemistry 5223"</f>
        <v>Chemistry 5223</v>
      </c>
      <c r="B1456" t="s">
        <v>3674</v>
      </c>
      <c r="C1456" t="s">
        <v>3</v>
      </c>
      <c r="D1456" s="2">
        <v>42000</v>
      </c>
      <c r="E1456" s="2">
        <v>25200</v>
      </c>
      <c r="F1456" t="s">
        <v>5</v>
      </c>
      <c r="G1456" t="s">
        <v>3675</v>
      </c>
      <c r="H1456" t="s">
        <v>260</v>
      </c>
      <c r="I1456">
        <v>240.34186</v>
      </c>
    </row>
    <row r="1457" spans="1:9" ht="89.25" customHeight="1">
      <c r="A1457" s="1" t="str">
        <f>"Chemistry 5225"</f>
        <v>Chemistry 5225</v>
      </c>
      <c r="B1457" t="s">
        <v>3676</v>
      </c>
      <c r="C1457" t="s">
        <v>3330</v>
      </c>
      <c r="D1457" s="2">
        <v>29800</v>
      </c>
      <c r="E1457" s="2">
        <v>17880</v>
      </c>
      <c r="F1457" t="s">
        <v>5</v>
      </c>
      <c r="G1457" t="s">
        <v>3677</v>
      </c>
      <c r="H1457" t="s">
        <v>3678</v>
      </c>
      <c r="I1457">
        <v>335.37110999999999</v>
      </c>
    </row>
    <row r="1458" spans="1:9" ht="85.95" customHeight="1">
      <c r="A1458" s="1" t="str">
        <f>"Chemistry 5227"</f>
        <v>Chemistry 5227</v>
      </c>
      <c r="B1458" t="s">
        <v>3679</v>
      </c>
      <c r="C1458" t="s">
        <v>3</v>
      </c>
      <c r="D1458" s="2">
        <v>38500</v>
      </c>
      <c r="E1458" s="2">
        <v>23100</v>
      </c>
      <c r="F1458" t="s">
        <v>5</v>
      </c>
      <c r="G1458" t="s">
        <v>3680</v>
      </c>
      <c r="H1458" t="s">
        <v>297</v>
      </c>
      <c r="I1458">
        <v>256.34125999999998</v>
      </c>
    </row>
    <row r="1459" spans="1:9" ht="79.2" customHeight="1">
      <c r="A1459" s="1" t="str">
        <f>"Chemistry 5236"</f>
        <v>Chemistry 5236</v>
      </c>
      <c r="B1459" t="s">
        <v>3681</v>
      </c>
      <c r="C1459" t="s">
        <v>3</v>
      </c>
      <c r="D1459" s="2">
        <v>33300</v>
      </c>
      <c r="E1459" s="2">
        <v>19980</v>
      </c>
      <c r="F1459" t="s">
        <v>5</v>
      </c>
      <c r="G1459" t="s">
        <v>3682</v>
      </c>
      <c r="H1459" t="s">
        <v>2035</v>
      </c>
      <c r="I1459">
        <v>226.31527</v>
      </c>
    </row>
    <row r="1460" spans="1:9" ht="63.45" customHeight="1">
      <c r="A1460" s="1" t="str">
        <f>"Chemistry 5237"</f>
        <v>Chemistry 5237</v>
      </c>
      <c r="B1460" t="s">
        <v>3683</v>
      </c>
      <c r="C1460" t="s">
        <v>3</v>
      </c>
      <c r="D1460" s="2">
        <v>38500</v>
      </c>
      <c r="E1460" s="2">
        <v>23100</v>
      </c>
      <c r="F1460" t="s">
        <v>5</v>
      </c>
      <c r="G1460" t="s">
        <v>3684</v>
      </c>
      <c r="H1460" t="s">
        <v>3685</v>
      </c>
      <c r="I1460">
        <v>269.33670999999998</v>
      </c>
    </row>
    <row r="1461" spans="1:9" ht="67.349999999999994" customHeight="1">
      <c r="A1461" s="1" t="str">
        <f>"Chemistry 5239"</f>
        <v>Chemistry 5239</v>
      </c>
      <c r="B1461" t="s">
        <v>3686</v>
      </c>
      <c r="C1461" t="s">
        <v>3</v>
      </c>
      <c r="D1461" s="2">
        <v>42000</v>
      </c>
      <c r="E1461" s="2">
        <v>25200</v>
      </c>
      <c r="F1461" t="s">
        <v>5</v>
      </c>
      <c r="G1461" t="s">
        <v>3687</v>
      </c>
      <c r="H1461" t="s">
        <v>260</v>
      </c>
      <c r="I1461">
        <v>240.34184999999999</v>
      </c>
    </row>
    <row r="1462" spans="1:9" ht="64.05" customHeight="1">
      <c r="A1462" s="1" t="str">
        <f>"Chemistry 5240"</f>
        <v>Chemistry 5240</v>
      </c>
      <c r="B1462" t="s">
        <v>3688</v>
      </c>
      <c r="C1462" t="s">
        <v>270</v>
      </c>
      <c r="D1462" s="2">
        <v>38500</v>
      </c>
      <c r="E1462" s="2">
        <v>23100</v>
      </c>
      <c r="F1462" t="s">
        <v>5</v>
      </c>
      <c r="G1462" t="s">
        <v>3689</v>
      </c>
      <c r="H1462" t="s">
        <v>631</v>
      </c>
      <c r="I1462">
        <v>291.2167</v>
      </c>
    </row>
    <row r="1463" spans="1:9" ht="80.849999999999994" customHeight="1">
      <c r="A1463" s="1" t="str">
        <f>"Chemistry 5242"</f>
        <v>Chemistry 5242</v>
      </c>
      <c r="B1463" t="s">
        <v>3690</v>
      </c>
      <c r="C1463" t="s">
        <v>270</v>
      </c>
      <c r="D1463" s="2">
        <v>38500</v>
      </c>
      <c r="E1463" s="2">
        <v>23100</v>
      </c>
      <c r="F1463" t="s">
        <v>5</v>
      </c>
      <c r="G1463" t="s">
        <v>3691</v>
      </c>
      <c r="H1463" t="s">
        <v>3664</v>
      </c>
      <c r="I1463">
        <v>309.20715999999999</v>
      </c>
    </row>
    <row r="1464" spans="1:9" ht="80.849999999999994" customHeight="1">
      <c r="A1464" s="1" t="str">
        <f>"Chemistry 5243"</f>
        <v>Chemistry 5243</v>
      </c>
      <c r="B1464" t="s">
        <v>3692</v>
      </c>
      <c r="C1464" t="s">
        <v>270</v>
      </c>
      <c r="D1464" s="2">
        <v>38500</v>
      </c>
      <c r="E1464" s="2">
        <v>23100</v>
      </c>
      <c r="F1464" t="s">
        <v>5</v>
      </c>
      <c r="G1464" t="s">
        <v>3693</v>
      </c>
      <c r="H1464" t="s">
        <v>3664</v>
      </c>
      <c r="I1464">
        <v>309.20715999999999</v>
      </c>
    </row>
    <row r="1465" spans="1:9" ht="52.8" customHeight="1">
      <c r="A1465" s="1" t="str">
        <f>"Chemistry 5252"</f>
        <v>Chemistry 5252</v>
      </c>
      <c r="B1465" t="s">
        <v>3694</v>
      </c>
      <c r="C1465" t="s">
        <v>3</v>
      </c>
      <c r="D1465" s="2">
        <v>21000</v>
      </c>
      <c r="E1465" s="2">
        <v>14699.999999999998</v>
      </c>
      <c r="F1465" t="s">
        <v>5</v>
      </c>
      <c r="G1465" t="s">
        <v>3695</v>
      </c>
      <c r="H1465" t="s">
        <v>1908</v>
      </c>
      <c r="I1465">
        <v>148.16522000000001</v>
      </c>
    </row>
    <row r="1466" spans="1:9" ht="52.8" customHeight="1">
      <c r="A1466" s="1" t="str">
        <f>"Chemistry 5262"</f>
        <v>Chemistry 5262</v>
      </c>
      <c r="B1466" t="s">
        <v>3696</v>
      </c>
      <c r="C1466" t="s">
        <v>3</v>
      </c>
      <c r="D1466" s="2">
        <v>21000</v>
      </c>
      <c r="E1466" s="2">
        <v>14699.999999999998</v>
      </c>
      <c r="F1466" t="s">
        <v>5</v>
      </c>
      <c r="G1466" t="s">
        <v>3697</v>
      </c>
      <c r="H1466" t="s">
        <v>1967</v>
      </c>
      <c r="I1466">
        <v>210.23459</v>
      </c>
    </row>
    <row r="1467" spans="1:9" ht="68.55" customHeight="1">
      <c r="A1467" s="1" t="str">
        <f>"Chemistry 5263"</f>
        <v>Chemistry 5263</v>
      </c>
      <c r="B1467" t="s">
        <v>3698</v>
      </c>
      <c r="C1467" t="s">
        <v>3</v>
      </c>
      <c r="D1467" s="2">
        <v>17500</v>
      </c>
      <c r="E1467" s="2">
        <v>12250</v>
      </c>
      <c r="F1467" t="s">
        <v>5</v>
      </c>
      <c r="G1467" t="s">
        <v>3699</v>
      </c>
      <c r="H1467" t="s">
        <v>2006</v>
      </c>
      <c r="I1467">
        <v>177.16007999999999</v>
      </c>
    </row>
    <row r="1468" spans="1:9" ht="52.8" customHeight="1">
      <c r="A1468" s="1" t="str">
        <f>"Chemistry 5272"</f>
        <v>Chemistry 5272</v>
      </c>
      <c r="B1468" t="s">
        <v>3700</v>
      </c>
      <c r="C1468" t="s">
        <v>3</v>
      </c>
      <c r="D1468" s="2">
        <v>21000</v>
      </c>
      <c r="E1468" s="2">
        <v>14699.999999999998</v>
      </c>
      <c r="F1468" t="s">
        <v>5</v>
      </c>
      <c r="G1468" t="s">
        <v>3701</v>
      </c>
      <c r="H1468" t="s">
        <v>1229</v>
      </c>
      <c r="I1468">
        <v>174.20249999999999</v>
      </c>
    </row>
    <row r="1469" spans="1:9" ht="71.25" customHeight="1">
      <c r="A1469" s="1" t="str">
        <f>"Chemistry 5275"</f>
        <v>Chemistry 5275</v>
      </c>
      <c r="B1469" t="s">
        <v>3702</v>
      </c>
      <c r="C1469" t="s">
        <v>3</v>
      </c>
      <c r="D1469" s="2">
        <v>24500</v>
      </c>
      <c r="E1469" s="2">
        <v>17150</v>
      </c>
      <c r="F1469" t="s">
        <v>5</v>
      </c>
      <c r="G1469" t="s">
        <v>3703</v>
      </c>
      <c r="H1469" t="s">
        <v>3173</v>
      </c>
      <c r="I1469">
        <v>190.24166</v>
      </c>
    </row>
    <row r="1470" spans="1:9" ht="66.3" customHeight="1">
      <c r="A1470" s="1" t="str">
        <f>"Chemistry 5281"</f>
        <v>Chemistry 5281</v>
      </c>
      <c r="B1470" t="s">
        <v>3704</v>
      </c>
      <c r="C1470" t="s">
        <v>3</v>
      </c>
      <c r="D1470" s="2">
        <v>45500</v>
      </c>
      <c r="E1470" s="2">
        <v>27300</v>
      </c>
      <c r="F1470" t="s">
        <v>5</v>
      </c>
      <c r="G1470" t="s">
        <v>3705</v>
      </c>
      <c r="H1470" t="s">
        <v>3671</v>
      </c>
      <c r="I1470">
        <v>212.28869</v>
      </c>
    </row>
    <row r="1471" spans="1:9" ht="65.7" customHeight="1">
      <c r="A1471" s="1" t="str">
        <f>"Chemistry 5282"</f>
        <v>Chemistry 5282</v>
      </c>
      <c r="B1471" t="s">
        <v>3706</v>
      </c>
      <c r="C1471" t="s">
        <v>3</v>
      </c>
      <c r="D1471" s="2">
        <v>42000</v>
      </c>
      <c r="E1471" s="2">
        <v>25200</v>
      </c>
      <c r="F1471" t="s">
        <v>5</v>
      </c>
      <c r="G1471" t="s">
        <v>3707</v>
      </c>
      <c r="H1471" t="s">
        <v>260</v>
      </c>
      <c r="I1471">
        <v>240.34184999999999</v>
      </c>
    </row>
    <row r="1472" spans="1:9" ht="79.2" customHeight="1">
      <c r="A1472" s="1" t="str">
        <f>"Chemistry 5292"</f>
        <v>Chemistry 5292</v>
      </c>
      <c r="B1472" t="s">
        <v>3708</v>
      </c>
      <c r="C1472" t="s">
        <v>3</v>
      </c>
      <c r="D1472" s="2">
        <v>31500</v>
      </c>
      <c r="E1472" s="2">
        <v>18900</v>
      </c>
      <c r="F1472" t="s">
        <v>5</v>
      </c>
      <c r="G1472" t="s">
        <v>3709</v>
      </c>
      <c r="H1472" t="s">
        <v>2758</v>
      </c>
      <c r="I1472">
        <v>255.31012999999999</v>
      </c>
    </row>
    <row r="1473" spans="1:9" ht="51.6" customHeight="1">
      <c r="A1473" s="1" t="str">
        <f>"Chemistry 5293"</f>
        <v>Chemistry 5293</v>
      </c>
      <c r="B1473" t="s">
        <v>3710</v>
      </c>
      <c r="C1473" t="s">
        <v>128</v>
      </c>
      <c r="D1473" s="2">
        <v>31500</v>
      </c>
      <c r="E1473" s="2">
        <v>18900</v>
      </c>
      <c r="F1473" t="s">
        <v>5</v>
      </c>
      <c r="G1473" t="s">
        <v>3711</v>
      </c>
      <c r="H1473" t="s">
        <v>3712</v>
      </c>
      <c r="I1473">
        <v>205.68183999999999</v>
      </c>
    </row>
    <row r="1474" spans="1:9" ht="51.6" customHeight="1">
      <c r="A1474" s="1" t="str">
        <f>"Chemistry 5294"</f>
        <v>Chemistry 5294</v>
      </c>
      <c r="B1474" t="s">
        <v>3713</v>
      </c>
      <c r="C1474" t="s">
        <v>3</v>
      </c>
      <c r="D1474" s="2">
        <v>31500</v>
      </c>
      <c r="E1474" s="2">
        <v>18900</v>
      </c>
      <c r="F1474" t="s">
        <v>5</v>
      </c>
      <c r="G1474" t="s">
        <v>3714</v>
      </c>
      <c r="H1474" t="s">
        <v>1770</v>
      </c>
      <c r="I1474">
        <v>184.23223999999999</v>
      </c>
    </row>
    <row r="1475" spans="1:9" ht="51.6" customHeight="1">
      <c r="A1475" s="1" t="str">
        <f>"Chemistry 5295"</f>
        <v>Chemistry 5295</v>
      </c>
      <c r="B1475" t="s">
        <v>3715</v>
      </c>
      <c r="C1475" t="s">
        <v>3</v>
      </c>
      <c r="D1475" s="2">
        <v>31500</v>
      </c>
      <c r="E1475" s="2">
        <v>18900</v>
      </c>
      <c r="F1475" t="s">
        <v>5</v>
      </c>
      <c r="G1475" t="s">
        <v>3716</v>
      </c>
      <c r="H1475" t="s">
        <v>3717</v>
      </c>
      <c r="I1475">
        <v>172.19672</v>
      </c>
    </row>
    <row r="1476" spans="1:9" ht="71.25" customHeight="1">
      <c r="A1476" s="1" t="str">
        <f>"Chemistry 5302"</f>
        <v>Chemistry 5302</v>
      </c>
      <c r="B1476" t="s">
        <v>3718</v>
      </c>
      <c r="C1476" t="s">
        <v>3</v>
      </c>
      <c r="D1476" s="2">
        <v>28000</v>
      </c>
      <c r="E1476" s="2">
        <v>16800</v>
      </c>
      <c r="F1476" t="s">
        <v>5</v>
      </c>
      <c r="G1476" t="s">
        <v>3719</v>
      </c>
      <c r="H1476" t="s">
        <v>1585</v>
      </c>
      <c r="I1476">
        <v>177.19983999999999</v>
      </c>
    </row>
    <row r="1477" spans="1:9" ht="83.1" customHeight="1">
      <c r="A1477" s="1" t="str">
        <f>"Chemistry 5303"</f>
        <v>Chemistry 5303</v>
      </c>
      <c r="B1477" t="s">
        <v>3720</v>
      </c>
      <c r="C1477" t="s">
        <v>3</v>
      </c>
      <c r="D1477" s="2">
        <v>28000</v>
      </c>
      <c r="E1477" s="2">
        <v>16800</v>
      </c>
      <c r="F1477" t="s">
        <v>5</v>
      </c>
      <c r="G1477" t="s">
        <v>3721</v>
      </c>
      <c r="H1477" t="s">
        <v>1585</v>
      </c>
      <c r="I1477">
        <v>177.19983999999999</v>
      </c>
    </row>
    <row r="1478" spans="1:9" ht="72.45" customHeight="1">
      <c r="A1478" s="1" t="str">
        <f>"Chemistry 5308"</f>
        <v>Chemistry 5308</v>
      </c>
      <c r="B1478" t="s">
        <v>3722</v>
      </c>
      <c r="C1478" t="s">
        <v>3</v>
      </c>
      <c r="D1478" s="2">
        <v>28000</v>
      </c>
      <c r="E1478" s="2">
        <v>16800</v>
      </c>
      <c r="F1478" t="s">
        <v>5</v>
      </c>
      <c r="G1478" t="s">
        <v>3723</v>
      </c>
      <c r="H1478" t="s">
        <v>32</v>
      </c>
      <c r="I1478">
        <v>208.21386999999999</v>
      </c>
    </row>
    <row r="1479" spans="1:9" ht="53.25" customHeight="1">
      <c r="A1479" s="1" t="str">
        <f>"Chemistry 5309"</f>
        <v>Chemistry 5309</v>
      </c>
      <c r="B1479" t="s">
        <v>3724</v>
      </c>
      <c r="C1479" t="s">
        <v>128</v>
      </c>
      <c r="D1479" s="2">
        <v>24500</v>
      </c>
      <c r="E1479" s="2">
        <v>17150</v>
      </c>
      <c r="F1479" t="s">
        <v>5</v>
      </c>
      <c r="G1479" t="s">
        <v>3725</v>
      </c>
      <c r="H1479" t="s">
        <v>3726</v>
      </c>
      <c r="I1479">
        <v>189.64268000000001</v>
      </c>
    </row>
    <row r="1480" spans="1:9" ht="82.5" customHeight="1">
      <c r="A1480" s="1" t="str">
        <f>"Chemistry 5313"</f>
        <v>Chemistry 5313</v>
      </c>
      <c r="B1480" t="s">
        <v>3727</v>
      </c>
      <c r="C1480" t="s">
        <v>3</v>
      </c>
      <c r="D1480" s="2">
        <v>19300</v>
      </c>
      <c r="E1480" s="2">
        <v>13510</v>
      </c>
      <c r="F1480" t="s">
        <v>5</v>
      </c>
      <c r="G1480" t="s">
        <v>3728</v>
      </c>
      <c r="H1480" t="s">
        <v>1244</v>
      </c>
      <c r="I1480">
        <v>243.18191999999999</v>
      </c>
    </row>
    <row r="1481" spans="1:9" ht="60" customHeight="1">
      <c r="A1481" s="1" t="str">
        <f>"Chemistry 5317"</f>
        <v>Chemistry 5317</v>
      </c>
      <c r="B1481" t="s">
        <v>3729</v>
      </c>
      <c r="C1481" t="s">
        <v>128</v>
      </c>
      <c r="D1481" s="2">
        <v>31500</v>
      </c>
      <c r="E1481" s="2">
        <v>18900</v>
      </c>
      <c r="F1481" t="s">
        <v>5</v>
      </c>
      <c r="G1481" t="s">
        <v>3730</v>
      </c>
      <c r="H1481" t="s">
        <v>1528</v>
      </c>
      <c r="I1481">
        <v>229.70653999999999</v>
      </c>
    </row>
    <row r="1482" spans="1:9" ht="72.45" customHeight="1">
      <c r="A1482" s="1" t="str">
        <f>"Chemistry 5319"</f>
        <v>Chemistry 5319</v>
      </c>
      <c r="B1482" t="s">
        <v>3731</v>
      </c>
      <c r="C1482" t="s">
        <v>128</v>
      </c>
      <c r="D1482" s="2">
        <v>31500</v>
      </c>
      <c r="E1482" s="2">
        <v>18900</v>
      </c>
      <c r="F1482" t="s">
        <v>5</v>
      </c>
      <c r="G1482" t="s">
        <v>3732</v>
      </c>
      <c r="H1482" t="s">
        <v>1528</v>
      </c>
      <c r="I1482">
        <v>229.70653999999999</v>
      </c>
    </row>
    <row r="1483" spans="1:9" ht="57.3" customHeight="1">
      <c r="A1483" s="1" t="str">
        <f>"Chemistry 5320"</f>
        <v>Chemistry 5320</v>
      </c>
      <c r="B1483" t="s">
        <v>3733</v>
      </c>
      <c r="C1483" t="s">
        <v>128</v>
      </c>
      <c r="D1483" s="2">
        <v>28000</v>
      </c>
      <c r="E1483" s="2">
        <v>16800</v>
      </c>
      <c r="F1483" t="s">
        <v>5</v>
      </c>
      <c r="G1483" t="s">
        <v>3734</v>
      </c>
      <c r="H1483" t="s">
        <v>1527</v>
      </c>
      <c r="I1483">
        <v>215.67995999999999</v>
      </c>
    </row>
    <row r="1484" spans="1:9" ht="67.95" customHeight="1">
      <c r="A1484" s="1" t="str">
        <f>"Chemistry 5327"</f>
        <v>Chemistry 5327</v>
      </c>
      <c r="B1484" t="s">
        <v>3736</v>
      </c>
      <c r="C1484" t="s">
        <v>3</v>
      </c>
      <c r="D1484" s="2">
        <v>22800</v>
      </c>
      <c r="E1484" s="2">
        <v>15959.999999999998</v>
      </c>
      <c r="F1484" t="s">
        <v>5</v>
      </c>
      <c r="G1484" t="s">
        <v>3737</v>
      </c>
      <c r="H1484" t="s">
        <v>3235</v>
      </c>
      <c r="I1484">
        <v>176.21508</v>
      </c>
    </row>
    <row r="1485" spans="1:9" ht="67.95" customHeight="1">
      <c r="A1485" s="1" t="str">
        <f>"Chemistry 5333"</f>
        <v>Chemistry 5333</v>
      </c>
      <c r="B1485" t="s">
        <v>3738</v>
      </c>
      <c r="C1485" t="s">
        <v>128</v>
      </c>
      <c r="D1485" s="2">
        <v>31500</v>
      </c>
      <c r="E1485" s="2">
        <v>18900</v>
      </c>
      <c r="F1485" t="s">
        <v>5</v>
      </c>
      <c r="G1485" t="s">
        <v>3739</v>
      </c>
      <c r="H1485" t="s">
        <v>3726</v>
      </c>
      <c r="I1485">
        <v>189.64268000000001</v>
      </c>
    </row>
    <row r="1486" spans="1:9" ht="82.5" customHeight="1">
      <c r="A1486" s="1" t="str">
        <f>"Chemistry 5334"</f>
        <v>Chemistry 5334</v>
      </c>
      <c r="B1486" t="s">
        <v>3740</v>
      </c>
      <c r="C1486" t="s">
        <v>128</v>
      </c>
      <c r="D1486" s="2">
        <v>31500</v>
      </c>
      <c r="E1486" s="2">
        <v>18900</v>
      </c>
      <c r="F1486" t="s">
        <v>5</v>
      </c>
      <c r="G1486" t="s">
        <v>3741</v>
      </c>
      <c r="H1486" t="s">
        <v>1799</v>
      </c>
      <c r="I1486">
        <v>217.69584</v>
      </c>
    </row>
    <row r="1487" spans="1:9" ht="70.8" customHeight="1">
      <c r="A1487" s="1" t="str">
        <f>"Chemistry 5335"</f>
        <v>Chemistry 5335</v>
      </c>
      <c r="B1487" t="s">
        <v>3742</v>
      </c>
      <c r="C1487" t="s">
        <v>128</v>
      </c>
      <c r="D1487" s="2">
        <v>31500</v>
      </c>
      <c r="E1487" s="2">
        <v>18900</v>
      </c>
      <c r="F1487" t="s">
        <v>5</v>
      </c>
      <c r="G1487" t="s">
        <v>3743</v>
      </c>
      <c r="H1487" t="s">
        <v>1527</v>
      </c>
      <c r="I1487">
        <v>215.67995999999999</v>
      </c>
    </row>
    <row r="1488" spans="1:9" ht="72.45" customHeight="1">
      <c r="A1488" s="1" t="str">
        <f>"Chemistry 5336"</f>
        <v>Chemistry 5336</v>
      </c>
      <c r="B1488" t="s">
        <v>3744</v>
      </c>
      <c r="C1488" t="s">
        <v>128</v>
      </c>
      <c r="D1488" s="2">
        <v>28000</v>
      </c>
      <c r="E1488" s="2">
        <v>16800</v>
      </c>
      <c r="F1488" t="s">
        <v>5</v>
      </c>
      <c r="G1488" t="s">
        <v>3745</v>
      </c>
      <c r="H1488" t="s">
        <v>1527</v>
      </c>
      <c r="I1488">
        <v>215.67995999999999</v>
      </c>
    </row>
    <row r="1489" spans="1:9" ht="60.6" customHeight="1">
      <c r="A1489" s="1" t="str">
        <f>"Chemistry 5337"</f>
        <v>Chemistry 5337</v>
      </c>
      <c r="B1489" t="s">
        <v>3746</v>
      </c>
      <c r="C1489" t="s">
        <v>128</v>
      </c>
      <c r="D1489" s="2">
        <v>21000</v>
      </c>
      <c r="E1489" s="2">
        <v>14699.999999999998</v>
      </c>
      <c r="F1489" t="s">
        <v>5</v>
      </c>
      <c r="G1489" t="s">
        <v>3747</v>
      </c>
      <c r="H1489" t="s">
        <v>3017</v>
      </c>
      <c r="I1489">
        <v>175.65916000000001</v>
      </c>
    </row>
    <row r="1490" spans="1:9" ht="58.95" customHeight="1">
      <c r="A1490" s="1" t="str">
        <f>"Chemistry 5346"</f>
        <v>Chemistry 5346</v>
      </c>
      <c r="B1490" t="s">
        <v>3749</v>
      </c>
      <c r="C1490" t="s">
        <v>128</v>
      </c>
      <c r="D1490" s="2">
        <v>31500</v>
      </c>
      <c r="E1490" s="2">
        <v>18900</v>
      </c>
      <c r="F1490" t="s">
        <v>5</v>
      </c>
      <c r="G1490" t="s">
        <v>3750</v>
      </c>
      <c r="H1490" t="s">
        <v>1799</v>
      </c>
      <c r="I1490">
        <v>217.69584</v>
      </c>
    </row>
    <row r="1491" spans="1:9" ht="63.45" customHeight="1">
      <c r="A1491" s="1" t="str">
        <f>"Chemistry 5350"</f>
        <v>Chemistry 5350</v>
      </c>
      <c r="B1491" t="s">
        <v>3751</v>
      </c>
      <c r="C1491" t="s">
        <v>270</v>
      </c>
      <c r="D1491" s="2">
        <v>28000</v>
      </c>
      <c r="E1491" s="2">
        <v>16800</v>
      </c>
      <c r="F1491" t="s">
        <v>5</v>
      </c>
      <c r="G1491" t="s">
        <v>3752</v>
      </c>
      <c r="H1491" t="s">
        <v>424</v>
      </c>
      <c r="I1491">
        <v>314.23187999999999</v>
      </c>
    </row>
    <row r="1492" spans="1:9" ht="72.45" customHeight="1">
      <c r="A1492" s="1" t="str">
        <f>"Chemistry 5353"</f>
        <v>Chemistry 5353</v>
      </c>
      <c r="B1492" t="s">
        <v>3753</v>
      </c>
      <c r="C1492" t="s">
        <v>270</v>
      </c>
      <c r="D1492" s="2">
        <v>28000</v>
      </c>
      <c r="E1492" s="2">
        <v>16800</v>
      </c>
      <c r="F1492" t="s">
        <v>5</v>
      </c>
      <c r="G1492" t="s">
        <v>3754</v>
      </c>
      <c r="H1492" t="s">
        <v>424</v>
      </c>
      <c r="I1492">
        <v>314.23187999999999</v>
      </c>
    </row>
    <row r="1493" spans="1:9" ht="94.95" customHeight="1">
      <c r="A1493" s="1" t="str">
        <f>"Chemistry 5354"</f>
        <v>Chemistry 5354</v>
      </c>
      <c r="B1493" t="s">
        <v>3755</v>
      </c>
      <c r="C1493" t="s">
        <v>270</v>
      </c>
      <c r="D1493" s="2">
        <v>28000</v>
      </c>
      <c r="E1493" s="2">
        <v>16800</v>
      </c>
      <c r="F1493" t="s">
        <v>5</v>
      </c>
      <c r="G1493" t="s">
        <v>3756</v>
      </c>
      <c r="H1493" t="s">
        <v>3735</v>
      </c>
      <c r="I1493">
        <v>300.20530000000002</v>
      </c>
    </row>
    <row r="1494" spans="1:9" ht="81.45" customHeight="1">
      <c r="A1494" s="1" t="str">
        <f>"Chemistry 5356"</f>
        <v>Chemistry 5356</v>
      </c>
      <c r="B1494" t="s">
        <v>3757</v>
      </c>
      <c r="C1494" t="s">
        <v>3</v>
      </c>
      <c r="D1494" s="2">
        <v>35000</v>
      </c>
      <c r="E1494" s="2">
        <v>21000</v>
      </c>
      <c r="F1494" t="s">
        <v>5</v>
      </c>
      <c r="G1494" t="s">
        <v>3758</v>
      </c>
      <c r="H1494" t="s">
        <v>3759</v>
      </c>
      <c r="I1494">
        <v>254.30215999999999</v>
      </c>
    </row>
    <row r="1495" spans="1:9" ht="58.95" customHeight="1">
      <c r="A1495" s="1" t="str">
        <f>"Chemistry 5358"</f>
        <v>Chemistry 5358</v>
      </c>
      <c r="B1495" t="s">
        <v>3760</v>
      </c>
      <c r="C1495" t="s">
        <v>3</v>
      </c>
      <c r="D1495" s="2">
        <v>24500</v>
      </c>
      <c r="E1495" s="2">
        <v>17150</v>
      </c>
      <c r="F1495" t="s">
        <v>5</v>
      </c>
      <c r="G1495" t="s">
        <v>3761</v>
      </c>
      <c r="H1495" t="s">
        <v>3173</v>
      </c>
      <c r="I1495">
        <v>190.24166</v>
      </c>
    </row>
    <row r="1496" spans="1:9" ht="71.25" customHeight="1">
      <c r="A1496" s="1" t="str">
        <f>"Chemistry 5360"</f>
        <v>Chemistry 5360</v>
      </c>
      <c r="B1496" t="s">
        <v>3762</v>
      </c>
      <c r="C1496" t="s">
        <v>3</v>
      </c>
      <c r="D1496" s="2">
        <v>28000</v>
      </c>
      <c r="E1496" s="2">
        <v>16800</v>
      </c>
      <c r="F1496" t="s">
        <v>5</v>
      </c>
      <c r="G1496" t="s">
        <v>3763</v>
      </c>
      <c r="H1496" t="s">
        <v>3543</v>
      </c>
      <c r="I1496">
        <v>191.22971999999999</v>
      </c>
    </row>
    <row r="1497" spans="1:9" ht="89.25" customHeight="1">
      <c r="A1497" s="1" t="str">
        <f>"Chemistry 5361"</f>
        <v>Chemistry 5361</v>
      </c>
      <c r="B1497" t="s">
        <v>3764</v>
      </c>
      <c r="C1497" t="s">
        <v>3</v>
      </c>
      <c r="D1497" s="2">
        <v>22800</v>
      </c>
      <c r="E1497" s="2">
        <v>15959.999999999998</v>
      </c>
      <c r="F1497" t="s">
        <v>5</v>
      </c>
      <c r="G1497" t="s">
        <v>3765</v>
      </c>
      <c r="H1497" t="s">
        <v>1973</v>
      </c>
      <c r="I1497">
        <v>222.12139999999999</v>
      </c>
    </row>
    <row r="1498" spans="1:9" ht="61.8" customHeight="1">
      <c r="A1498" s="1" t="str">
        <f>"Chemistry 5364"</f>
        <v>Chemistry 5364</v>
      </c>
      <c r="B1498" t="s">
        <v>3766</v>
      </c>
      <c r="C1498" t="s">
        <v>270</v>
      </c>
      <c r="D1498" s="2">
        <v>28000</v>
      </c>
      <c r="E1498" s="2">
        <v>16800</v>
      </c>
      <c r="F1498" t="s">
        <v>5</v>
      </c>
      <c r="G1498" t="s">
        <v>3767</v>
      </c>
      <c r="H1498" t="s">
        <v>3435</v>
      </c>
      <c r="I1498">
        <v>313.24382000000003</v>
      </c>
    </row>
    <row r="1499" spans="1:9" ht="70.8" customHeight="1">
      <c r="A1499" s="1" t="str">
        <f>"Chemistry 5371"</f>
        <v>Chemistry 5371</v>
      </c>
      <c r="B1499" t="s">
        <v>3768</v>
      </c>
      <c r="C1499" t="s">
        <v>3</v>
      </c>
      <c r="D1499" s="2">
        <v>35000</v>
      </c>
      <c r="E1499" s="2">
        <v>21000</v>
      </c>
      <c r="F1499" t="s">
        <v>5</v>
      </c>
      <c r="G1499" t="s">
        <v>3769</v>
      </c>
      <c r="H1499" t="s">
        <v>3770</v>
      </c>
      <c r="I1499">
        <v>275.29978</v>
      </c>
    </row>
    <row r="1500" spans="1:9" ht="89.25" customHeight="1">
      <c r="A1500" s="1" t="str">
        <f>"Chemistry 5373"</f>
        <v>Chemistry 5373</v>
      </c>
      <c r="B1500" t="s">
        <v>3771</v>
      </c>
      <c r="C1500" t="s">
        <v>3</v>
      </c>
      <c r="D1500" s="2">
        <v>35000</v>
      </c>
      <c r="E1500" s="2">
        <v>21000</v>
      </c>
      <c r="F1500" t="s">
        <v>5</v>
      </c>
      <c r="G1500" t="s">
        <v>3772</v>
      </c>
      <c r="H1500" t="s">
        <v>2758</v>
      </c>
      <c r="I1500">
        <v>255.31012999999999</v>
      </c>
    </row>
    <row r="1501" spans="1:9" ht="79.2" customHeight="1">
      <c r="A1501" s="1" t="str">
        <f>"Chemistry 5375"</f>
        <v>Chemistry 5375</v>
      </c>
      <c r="B1501" t="s">
        <v>3773</v>
      </c>
      <c r="C1501" t="s">
        <v>3</v>
      </c>
      <c r="D1501" s="2">
        <v>35000</v>
      </c>
      <c r="E1501" s="2">
        <v>21000</v>
      </c>
      <c r="F1501" t="s">
        <v>5</v>
      </c>
      <c r="G1501" t="s">
        <v>3774</v>
      </c>
      <c r="H1501" t="s">
        <v>3775</v>
      </c>
      <c r="I1501">
        <v>275.36444</v>
      </c>
    </row>
    <row r="1502" spans="1:9" ht="66.3" customHeight="1">
      <c r="A1502" s="1" t="str">
        <f>"Chemistry 5384"</f>
        <v>Chemistry 5384</v>
      </c>
      <c r="B1502" t="s">
        <v>3776</v>
      </c>
      <c r="C1502" t="s">
        <v>3</v>
      </c>
      <c r="D1502" s="2">
        <v>42000</v>
      </c>
      <c r="E1502" s="2">
        <v>25200</v>
      </c>
      <c r="F1502" t="s">
        <v>5</v>
      </c>
      <c r="G1502" t="s">
        <v>3777</v>
      </c>
      <c r="H1502" t="s">
        <v>1994</v>
      </c>
      <c r="I1502">
        <v>260.33150000000001</v>
      </c>
    </row>
    <row r="1503" spans="1:9" ht="55.5" customHeight="1">
      <c r="A1503" s="1" t="str">
        <f>"Chemistry 5404"</f>
        <v>Chemistry 5404</v>
      </c>
      <c r="B1503" t="s">
        <v>3778</v>
      </c>
      <c r="C1503" t="s">
        <v>3</v>
      </c>
      <c r="D1503" s="2">
        <v>21000</v>
      </c>
      <c r="E1503" s="2">
        <v>14699.999999999998</v>
      </c>
      <c r="F1503" t="s">
        <v>5</v>
      </c>
      <c r="G1503" t="s">
        <v>3779</v>
      </c>
      <c r="H1503" t="s">
        <v>2630</v>
      </c>
      <c r="I1503">
        <v>134.13864000000001</v>
      </c>
    </row>
    <row r="1504" spans="1:9" ht="64.05" customHeight="1">
      <c r="A1504" s="1" t="str">
        <f>"Chemistry 5405"</f>
        <v>Chemistry 5405</v>
      </c>
      <c r="B1504" t="s">
        <v>3780</v>
      </c>
      <c r="C1504" t="s">
        <v>3</v>
      </c>
      <c r="D1504" s="2">
        <v>21000</v>
      </c>
      <c r="E1504" s="2">
        <v>14699.999999999998</v>
      </c>
      <c r="F1504" t="s">
        <v>5</v>
      </c>
      <c r="G1504" t="s">
        <v>3781</v>
      </c>
      <c r="H1504" t="s">
        <v>1908</v>
      </c>
      <c r="I1504">
        <v>148.16522000000001</v>
      </c>
    </row>
    <row r="1505" spans="1:9" ht="85.35" customHeight="1">
      <c r="A1505" s="1" t="str">
        <f>"Chemistry 5408"</f>
        <v>Chemistry 5408</v>
      </c>
      <c r="B1505" t="s">
        <v>3782</v>
      </c>
      <c r="C1505" t="s">
        <v>3</v>
      </c>
      <c r="D1505" s="2">
        <v>21000</v>
      </c>
      <c r="E1505" s="2">
        <v>14699.999999999998</v>
      </c>
      <c r="F1505" t="s">
        <v>5</v>
      </c>
      <c r="G1505" t="s">
        <v>3783</v>
      </c>
      <c r="H1505" t="s">
        <v>1224</v>
      </c>
      <c r="I1505">
        <v>188.22908000000001</v>
      </c>
    </row>
    <row r="1506" spans="1:9" ht="82.5" customHeight="1">
      <c r="A1506" s="1" t="str">
        <f>"Chemistry 5410"</f>
        <v>Chemistry 5410</v>
      </c>
      <c r="B1506" t="s">
        <v>3784</v>
      </c>
      <c r="C1506" t="s">
        <v>3</v>
      </c>
      <c r="D1506" s="2">
        <v>21000</v>
      </c>
      <c r="E1506" s="2">
        <v>14699.999999999998</v>
      </c>
      <c r="F1506" t="s">
        <v>5</v>
      </c>
      <c r="G1506" t="s">
        <v>3785</v>
      </c>
      <c r="H1506" t="s">
        <v>2647</v>
      </c>
      <c r="I1506">
        <v>202.13659999999999</v>
      </c>
    </row>
    <row r="1507" spans="1:9" ht="55.5" customHeight="1">
      <c r="A1507" s="1" t="str">
        <f>"Chemistry 5413"</f>
        <v>Chemistry 5413</v>
      </c>
      <c r="B1507" t="s">
        <v>3786</v>
      </c>
      <c r="C1507" t="s">
        <v>3</v>
      </c>
      <c r="D1507" s="2">
        <v>22800</v>
      </c>
      <c r="E1507" s="2">
        <v>15959.999999999998</v>
      </c>
      <c r="F1507" t="s">
        <v>5</v>
      </c>
      <c r="G1507" t="s">
        <v>3787</v>
      </c>
      <c r="H1507" t="s">
        <v>1229</v>
      </c>
      <c r="I1507">
        <v>174.20249999999999</v>
      </c>
    </row>
    <row r="1508" spans="1:9" ht="87" customHeight="1">
      <c r="A1508" s="1" t="str">
        <f>"Chemistry 5414"</f>
        <v>Chemistry 5414</v>
      </c>
      <c r="B1508" t="s">
        <v>3788</v>
      </c>
      <c r="C1508" t="s">
        <v>3</v>
      </c>
      <c r="D1508" s="2">
        <v>24500</v>
      </c>
      <c r="E1508" s="2">
        <v>17150</v>
      </c>
      <c r="F1508" t="s">
        <v>5</v>
      </c>
      <c r="G1508" t="s">
        <v>3789</v>
      </c>
      <c r="H1508" t="s">
        <v>3173</v>
      </c>
      <c r="I1508">
        <v>190.24166</v>
      </c>
    </row>
    <row r="1509" spans="1:9" ht="91.5" customHeight="1">
      <c r="A1509" s="1" t="str">
        <f>"Chemistry 5420"</f>
        <v>Chemistry 5420</v>
      </c>
      <c r="B1509" t="s">
        <v>3790</v>
      </c>
      <c r="C1509" t="s">
        <v>3</v>
      </c>
      <c r="D1509" s="2">
        <v>40300</v>
      </c>
      <c r="E1509" s="2">
        <v>24180</v>
      </c>
      <c r="F1509" t="s">
        <v>5</v>
      </c>
      <c r="G1509" t="s">
        <v>3791</v>
      </c>
      <c r="H1509" t="s">
        <v>3581</v>
      </c>
      <c r="I1509">
        <v>257.25155999999998</v>
      </c>
    </row>
    <row r="1510" spans="1:9" ht="72.45" customHeight="1">
      <c r="A1510" s="1" t="str">
        <f>"Chemistry 5430"</f>
        <v>Chemistry 5430</v>
      </c>
      <c r="B1510" t="s">
        <v>3792</v>
      </c>
      <c r="C1510" t="s">
        <v>128</v>
      </c>
      <c r="D1510" s="2">
        <v>40300</v>
      </c>
      <c r="E1510" s="2">
        <v>24180</v>
      </c>
      <c r="F1510" t="s">
        <v>5</v>
      </c>
      <c r="G1510" t="s">
        <v>3793</v>
      </c>
      <c r="H1510" t="s">
        <v>2844</v>
      </c>
      <c r="I1510">
        <v>260.15960000000001</v>
      </c>
    </row>
    <row r="1511" spans="1:9" ht="63.45" customHeight="1">
      <c r="A1511" s="1" t="str">
        <f>"Chemistry 5435"</f>
        <v>Chemistry 5435</v>
      </c>
      <c r="B1511" t="s">
        <v>3794</v>
      </c>
      <c r="C1511" t="s">
        <v>3</v>
      </c>
      <c r="D1511" s="2">
        <v>24500</v>
      </c>
      <c r="E1511" s="2">
        <v>17150</v>
      </c>
      <c r="F1511" t="s">
        <v>5</v>
      </c>
      <c r="G1511" t="s">
        <v>3795</v>
      </c>
      <c r="H1511" t="s">
        <v>2059</v>
      </c>
      <c r="I1511">
        <v>176.21178</v>
      </c>
    </row>
    <row r="1512" spans="1:9" ht="66.75" customHeight="1">
      <c r="A1512" s="1" t="str">
        <f>"Chemistry 5436"</f>
        <v>Chemistry 5436</v>
      </c>
      <c r="B1512" t="s">
        <v>3796</v>
      </c>
      <c r="C1512" t="s">
        <v>3</v>
      </c>
      <c r="D1512" s="2">
        <v>24500</v>
      </c>
      <c r="E1512" s="2">
        <v>17150</v>
      </c>
      <c r="F1512" t="s">
        <v>5</v>
      </c>
      <c r="G1512" t="s">
        <v>3797</v>
      </c>
      <c r="H1512" t="s">
        <v>1127</v>
      </c>
      <c r="I1512">
        <v>255.10784000000001</v>
      </c>
    </row>
    <row r="1513" spans="1:9" ht="69" customHeight="1">
      <c r="A1513" s="1" t="str">
        <f>"Chemistry 5438"</f>
        <v>Chemistry 5438</v>
      </c>
      <c r="B1513" t="s">
        <v>3798</v>
      </c>
      <c r="C1513" t="s">
        <v>128</v>
      </c>
      <c r="D1513" s="2">
        <v>40300</v>
      </c>
      <c r="E1513" s="2">
        <v>24180</v>
      </c>
      <c r="F1513" t="s">
        <v>5</v>
      </c>
      <c r="G1513" t="s">
        <v>3799</v>
      </c>
      <c r="H1513" t="s">
        <v>2861</v>
      </c>
      <c r="I1513">
        <v>239.74112</v>
      </c>
    </row>
    <row r="1514" spans="1:9" ht="66.75" customHeight="1">
      <c r="A1514" s="1" t="str">
        <f>"Chemistry 5443"</f>
        <v>Chemistry 5443</v>
      </c>
      <c r="B1514" t="s">
        <v>3800</v>
      </c>
      <c r="C1514" t="s">
        <v>3</v>
      </c>
      <c r="D1514" s="2">
        <v>24500</v>
      </c>
      <c r="E1514" s="2">
        <v>17150</v>
      </c>
      <c r="F1514" t="s">
        <v>5</v>
      </c>
      <c r="G1514" t="s">
        <v>3801</v>
      </c>
      <c r="H1514" t="s">
        <v>1138</v>
      </c>
      <c r="I1514">
        <v>206.23776000000001</v>
      </c>
    </row>
    <row r="1515" spans="1:9" ht="74.7" customHeight="1">
      <c r="A1515" s="1" t="str">
        <f>"Chemistry 5444"</f>
        <v>Chemistry 5444</v>
      </c>
      <c r="B1515" t="s">
        <v>3802</v>
      </c>
      <c r="C1515" t="s">
        <v>3</v>
      </c>
      <c r="D1515" s="2">
        <v>24500</v>
      </c>
      <c r="E1515" s="2">
        <v>17150</v>
      </c>
      <c r="F1515" t="s">
        <v>5</v>
      </c>
      <c r="G1515" t="s">
        <v>3803</v>
      </c>
      <c r="H1515" t="s">
        <v>3173</v>
      </c>
      <c r="I1515">
        <v>190.24166</v>
      </c>
    </row>
    <row r="1516" spans="1:9" ht="66.75" customHeight="1">
      <c r="A1516" s="1" t="str">
        <f>"Chemistry 5447"</f>
        <v>Chemistry 5447</v>
      </c>
      <c r="B1516" t="s">
        <v>3804</v>
      </c>
      <c r="C1516" t="s">
        <v>3</v>
      </c>
      <c r="D1516" s="2">
        <v>24500</v>
      </c>
      <c r="E1516" s="2">
        <v>17150</v>
      </c>
      <c r="F1516" t="s">
        <v>5</v>
      </c>
      <c r="G1516" t="s">
        <v>3805</v>
      </c>
      <c r="H1516" t="s">
        <v>1124</v>
      </c>
      <c r="I1516">
        <v>210.65683999999999</v>
      </c>
    </row>
    <row r="1517" spans="1:9" ht="63.45" customHeight="1">
      <c r="A1517" s="1" t="str">
        <f>"Chemistry 5448"</f>
        <v>Chemistry 5448</v>
      </c>
      <c r="B1517" t="s">
        <v>3806</v>
      </c>
      <c r="C1517" t="s">
        <v>3</v>
      </c>
      <c r="D1517" s="2">
        <v>24500</v>
      </c>
      <c r="E1517" s="2">
        <v>17150</v>
      </c>
      <c r="F1517" t="s">
        <v>5</v>
      </c>
      <c r="G1517" t="s">
        <v>3807</v>
      </c>
      <c r="H1517" t="s">
        <v>1127</v>
      </c>
      <c r="I1517">
        <v>255.10784000000001</v>
      </c>
    </row>
    <row r="1518" spans="1:9" ht="63.45" customHeight="1">
      <c r="A1518" s="1" t="str">
        <f>"Chemistry 5449"</f>
        <v>Chemistry 5449</v>
      </c>
      <c r="B1518" t="s">
        <v>3808</v>
      </c>
      <c r="C1518" t="s">
        <v>3</v>
      </c>
      <c r="D1518" s="2">
        <v>24500</v>
      </c>
      <c r="E1518" s="2">
        <v>17150</v>
      </c>
      <c r="F1518" t="s">
        <v>5</v>
      </c>
      <c r="G1518" t="s">
        <v>3809</v>
      </c>
      <c r="H1518" t="s">
        <v>2162</v>
      </c>
      <c r="I1518">
        <v>190.23836</v>
      </c>
    </row>
    <row r="1519" spans="1:9" ht="96.6" customHeight="1">
      <c r="A1519" s="1" t="str">
        <f>"Chemistry 5454"</f>
        <v>Chemistry 5454</v>
      </c>
      <c r="B1519" t="s">
        <v>3810</v>
      </c>
      <c r="C1519" t="s">
        <v>3</v>
      </c>
      <c r="D1519" s="2">
        <v>35000</v>
      </c>
      <c r="E1519" s="2">
        <v>21000</v>
      </c>
      <c r="F1519" t="s">
        <v>5</v>
      </c>
      <c r="G1519" t="s">
        <v>3811</v>
      </c>
      <c r="H1519" t="s">
        <v>1574</v>
      </c>
      <c r="I1519">
        <v>272.2629</v>
      </c>
    </row>
    <row r="1520" spans="1:9" ht="96.6" customHeight="1">
      <c r="A1520" s="1" t="str">
        <f>"Chemistry 5455"</f>
        <v>Chemistry 5455</v>
      </c>
      <c r="B1520" t="s">
        <v>3812</v>
      </c>
      <c r="C1520" t="s">
        <v>3</v>
      </c>
      <c r="D1520" s="2">
        <v>35000</v>
      </c>
      <c r="E1520" s="2">
        <v>21000</v>
      </c>
      <c r="F1520" t="s">
        <v>5</v>
      </c>
      <c r="G1520" t="s">
        <v>3813</v>
      </c>
      <c r="H1520" t="s">
        <v>1574</v>
      </c>
      <c r="I1520">
        <v>272.2629</v>
      </c>
    </row>
    <row r="1521" spans="1:9" ht="96.6" customHeight="1">
      <c r="A1521" s="1" t="str">
        <f>"Chemistry 5456"</f>
        <v>Chemistry 5456</v>
      </c>
      <c r="B1521" t="s">
        <v>3814</v>
      </c>
      <c r="C1521" t="s">
        <v>3</v>
      </c>
      <c r="D1521" s="2">
        <v>35000</v>
      </c>
      <c r="E1521" s="2">
        <v>21000</v>
      </c>
      <c r="F1521" t="s">
        <v>5</v>
      </c>
      <c r="G1521" t="s">
        <v>3815</v>
      </c>
      <c r="H1521" t="s">
        <v>3816</v>
      </c>
      <c r="I1521">
        <v>268.29901999999998</v>
      </c>
    </row>
    <row r="1522" spans="1:9" ht="96.6" customHeight="1">
      <c r="A1522" s="1" t="str">
        <f>"Chemistry 5457"</f>
        <v>Chemistry 5457</v>
      </c>
      <c r="B1522" t="s">
        <v>3817</v>
      </c>
      <c r="C1522" t="s">
        <v>3</v>
      </c>
      <c r="D1522" s="2">
        <v>35000</v>
      </c>
      <c r="E1522" s="2">
        <v>21000</v>
      </c>
      <c r="F1522" t="s">
        <v>5</v>
      </c>
      <c r="G1522" t="s">
        <v>3818</v>
      </c>
      <c r="H1522" t="s">
        <v>3819</v>
      </c>
      <c r="I1522">
        <v>284.29842000000002</v>
      </c>
    </row>
    <row r="1523" spans="1:9" ht="69" customHeight="1">
      <c r="A1523" s="1" t="str">
        <f>"Chemistry 5459"</f>
        <v>Chemistry 5459</v>
      </c>
      <c r="B1523" t="s">
        <v>3821</v>
      </c>
      <c r="C1523" t="s">
        <v>3330</v>
      </c>
      <c r="D1523" s="2">
        <v>17500</v>
      </c>
      <c r="E1523" s="2">
        <v>12250</v>
      </c>
      <c r="F1523" t="s">
        <v>5</v>
      </c>
      <c r="G1523" t="s">
        <v>3822</v>
      </c>
      <c r="H1523" t="s">
        <v>3820</v>
      </c>
      <c r="I1523">
        <v>219.56038000000001</v>
      </c>
    </row>
    <row r="1524" spans="1:9" ht="69" customHeight="1">
      <c r="A1524" s="1" t="str">
        <f>"Chemistry 5460"</f>
        <v>Chemistry 5460</v>
      </c>
      <c r="B1524" t="s">
        <v>3823</v>
      </c>
      <c r="C1524" t="s">
        <v>3330</v>
      </c>
      <c r="D1524" s="2">
        <v>31500</v>
      </c>
      <c r="E1524" s="2">
        <v>18900</v>
      </c>
      <c r="F1524" t="s">
        <v>5</v>
      </c>
      <c r="G1524" t="s">
        <v>3824</v>
      </c>
      <c r="H1524" t="s">
        <v>3825</v>
      </c>
      <c r="I1524">
        <v>200.12996999999999</v>
      </c>
    </row>
    <row r="1525" spans="1:9" ht="66.75" customHeight="1">
      <c r="A1525" s="1" t="str">
        <f>"Chemistry 5464"</f>
        <v>Chemistry 5464</v>
      </c>
      <c r="B1525" t="s">
        <v>3826</v>
      </c>
      <c r="C1525" t="s">
        <v>3</v>
      </c>
      <c r="D1525" s="2">
        <v>24500</v>
      </c>
      <c r="E1525" s="2">
        <v>17150</v>
      </c>
      <c r="F1525" t="s">
        <v>5</v>
      </c>
      <c r="G1525" t="s">
        <v>3827</v>
      </c>
      <c r="H1525" t="s">
        <v>1124</v>
      </c>
      <c r="I1525">
        <v>210.65683999999999</v>
      </c>
    </row>
    <row r="1526" spans="1:9" ht="69" customHeight="1">
      <c r="A1526" s="1" t="str">
        <f>"Chemistry 5473"</f>
        <v>Chemistry 5473</v>
      </c>
      <c r="B1526" t="s">
        <v>3828</v>
      </c>
      <c r="C1526" t="s">
        <v>270</v>
      </c>
      <c r="D1526" s="2">
        <v>21900</v>
      </c>
      <c r="E1526" s="2">
        <v>15329.999999999998</v>
      </c>
      <c r="F1526" t="s">
        <v>5</v>
      </c>
      <c r="G1526" t="s">
        <v>3829</v>
      </c>
      <c r="H1526" t="s">
        <v>3609</v>
      </c>
      <c r="I1526">
        <v>274.18948</v>
      </c>
    </row>
    <row r="1527" spans="1:9" ht="66.75" customHeight="1">
      <c r="A1527" s="1" t="str">
        <f>"Chemistry 5475"</f>
        <v>Chemistry 5475</v>
      </c>
      <c r="B1527" t="s">
        <v>3830</v>
      </c>
      <c r="C1527" t="s">
        <v>3</v>
      </c>
      <c r="D1527" s="2">
        <v>24500</v>
      </c>
      <c r="E1527" s="2">
        <v>17150</v>
      </c>
      <c r="F1527" t="s">
        <v>5</v>
      </c>
      <c r="G1527" t="s">
        <v>3831</v>
      </c>
      <c r="H1527" t="s">
        <v>1114</v>
      </c>
      <c r="I1527">
        <v>194.20223999999999</v>
      </c>
    </row>
    <row r="1528" spans="1:9" ht="76.349999999999994" customHeight="1">
      <c r="A1528" s="1" t="str">
        <f>"Chemistry 5487"</f>
        <v>Chemistry 5487</v>
      </c>
      <c r="B1528" t="s">
        <v>3833</v>
      </c>
      <c r="C1528" t="s">
        <v>3</v>
      </c>
      <c r="D1528" s="2">
        <v>24500</v>
      </c>
      <c r="E1528" s="2">
        <v>17150</v>
      </c>
      <c r="F1528" t="s">
        <v>5</v>
      </c>
      <c r="G1528" t="s">
        <v>3834</v>
      </c>
      <c r="H1528" t="s">
        <v>1339</v>
      </c>
      <c r="I1528">
        <v>203.19736</v>
      </c>
    </row>
    <row r="1529" spans="1:9" ht="79.2" customHeight="1">
      <c r="A1529" s="1" t="str">
        <f>"Chemistry 5491"</f>
        <v>Chemistry 5491</v>
      </c>
      <c r="B1529" t="s">
        <v>3835</v>
      </c>
      <c r="C1529" t="s">
        <v>3330</v>
      </c>
      <c r="D1529" s="2">
        <v>21000</v>
      </c>
      <c r="E1529" s="2">
        <v>14699.999999999998</v>
      </c>
      <c r="F1529" t="s">
        <v>5</v>
      </c>
      <c r="G1529" t="s">
        <v>3836</v>
      </c>
      <c r="H1529" t="s">
        <v>3837</v>
      </c>
      <c r="I1529">
        <v>190.13515000000001</v>
      </c>
    </row>
    <row r="1530" spans="1:9" ht="63.45" customHeight="1">
      <c r="A1530" s="1" t="str">
        <f>"Chemistry 5492"</f>
        <v>Chemistry 5492</v>
      </c>
      <c r="B1530" t="s">
        <v>3838</v>
      </c>
      <c r="C1530" t="s">
        <v>3</v>
      </c>
      <c r="D1530" s="2">
        <v>24500</v>
      </c>
      <c r="E1530" s="2">
        <v>17150</v>
      </c>
      <c r="F1530" t="s">
        <v>5</v>
      </c>
      <c r="G1530" t="s">
        <v>3839</v>
      </c>
      <c r="H1530" t="s">
        <v>2162</v>
      </c>
      <c r="I1530">
        <v>190.23836</v>
      </c>
    </row>
    <row r="1531" spans="1:9" ht="96.6" customHeight="1">
      <c r="A1531" s="1" t="str">
        <f>"Chemistry 5495"</f>
        <v>Chemistry 5495</v>
      </c>
      <c r="B1531" t="s">
        <v>3841</v>
      </c>
      <c r="C1531" t="s">
        <v>3</v>
      </c>
      <c r="D1531" s="2">
        <v>35000</v>
      </c>
      <c r="E1531" s="2">
        <v>21000</v>
      </c>
      <c r="F1531" t="s">
        <v>5</v>
      </c>
      <c r="G1531" t="s">
        <v>3842</v>
      </c>
      <c r="H1531" t="s">
        <v>3840</v>
      </c>
      <c r="I1531">
        <v>333.16849999999999</v>
      </c>
    </row>
    <row r="1532" spans="1:9" ht="106.2" customHeight="1">
      <c r="A1532" s="1" t="str">
        <f>"Chemistry 5496"</f>
        <v>Chemistry 5496</v>
      </c>
      <c r="B1532" t="s">
        <v>3843</v>
      </c>
      <c r="C1532" t="s">
        <v>3</v>
      </c>
      <c r="D1532" s="2">
        <v>35000</v>
      </c>
      <c r="E1532" s="2">
        <v>21000</v>
      </c>
      <c r="F1532" t="s">
        <v>5</v>
      </c>
      <c r="G1532" t="s">
        <v>3844</v>
      </c>
      <c r="H1532" t="s">
        <v>3845</v>
      </c>
      <c r="I1532">
        <v>322.27041000000003</v>
      </c>
    </row>
    <row r="1533" spans="1:9" ht="96.6" customHeight="1">
      <c r="A1533" s="1" t="str">
        <f>"Chemistry 5498"</f>
        <v>Chemistry 5498</v>
      </c>
      <c r="B1533" t="s">
        <v>3846</v>
      </c>
      <c r="C1533" t="s">
        <v>3</v>
      </c>
      <c r="D1533" s="2">
        <v>35000</v>
      </c>
      <c r="E1533" s="2">
        <v>21000</v>
      </c>
      <c r="F1533" t="s">
        <v>5</v>
      </c>
      <c r="G1533" t="s">
        <v>3847</v>
      </c>
      <c r="H1533" t="s">
        <v>3845</v>
      </c>
      <c r="I1533">
        <v>322.27041000000003</v>
      </c>
    </row>
    <row r="1534" spans="1:9" ht="76.349999999999994" customHeight="1">
      <c r="A1534" s="1" t="str">
        <f>"Chemistry 5501"</f>
        <v>Chemistry 5501</v>
      </c>
      <c r="B1534" t="s">
        <v>3848</v>
      </c>
      <c r="C1534" t="s">
        <v>3330</v>
      </c>
      <c r="D1534" s="2">
        <v>21000</v>
      </c>
      <c r="E1534" s="2">
        <v>14699.999999999998</v>
      </c>
      <c r="F1534" t="s">
        <v>5</v>
      </c>
      <c r="G1534" t="s">
        <v>3849</v>
      </c>
      <c r="H1534" t="s">
        <v>3832</v>
      </c>
      <c r="I1534">
        <v>215.1413</v>
      </c>
    </row>
    <row r="1535" spans="1:9" ht="106.2" customHeight="1">
      <c r="A1535" s="1" t="str">
        <f>"Chemistry 5505"</f>
        <v>Chemistry 5505</v>
      </c>
      <c r="B1535" t="s">
        <v>3850</v>
      </c>
      <c r="C1535" t="s">
        <v>3</v>
      </c>
      <c r="D1535" s="2">
        <v>21000</v>
      </c>
      <c r="E1535" s="2">
        <v>14699.999999999998</v>
      </c>
      <c r="F1535" t="s">
        <v>5</v>
      </c>
      <c r="G1535" t="s">
        <v>3851</v>
      </c>
      <c r="H1535" t="s">
        <v>3221</v>
      </c>
      <c r="I1535">
        <v>286.20666</v>
      </c>
    </row>
    <row r="1536" spans="1:9" ht="52.8" customHeight="1">
      <c r="A1536" s="1" t="str">
        <f>"Chemistry 5509"</f>
        <v>Chemistry 5509</v>
      </c>
      <c r="B1536" t="s">
        <v>3852</v>
      </c>
      <c r="C1536" t="s">
        <v>270</v>
      </c>
      <c r="D1536" s="2">
        <v>21000</v>
      </c>
      <c r="E1536" s="2">
        <v>14699.999999999998</v>
      </c>
      <c r="F1536" t="s">
        <v>5</v>
      </c>
      <c r="G1536" t="s">
        <v>3853</v>
      </c>
      <c r="H1536" t="s">
        <v>3150</v>
      </c>
      <c r="I1536">
        <v>221.12685999999999</v>
      </c>
    </row>
    <row r="1537" spans="1:9" ht="71.849999999999994" customHeight="1">
      <c r="A1537" s="1" t="str">
        <f>"Chemistry 5510"</f>
        <v>Chemistry 5510</v>
      </c>
      <c r="B1537" t="s">
        <v>3854</v>
      </c>
      <c r="C1537" t="s">
        <v>3</v>
      </c>
      <c r="D1537" s="2">
        <v>19300</v>
      </c>
      <c r="E1537" s="2">
        <v>13510</v>
      </c>
      <c r="F1537" t="s">
        <v>5</v>
      </c>
      <c r="G1537" t="s">
        <v>3855</v>
      </c>
      <c r="H1537" t="s">
        <v>12</v>
      </c>
      <c r="I1537">
        <v>196.20318</v>
      </c>
    </row>
    <row r="1538" spans="1:9" ht="52.8" customHeight="1">
      <c r="A1538" s="1" t="str">
        <f>"Chemistry 5511"</f>
        <v>Chemistry 5511</v>
      </c>
      <c r="B1538" t="s">
        <v>3856</v>
      </c>
      <c r="C1538" t="s">
        <v>128</v>
      </c>
      <c r="D1538" s="2">
        <v>26300</v>
      </c>
      <c r="E1538" s="2">
        <v>15780</v>
      </c>
      <c r="F1538" t="s">
        <v>5</v>
      </c>
      <c r="G1538" t="s">
        <v>3857</v>
      </c>
      <c r="H1538" t="s">
        <v>1721</v>
      </c>
      <c r="I1538">
        <v>191.69832</v>
      </c>
    </row>
    <row r="1539" spans="1:9" ht="93.75" customHeight="1">
      <c r="A1539" s="1" t="str">
        <f>"Chemistry 5520"</f>
        <v>Chemistry 5520</v>
      </c>
      <c r="B1539" t="s">
        <v>3858</v>
      </c>
      <c r="C1539" t="s">
        <v>3</v>
      </c>
      <c r="D1539" s="2">
        <v>21000</v>
      </c>
      <c r="E1539" s="2">
        <v>14699.999999999998</v>
      </c>
      <c r="F1539" t="s">
        <v>5</v>
      </c>
      <c r="G1539" t="s">
        <v>3859</v>
      </c>
      <c r="H1539" t="s">
        <v>3221</v>
      </c>
      <c r="I1539">
        <v>286.20666</v>
      </c>
    </row>
    <row r="1540" spans="1:9" ht="52.8" customHeight="1">
      <c r="A1540" s="1" t="str">
        <f>"Chemistry 5521"</f>
        <v>Chemistry 5521</v>
      </c>
      <c r="B1540" t="s">
        <v>3860</v>
      </c>
      <c r="C1540" t="s">
        <v>270</v>
      </c>
      <c r="D1540" s="2">
        <v>21000</v>
      </c>
      <c r="E1540" s="2">
        <v>14699.999999999998</v>
      </c>
      <c r="F1540" t="s">
        <v>5</v>
      </c>
      <c r="G1540" t="s">
        <v>3861</v>
      </c>
      <c r="H1540" t="s">
        <v>3150</v>
      </c>
      <c r="I1540">
        <v>221.12685999999999</v>
      </c>
    </row>
    <row r="1541" spans="1:9" ht="49.95" customHeight="1">
      <c r="A1541" s="1" t="str">
        <f>"Chemistry 5527"</f>
        <v>Chemistry 5527</v>
      </c>
      <c r="B1541" t="s">
        <v>3862</v>
      </c>
      <c r="C1541" t="s">
        <v>128</v>
      </c>
      <c r="D1541" s="2">
        <v>33300</v>
      </c>
      <c r="E1541" s="2">
        <v>19980</v>
      </c>
      <c r="F1541" t="s">
        <v>5</v>
      </c>
      <c r="G1541" t="s">
        <v>3863</v>
      </c>
      <c r="H1541" t="s">
        <v>3864</v>
      </c>
      <c r="I1541">
        <v>107.5819</v>
      </c>
    </row>
    <row r="1542" spans="1:9" ht="44.85" customHeight="1">
      <c r="A1542" s="1" t="str">
        <f>"Chemistry 5528"</f>
        <v>Chemistry 5528</v>
      </c>
      <c r="B1542" t="s">
        <v>3865</v>
      </c>
      <c r="C1542" t="s">
        <v>128</v>
      </c>
      <c r="D1542" s="2">
        <v>33300</v>
      </c>
      <c r="E1542" s="2">
        <v>19980</v>
      </c>
      <c r="F1542" t="s">
        <v>5</v>
      </c>
      <c r="G1542" t="s">
        <v>3866</v>
      </c>
      <c r="H1542" t="s">
        <v>2223</v>
      </c>
      <c r="I1542">
        <v>121.60848</v>
      </c>
    </row>
    <row r="1543" spans="1:9" ht="61.8" customHeight="1">
      <c r="A1543" s="1" t="str">
        <f>"Chemistry 5530"</f>
        <v>Chemistry 5530</v>
      </c>
      <c r="B1543" t="s">
        <v>3867</v>
      </c>
      <c r="C1543" t="s">
        <v>3</v>
      </c>
      <c r="D1543" s="2">
        <v>24500</v>
      </c>
      <c r="E1543" s="2">
        <v>17150</v>
      </c>
      <c r="F1543" t="s">
        <v>5</v>
      </c>
      <c r="G1543" t="s">
        <v>3868</v>
      </c>
      <c r="H1543" t="s">
        <v>2307</v>
      </c>
      <c r="I1543">
        <v>176.25814</v>
      </c>
    </row>
    <row r="1544" spans="1:9" ht="83.1" customHeight="1">
      <c r="A1544" s="1" t="str">
        <f>"Chemistry 5535"</f>
        <v>Chemistry 5535</v>
      </c>
      <c r="B1544" t="s">
        <v>3869</v>
      </c>
      <c r="C1544" t="s">
        <v>270</v>
      </c>
      <c r="D1544" s="2">
        <v>43800</v>
      </c>
      <c r="E1544" s="2">
        <v>26280</v>
      </c>
      <c r="F1544" t="s">
        <v>5</v>
      </c>
      <c r="G1544" t="s">
        <v>3870</v>
      </c>
      <c r="H1544" t="s">
        <v>3605</v>
      </c>
      <c r="I1544">
        <v>276.16230000000002</v>
      </c>
    </row>
    <row r="1545" spans="1:9" ht="42" customHeight="1">
      <c r="A1545" s="1" t="str">
        <f>"Chemistry 5544"</f>
        <v>Chemistry 5544</v>
      </c>
      <c r="B1545" t="s">
        <v>3871</v>
      </c>
      <c r="C1545" t="s">
        <v>128</v>
      </c>
      <c r="D1545" s="2">
        <v>28000</v>
      </c>
      <c r="E1545" s="2">
        <v>16800</v>
      </c>
      <c r="F1545" t="s">
        <v>5</v>
      </c>
      <c r="G1545" t="s">
        <v>3872</v>
      </c>
      <c r="H1545" t="s">
        <v>2223</v>
      </c>
      <c r="I1545">
        <v>121.60848</v>
      </c>
    </row>
    <row r="1546" spans="1:9" ht="49.95" customHeight="1">
      <c r="A1546" s="1" t="str">
        <f>"Chemistry 5547"</f>
        <v>Chemistry 5547</v>
      </c>
      <c r="B1546" t="s">
        <v>3873</v>
      </c>
      <c r="C1546" t="s">
        <v>128</v>
      </c>
      <c r="D1546" s="2">
        <v>31500</v>
      </c>
      <c r="E1546" s="2">
        <v>18900</v>
      </c>
      <c r="F1546" t="s">
        <v>5</v>
      </c>
      <c r="G1546" t="s">
        <v>3874</v>
      </c>
      <c r="H1546" t="s">
        <v>3035</v>
      </c>
      <c r="I1546">
        <v>135.63505000000001</v>
      </c>
    </row>
    <row r="1547" spans="1:9" ht="81.45" customHeight="1">
      <c r="A1547" s="1" t="str">
        <f>"Chemistry 5558"</f>
        <v>Chemistry 5558</v>
      </c>
      <c r="B1547" t="s">
        <v>3875</v>
      </c>
      <c r="C1547" t="s">
        <v>270</v>
      </c>
      <c r="D1547" s="2">
        <v>31500</v>
      </c>
      <c r="E1547" s="2">
        <v>18900</v>
      </c>
      <c r="F1547" t="s">
        <v>5</v>
      </c>
      <c r="G1547" t="s">
        <v>3876</v>
      </c>
      <c r="H1547" t="s">
        <v>3150</v>
      </c>
      <c r="I1547">
        <v>221.12685999999999</v>
      </c>
    </row>
    <row r="1548" spans="1:9" ht="53.85" customHeight="1">
      <c r="A1548" s="1" t="str">
        <f>"Chemistry 5559"</f>
        <v>Chemistry 5559</v>
      </c>
      <c r="B1548" t="s">
        <v>3877</v>
      </c>
      <c r="C1548" t="s">
        <v>3</v>
      </c>
      <c r="D1548" s="2">
        <v>29800</v>
      </c>
      <c r="E1548" s="2">
        <v>17880</v>
      </c>
      <c r="F1548" t="s">
        <v>5</v>
      </c>
      <c r="G1548" t="s">
        <v>3878</v>
      </c>
      <c r="H1548" t="s">
        <v>2168</v>
      </c>
      <c r="I1548">
        <v>114.14239999999999</v>
      </c>
    </row>
    <row r="1549" spans="1:9" ht="70.2" customHeight="1">
      <c r="A1549" s="1" t="str">
        <f>"Chemistry 5561"</f>
        <v>Chemistry 5561</v>
      </c>
      <c r="B1549" t="s">
        <v>3879</v>
      </c>
      <c r="C1549" t="s">
        <v>3</v>
      </c>
      <c r="D1549" s="2">
        <v>43800</v>
      </c>
      <c r="E1549" s="2">
        <v>26280</v>
      </c>
      <c r="F1549" t="s">
        <v>5</v>
      </c>
      <c r="G1549" t="s">
        <v>3880</v>
      </c>
      <c r="H1549" t="s">
        <v>1157</v>
      </c>
      <c r="I1549">
        <v>203.24042</v>
      </c>
    </row>
    <row r="1550" spans="1:9" ht="69.599999999999994" customHeight="1">
      <c r="A1550" s="1" t="str">
        <f>"Chemistry 5563"</f>
        <v>Chemistry 5563</v>
      </c>
      <c r="B1550" t="s">
        <v>3881</v>
      </c>
      <c r="C1550" t="s">
        <v>3330</v>
      </c>
      <c r="D1550" s="2">
        <v>21000</v>
      </c>
      <c r="E1550" s="2">
        <v>14699.999999999998</v>
      </c>
      <c r="F1550" t="s">
        <v>5</v>
      </c>
      <c r="G1550" t="s">
        <v>3882</v>
      </c>
      <c r="H1550" t="s">
        <v>3883</v>
      </c>
      <c r="I1550">
        <v>320.35977000000003</v>
      </c>
    </row>
    <row r="1551" spans="1:9" ht="65.7" customHeight="1">
      <c r="A1551" s="1" t="str">
        <f>"Chemistry 5567"</f>
        <v>Chemistry 5567</v>
      </c>
      <c r="B1551" t="s">
        <v>3884</v>
      </c>
      <c r="C1551" t="s">
        <v>270</v>
      </c>
      <c r="D1551" s="2">
        <v>31500</v>
      </c>
      <c r="E1551" s="2">
        <v>18900</v>
      </c>
      <c r="F1551" t="s">
        <v>5</v>
      </c>
      <c r="G1551" t="s">
        <v>3885</v>
      </c>
      <c r="H1551" t="s">
        <v>3150</v>
      </c>
      <c r="I1551">
        <v>221.12685999999999</v>
      </c>
    </row>
    <row r="1552" spans="1:9" ht="51.6" customHeight="1">
      <c r="A1552" s="1" t="str">
        <f>"Chemistry 5568"</f>
        <v>Chemistry 5568</v>
      </c>
      <c r="B1552" t="s">
        <v>3886</v>
      </c>
      <c r="C1552" t="s">
        <v>270</v>
      </c>
      <c r="D1552" s="2">
        <v>31500</v>
      </c>
      <c r="E1552" s="2">
        <v>18900</v>
      </c>
      <c r="F1552" t="s">
        <v>5</v>
      </c>
      <c r="G1552" t="s">
        <v>3887</v>
      </c>
      <c r="H1552" t="s">
        <v>3150</v>
      </c>
      <c r="I1552">
        <v>221.12685999999999</v>
      </c>
    </row>
    <row r="1553" spans="1:9" ht="67.95" customHeight="1">
      <c r="A1553" s="1" t="str">
        <f>"Chemistry 5569"</f>
        <v>Chemistry 5569</v>
      </c>
      <c r="B1553" t="s">
        <v>3888</v>
      </c>
      <c r="C1553" t="s">
        <v>270</v>
      </c>
      <c r="D1553" s="2">
        <v>31500</v>
      </c>
      <c r="E1553" s="2">
        <v>18900</v>
      </c>
      <c r="F1553" t="s">
        <v>5</v>
      </c>
      <c r="G1553" t="s">
        <v>3889</v>
      </c>
      <c r="H1553" t="s">
        <v>3150</v>
      </c>
      <c r="I1553">
        <v>221.12685999999999</v>
      </c>
    </row>
    <row r="1554" spans="1:9" ht="67.95" customHeight="1">
      <c r="A1554" s="1" t="str">
        <f>"Chemistry 5571"</f>
        <v>Chemistry 5571</v>
      </c>
      <c r="B1554" t="s">
        <v>3890</v>
      </c>
      <c r="C1554" t="s">
        <v>128</v>
      </c>
      <c r="D1554" s="2">
        <v>24500</v>
      </c>
      <c r="E1554" s="2">
        <v>17150</v>
      </c>
      <c r="F1554" t="s">
        <v>5</v>
      </c>
      <c r="G1554" t="s">
        <v>3891</v>
      </c>
      <c r="H1554" t="s">
        <v>1052</v>
      </c>
      <c r="I1554">
        <v>187.64174</v>
      </c>
    </row>
    <row r="1555" spans="1:9" ht="67.95" customHeight="1">
      <c r="A1555" s="1" t="str">
        <f>"Chemistry 5573"</f>
        <v>Chemistry 5573</v>
      </c>
      <c r="B1555" t="s">
        <v>3892</v>
      </c>
      <c r="C1555" t="s">
        <v>3</v>
      </c>
      <c r="D1555" s="2">
        <v>22800</v>
      </c>
      <c r="E1555" s="2">
        <v>15959.999999999998</v>
      </c>
      <c r="F1555" t="s">
        <v>5</v>
      </c>
      <c r="G1555" t="s">
        <v>3893</v>
      </c>
      <c r="H1555" t="s">
        <v>235</v>
      </c>
      <c r="I1555">
        <v>193.24229</v>
      </c>
    </row>
    <row r="1556" spans="1:9" ht="75.3" customHeight="1">
      <c r="A1556" s="1" t="str">
        <f>"Chemistry 5574"</f>
        <v>Chemistry 5574</v>
      </c>
      <c r="B1556" t="s">
        <v>3894</v>
      </c>
      <c r="C1556" t="s">
        <v>3</v>
      </c>
      <c r="D1556" s="2">
        <v>22800</v>
      </c>
      <c r="E1556" s="2">
        <v>15959.999999999998</v>
      </c>
      <c r="F1556" t="s">
        <v>5</v>
      </c>
      <c r="G1556" t="s">
        <v>3895</v>
      </c>
      <c r="H1556" t="s">
        <v>1543</v>
      </c>
      <c r="I1556">
        <v>221.29544999999999</v>
      </c>
    </row>
    <row r="1557" spans="1:9" ht="75.3" customHeight="1">
      <c r="A1557" s="1" t="str">
        <f>"Chemistry 5575"</f>
        <v>Chemistry 5575</v>
      </c>
      <c r="B1557" t="s">
        <v>3896</v>
      </c>
      <c r="C1557" t="s">
        <v>3</v>
      </c>
      <c r="D1557" s="2">
        <v>22800</v>
      </c>
      <c r="E1557" s="2">
        <v>15959.999999999998</v>
      </c>
      <c r="F1557" t="s">
        <v>5</v>
      </c>
      <c r="G1557" t="s">
        <v>3897</v>
      </c>
      <c r="H1557" t="s">
        <v>3898</v>
      </c>
      <c r="I1557">
        <v>233.30616000000001</v>
      </c>
    </row>
    <row r="1558" spans="1:9" ht="75.75" customHeight="1">
      <c r="A1558" s="1" t="str">
        <f>"Chemistry 5578"</f>
        <v>Chemistry 5578</v>
      </c>
      <c r="B1558" t="s">
        <v>3899</v>
      </c>
      <c r="C1558" t="s">
        <v>3</v>
      </c>
      <c r="D1558" s="2">
        <v>22800</v>
      </c>
      <c r="E1558" s="2">
        <v>15959.999999999998</v>
      </c>
      <c r="F1558" t="s">
        <v>5</v>
      </c>
      <c r="G1558" t="s">
        <v>3900</v>
      </c>
      <c r="H1558" t="s">
        <v>1990</v>
      </c>
      <c r="I1558">
        <v>207.26888</v>
      </c>
    </row>
    <row r="1559" spans="1:9" ht="75.75" customHeight="1">
      <c r="A1559" s="1" t="str">
        <f>"Chemistry 5580"</f>
        <v>Chemistry 5580</v>
      </c>
      <c r="B1559" t="s">
        <v>3901</v>
      </c>
      <c r="C1559" t="s">
        <v>3</v>
      </c>
      <c r="D1559" s="2">
        <v>22800</v>
      </c>
      <c r="E1559" s="2">
        <v>15959.999999999998</v>
      </c>
      <c r="F1559" t="s">
        <v>5</v>
      </c>
      <c r="G1559" t="s">
        <v>3902</v>
      </c>
      <c r="H1559" t="s">
        <v>3619</v>
      </c>
      <c r="I1559">
        <v>219.27958000000001</v>
      </c>
    </row>
    <row r="1560" spans="1:9" ht="75.75" customHeight="1">
      <c r="A1560" s="1" t="str">
        <f>"Chemistry 5582"</f>
        <v>Chemistry 5582</v>
      </c>
      <c r="B1560" t="s">
        <v>3903</v>
      </c>
      <c r="C1560" t="s">
        <v>3</v>
      </c>
      <c r="D1560" s="2">
        <v>22800</v>
      </c>
      <c r="E1560" s="2">
        <v>15959.999999999998</v>
      </c>
      <c r="F1560" t="s">
        <v>5</v>
      </c>
      <c r="G1560" t="s">
        <v>3904</v>
      </c>
      <c r="H1560" t="s">
        <v>3905</v>
      </c>
      <c r="I1560">
        <v>234.29422</v>
      </c>
    </row>
    <row r="1561" spans="1:9" ht="66.3" customHeight="1">
      <c r="A1561" s="1" t="str">
        <f>"Chemistry 5583"</f>
        <v>Chemistry 5583</v>
      </c>
      <c r="B1561" t="s">
        <v>3906</v>
      </c>
      <c r="C1561" t="s">
        <v>270</v>
      </c>
      <c r="D1561" s="2">
        <v>52500</v>
      </c>
      <c r="E1561" s="2">
        <v>31500</v>
      </c>
      <c r="F1561" t="s">
        <v>5</v>
      </c>
      <c r="G1561" t="s">
        <v>3907</v>
      </c>
      <c r="H1561" t="s">
        <v>3908</v>
      </c>
      <c r="I1561">
        <v>242.14608000000001</v>
      </c>
    </row>
    <row r="1562" spans="1:9" ht="84.75" customHeight="1">
      <c r="A1562" s="1" t="str">
        <f>"Chemistry 5585"</f>
        <v>Chemistry 5585</v>
      </c>
      <c r="B1562" t="s">
        <v>3910</v>
      </c>
      <c r="C1562" t="s">
        <v>3</v>
      </c>
      <c r="D1562" s="2">
        <v>52500</v>
      </c>
      <c r="E1562" s="2">
        <v>31500</v>
      </c>
      <c r="F1562" t="s">
        <v>5</v>
      </c>
      <c r="G1562" t="s">
        <v>3911</v>
      </c>
      <c r="H1562" t="s">
        <v>3912</v>
      </c>
      <c r="I1562">
        <v>269.34001000000001</v>
      </c>
    </row>
    <row r="1563" spans="1:9" ht="79.2" customHeight="1">
      <c r="A1563" s="1" t="str">
        <f>"Chemistry 5586"</f>
        <v>Chemistry 5586</v>
      </c>
      <c r="B1563" t="s">
        <v>3913</v>
      </c>
      <c r="C1563" t="s">
        <v>128</v>
      </c>
      <c r="D1563" s="2">
        <v>24500</v>
      </c>
      <c r="E1563" s="2">
        <v>17150</v>
      </c>
      <c r="F1563" t="s">
        <v>5</v>
      </c>
      <c r="G1563" t="s">
        <v>3914</v>
      </c>
      <c r="H1563" t="s">
        <v>1095</v>
      </c>
      <c r="I1563">
        <v>199.67724999999999</v>
      </c>
    </row>
    <row r="1564" spans="1:9" ht="79.2" customHeight="1">
      <c r="A1564" s="1" t="str">
        <f>"Chemistry 5588"</f>
        <v>Chemistry 5588</v>
      </c>
      <c r="B1564" t="s">
        <v>3916</v>
      </c>
      <c r="C1564" t="s">
        <v>128</v>
      </c>
      <c r="D1564" s="2">
        <v>26300</v>
      </c>
      <c r="E1564" s="2">
        <v>15780</v>
      </c>
      <c r="F1564" t="s">
        <v>5</v>
      </c>
      <c r="G1564" t="s">
        <v>3917</v>
      </c>
      <c r="H1564" t="s">
        <v>3915</v>
      </c>
      <c r="I1564">
        <v>217.66772</v>
      </c>
    </row>
    <row r="1565" spans="1:9" ht="81.45" customHeight="1">
      <c r="A1565" s="1" t="str">
        <f>"Chemistry 5589"</f>
        <v>Chemistry 5589</v>
      </c>
      <c r="B1565" t="s">
        <v>3918</v>
      </c>
      <c r="C1565" t="s">
        <v>270</v>
      </c>
      <c r="D1565" s="2">
        <v>31500</v>
      </c>
      <c r="E1565" s="2">
        <v>18900</v>
      </c>
      <c r="F1565" t="s">
        <v>5</v>
      </c>
      <c r="G1565" t="s">
        <v>3919</v>
      </c>
      <c r="H1565" t="s">
        <v>3150</v>
      </c>
      <c r="I1565">
        <v>221.12685999999999</v>
      </c>
    </row>
    <row r="1566" spans="1:9" ht="65.7" customHeight="1">
      <c r="A1566" s="1" t="str">
        <f>"Chemistry 5590"</f>
        <v>Chemistry 5590</v>
      </c>
      <c r="B1566" t="s">
        <v>3920</v>
      </c>
      <c r="C1566" t="s">
        <v>270</v>
      </c>
      <c r="D1566" s="2">
        <v>31500</v>
      </c>
      <c r="E1566" s="2">
        <v>18900</v>
      </c>
      <c r="F1566" t="s">
        <v>5</v>
      </c>
      <c r="G1566" t="s">
        <v>3921</v>
      </c>
      <c r="H1566" t="s">
        <v>3150</v>
      </c>
      <c r="I1566">
        <v>221.12685999999999</v>
      </c>
    </row>
    <row r="1567" spans="1:9" ht="51.6" customHeight="1">
      <c r="A1567" s="1" t="str">
        <f>"Chemistry 5592"</f>
        <v>Chemistry 5592</v>
      </c>
      <c r="B1567" t="s">
        <v>3922</v>
      </c>
      <c r="C1567" t="s">
        <v>270</v>
      </c>
      <c r="D1567" s="2">
        <v>31500</v>
      </c>
      <c r="E1567" s="2">
        <v>18900</v>
      </c>
      <c r="F1567" t="s">
        <v>5</v>
      </c>
      <c r="G1567" t="s">
        <v>3923</v>
      </c>
      <c r="H1567" t="s">
        <v>3150</v>
      </c>
      <c r="I1567">
        <v>221.12685999999999</v>
      </c>
    </row>
    <row r="1568" spans="1:9" ht="79.2" customHeight="1">
      <c r="A1568" s="1" t="str">
        <f>"Chemistry 5594"</f>
        <v>Chemistry 5594</v>
      </c>
      <c r="B1568" t="s">
        <v>3924</v>
      </c>
      <c r="C1568" t="s">
        <v>270</v>
      </c>
      <c r="D1568" s="2">
        <v>31500</v>
      </c>
      <c r="E1568" s="2">
        <v>18900</v>
      </c>
      <c r="F1568" t="s">
        <v>5</v>
      </c>
      <c r="G1568" t="s">
        <v>3925</v>
      </c>
      <c r="H1568" t="s">
        <v>3150</v>
      </c>
      <c r="I1568">
        <v>221.12685999999999</v>
      </c>
    </row>
    <row r="1569" spans="1:9" ht="52.2" customHeight="1">
      <c r="A1569" s="1" t="str">
        <f>"Chemistry 5596"</f>
        <v>Chemistry 5596</v>
      </c>
      <c r="B1569" t="s">
        <v>3926</v>
      </c>
      <c r="C1569" t="s">
        <v>128</v>
      </c>
      <c r="D1569" s="2">
        <v>24500</v>
      </c>
      <c r="E1569" s="2">
        <v>17150</v>
      </c>
      <c r="F1569" t="s">
        <v>5</v>
      </c>
      <c r="G1569" t="s">
        <v>3927</v>
      </c>
      <c r="H1569" t="s">
        <v>1052</v>
      </c>
      <c r="I1569">
        <v>187.64174</v>
      </c>
    </row>
    <row r="1570" spans="1:9" ht="47.7" customHeight="1">
      <c r="A1570" s="1" t="str">
        <f>"Chemistry 5597"</f>
        <v>Chemistry 5597</v>
      </c>
      <c r="B1570" t="s">
        <v>3928</v>
      </c>
      <c r="C1570" t="s">
        <v>128</v>
      </c>
      <c r="D1570" s="2">
        <v>28000</v>
      </c>
      <c r="E1570" s="2">
        <v>16800</v>
      </c>
      <c r="F1570" t="s">
        <v>5</v>
      </c>
      <c r="G1570" t="s">
        <v>3929</v>
      </c>
      <c r="H1570" t="s">
        <v>316</v>
      </c>
      <c r="I1570">
        <v>204.69707</v>
      </c>
    </row>
    <row r="1571" spans="1:9" ht="47.7" customHeight="1">
      <c r="A1571" s="1" t="str">
        <f>"Chemistry 5598"</f>
        <v>Chemistry 5598</v>
      </c>
      <c r="B1571" t="s">
        <v>3930</v>
      </c>
      <c r="C1571" t="s">
        <v>128</v>
      </c>
      <c r="D1571" s="2">
        <v>28000</v>
      </c>
      <c r="E1571" s="2">
        <v>16800</v>
      </c>
      <c r="F1571" t="s">
        <v>5</v>
      </c>
      <c r="G1571" t="s">
        <v>3931</v>
      </c>
      <c r="H1571" t="s">
        <v>1721</v>
      </c>
      <c r="I1571">
        <v>191.69832</v>
      </c>
    </row>
    <row r="1572" spans="1:9" ht="47.7" customHeight="1">
      <c r="A1572" s="1" t="str">
        <f>"Chemistry 5599"</f>
        <v>Chemistry 5599</v>
      </c>
      <c r="B1572" t="s">
        <v>3932</v>
      </c>
      <c r="C1572" t="s">
        <v>128</v>
      </c>
      <c r="D1572" s="2">
        <v>28000</v>
      </c>
      <c r="E1572" s="2">
        <v>16800</v>
      </c>
      <c r="F1572" t="s">
        <v>5</v>
      </c>
      <c r="G1572" t="s">
        <v>3933</v>
      </c>
      <c r="H1572" t="s">
        <v>1721</v>
      </c>
      <c r="I1572">
        <v>191.69832</v>
      </c>
    </row>
    <row r="1573" spans="1:9" ht="72.45" customHeight="1">
      <c r="A1573" s="1" t="str">
        <f>"Chemistry 5600"</f>
        <v>Chemistry 5600</v>
      </c>
      <c r="B1573" t="s">
        <v>3934</v>
      </c>
      <c r="C1573" t="s">
        <v>3</v>
      </c>
      <c r="D1573" s="2">
        <v>22800</v>
      </c>
      <c r="E1573" s="2">
        <v>15959.999999999998</v>
      </c>
      <c r="F1573" t="s">
        <v>5</v>
      </c>
      <c r="G1573" t="s">
        <v>3935</v>
      </c>
      <c r="H1573" t="s">
        <v>3936</v>
      </c>
      <c r="I1573">
        <v>171.23678000000001</v>
      </c>
    </row>
    <row r="1574" spans="1:9" ht="75.3" customHeight="1">
      <c r="A1574" s="1" t="str">
        <f>"Chemistry 5601"</f>
        <v>Chemistry 5601</v>
      </c>
      <c r="B1574" t="s">
        <v>3937</v>
      </c>
      <c r="C1574" t="s">
        <v>3</v>
      </c>
      <c r="D1574" s="2">
        <v>22800</v>
      </c>
      <c r="E1574" s="2">
        <v>15959.999999999998</v>
      </c>
      <c r="F1574" t="s">
        <v>5</v>
      </c>
      <c r="G1574" t="s">
        <v>3938</v>
      </c>
      <c r="H1574" t="s">
        <v>2722</v>
      </c>
      <c r="I1574">
        <v>185.26336000000001</v>
      </c>
    </row>
    <row r="1575" spans="1:9" ht="75.3" customHeight="1">
      <c r="A1575" s="1" t="str">
        <f>"Chemistry 5602"</f>
        <v>Chemistry 5602</v>
      </c>
      <c r="B1575" t="s">
        <v>3939</v>
      </c>
      <c r="C1575" t="s">
        <v>3</v>
      </c>
      <c r="D1575" s="2">
        <v>22800</v>
      </c>
      <c r="E1575" s="2">
        <v>15959.999999999998</v>
      </c>
      <c r="F1575" t="s">
        <v>5</v>
      </c>
      <c r="G1575" t="s">
        <v>3940</v>
      </c>
      <c r="H1575" t="s">
        <v>3941</v>
      </c>
      <c r="I1575">
        <v>187.23617999999999</v>
      </c>
    </row>
    <row r="1576" spans="1:9" ht="71.25" customHeight="1">
      <c r="A1576" s="1" t="str">
        <f>"Chemistry 5604"</f>
        <v>Chemistry 5604</v>
      </c>
      <c r="B1576" t="s">
        <v>3942</v>
      </c>
      <c r="C1576" t="s">
        <v>3</v>
      </c>
      <c r="D1576" s="2">
        <v>22800</v>
      </c>
      <c r="E1576" s="2">
        <v>15959.999999999998</v>
      </c>
      <c r="F1576" t="s">
        <v>5</v>
      </c>
      <c r="G1576" t="s">
        <v>3943</v>
      </c>
      <c r="H1576" t="s">
        <v>3619</v>
      </c>
      <c r="I1576">
        <v>219.27958000000001</v>
      </c>
    </row>
    <row r="1577" spans="1:9" ht="75.3" customHeight="1">
      <c r="A1577" s="1" t="str">
        <f>"Chemistry 5605"</f>
        <v>Chemistry 5605</v>
      </c>
      <c r="B1577" t="s">
        <v>3944</v>
      </c>
      <c r="C1577" t="s">
        <v>3</v>
      </c>
      <c r="D1577" s="2">
        <v>22800</v>
      </c>
      <c r="E1577" s="2">
        <v>15959.999999999998</v>
      </c>
      <c r="F1577" t="s">
        <v>5</v>
      </c>
      <c r="G1577" t="s">
        <v>3945</v>
      </c>
      <c r="H1577" t="s">
        <v>37</v>
      </c>
      <c r="I1577">
        <v>248.32079999999999</v>
      </c>
    </row>
    <row r="1578" spans="1:9" ht="73.05" customHeight="1">
      <c r="A1578" s="1" t="str">
        <f>"Chemistry 5606"</f>
        <v>Chemistry 5606</v>
      </c>
      <c r="B1578" t="s">
        <v>3946</v>
      </c>
      <c r="C1578" t="s">
        <v>3</v>
      </c>
      <c r="D1578" s="2">
        <v>22800</v>
      </c>
      <c r="E1578" s="2">
        <v>15959.999999999998</v>
      </c>
      <c r="F1578" t="s">
        <v>5</v>
      </c>
      <c r="G1578" t="s">
        <v>3947</v>
      </c>
      <c r="H1578" t="s">
        <v>1889</v>
      </c>
      <c r="I1578">
        <v>231.29028</v>
      </c>
    </row>
    <row r="1579" spans="1:9" ht="62.25" customHeight="1">
      <c r="A1579" s="1" t="str">
        <f>"Chemistry 5607"</f>
        <v>Chemistry 5607</v>
      </c>
      <c r="B1579" t="s">
        <v>3948</v>
      </c>
      <c r="C1579" t="s">
        <v>270</v>
      </c>
      <c r="D1579" s="2">
        <v>52500</v>
      </c>
      <c r="E1579" s="2">
        <v>31500</v>
      </c>
      <c r="F1579" t="s">
        <v>5</v>
      </c>
      <c r="G1579" t="s">
        <v>3949</v>
      </c>
      <c r="H1579" t="s">
        <v>3950</v>
      </c>
      <c r="I1579">
        <v>228.11949999999999</v>
      </c>
    </row>
    <row r="1580" spans="1:9" ht="67.95" customHeight="1">
      <c r="A1580" s="1" t="str">
        <f>"Chemistry 5610"</f>
        <v>Chemistry 5610</v>
      </c>
      <c r="B1580" t="s">
        <v>3951</v>
      </c>
      <c r="C1580" t="s">
        <v>3</v>
      </c>
      <c r="D1580" s="2">
        <v>22800</v>
      </c>
      <c r="E1580" s="2">
        <v>15959.999999999998</v>
      </c>
      <c r="F1580" t="s">
        <v>5</v>
      </c>
      <c r="G1580" t="s">
        <v>3952</v>
      </c>
      <c r="H1580" t="s">
        <v>3953</v>
      </c>
      <c r="I1580">
        <v>139.1088</v>
      </c>
    </row>
    <row r="1581" spans="1:9" ht="71.25" customHeight="1">
      <c r="A1581" s="1" t="str">
        <f>"Chemistry 5611"</f>
        <v>Chemistry 5611</v>
      </c>
      <c r="B1581" t="s">
        <v>3954</v>
      </c>
      <c r="C1581" t="s">
        <v>3</v>
      </c>
      <c r="D1581" s="2">
        <v>24500</v>
      </c>
      <c r="E1581" s="2">
        <v>17150</v>
      </c>
      <c r="F1581" t="s">
        <v>5</v>
      </c>
      <c r="G1581" t="s">
        <v>3955</v>
      </c>
      <c r="H1581" t="s">
        <v>3953</v>
      </c>
      <c r="I1581">
        <v>139.1088</v>
      </c>
    </row>
    <row r="1582" spans="1:9" ht="76.349999999999994" customHeight="1">
      <c r="A1582" s="1" t="str">
        <f>"Chemistry 5613"</f>
        <v>Chemistry 5613</v>
      </c>
      <c r="B1582" t="s">
        <v>3957</v>
      </c>
      <c r="C1582" t="s">
        <v>3</v>
      </c>
      <c r="D1582" s="2">
        <v>28000</v>
      </c>
      <c r="E1582" s="2">
        <v>16800</v>
      </c>
      <c r="F1582" t="s">
        <v>5</v>
      </c>
      <c r="G1582" t="s">
        <v>3958</v>
      </c>
      <c r="H1582" t="s">
        <v>3956</v>
      </c>
      <c r="I1582">
        <v>180.1326</v>
      </c>
    </row>
    <row r="1583" spans="1:9" ht="67.349999999999994" customHeight="1">
      <c r="A1583" s="1" t="str">
        <f>"Chemistry 5615"</f>
        <v>Chemistry 5615</v>
      </c>
      <c r="B1583" t="s">
        <v>3959</v>
      </c>
      <c r="C1583" t="s">
        <v>3</v>
      </c>
      <c r="D1583" s="2">
        <v>28000</v>
      </c>
      <c r="E1583" s="2">
        <v>16800</v>
      </c>
      <c r="F1583" t="s">
        <v>5</v>
      </c>
      <c r="G1583" t="s">
        <v>3960</v>
      </c>
      <c r="H1583" t="s">
        <v>3956</v>
      </c>
      <c r="I1583">
        <v>180.1326</v>
      </c>
    </row>
    <row r="1584" spans="1:9" ht="79.2" customHeight="1">
      <c r="A1584" s="1" t="str">
        <f>"Chemistry 5616"</f>
        <v>Chemistry 5616</v>
      </c>
      <c r="B1584" t="s">
        <v>3961</v>
      </c>
      <c r="C1584" t="s">
        <v>128</v>
      </c>
      <c r="D1584" s="2">
        <v>26300</v>
      </c>
      <c r="E1584" s="2">
        <v>15780</v>
      </c>
      <c r="F1584" t="s">
        <v>5</v>
      </c>
      <c r="G1584" t="s">
        <v>3962</v>
      </c>
      <c r="H1584" t="s">
        <v>3915</v>
      </c>
      <c r="I1584">
        <v>217.66772</v>
      </c>
    </row>
    <row r="1585" spans="1:9" ht="65.099999999999994" customHeight="1">
      <c r="A1585" s="1" t="str">
        <f>"Chemistry 5621"</f>
        <v>Chemistry 5621</v>
      </c>
      <c r="B1585" t="s">
        <v>3964</v>
      </c>
      <c r="C1585" t="s">
        <v>3</v>
      </c>
      <c r="D1585" s="2">
        <v>31500</v>
      </c>
      <c r="E1585" s="2">
        <v>18900</v>
      </c>
      <c r="F1585" t="s">
        <v>5</v>
      </c>
      <c r="G1585" t="s">
        <v>3965</v>
      </c>
      <c r="H1585" t="s">
        <v>3963</v>
      </c>
      <c r="I1585">
        <v>166.14908</v>
      </c>
    </row>
    <row r="1586" spans="1:9" ht="67.95" customHeight="1">
      <c r="A1586" s="1" t="str">
        <f>"Chemistry 5623"</f>
        <v>Chemistry 5623</v>
      </c>
      <c r="B1586" t="s">
        <v>3967</v>
      </c>
      <c r="C1586" t="s">
        <v>3</v>
      </c>
      <c r="D1586" s="2">
        <v>22800</v>
      </c>
      <c r="E1586" s="2">
        <v>15959.999999999998</v>
      </c>
      <c r="F1586" t="s">
        <v>5</v>
      </c>
      <c r="G1586" t="s">
        <v>3968</v>
      </c>
      <c r="H1586" t="s">
        <v>3969</v>
      </c>
      <c r="I1586">
        <v>145.1995</v>
      </c>
    </row>
    <row r="1587" spans="1:9" ht="75.75" customHeight="1">
      <c r="A1587" s="1" t="str">
        <f>"Chemistry 5624"</f>
        <v>Chemistry 5624</v>
      </c>
      <c r="B1587" t="s">
        <v>3970</v>
      </c>
      <c r="C1587" t="s">
        <v>128</v>
      </c>
      <c r="D1587" s="2">
        <v>22800</v>
      </c>
      <c r="E1587" s="2">
        <v>15959.999999999998</v>
      </c>
      <c r="F1587" t="s">
        <v>5</v>
      </c>
      <c r="G1587" t="s">
        <v>3971</v>
      </c>
      <c r="H1587" t="s">
        <v>3972</v>
      </c>
      <c r="I1587">
        <v>209.71359000000001</v>
      </c>
    </row>
    <row r="1588" spans="1:9" ht="64.5" customHeight="1">
      <c r="A1588" s="1" t="str">
        <f>"Chemistry 5626"</f>
        <v>Chemistry 5626</v>
      </c>
      <c r="B1588" t="s">
        <v>3973</v>
      </c>
      <c r="C1588" t="s">
        <v>270</v>
      </c>
      <c r="D1588" s="2">
        <v>52500</v>
      </c>
      <c r="E1588" s="2">
        <v>31500</v>
      </c>
      <c r="F1588" t="s">
        <v>5</v>
      </c>
      <c r="G1588" t="s">
        <v>3974</v>
      </c>
      <c r="H1588" t="s">
        <v>3909</v>
      </c>
      <c r="I1588">
        <v>256.17266000000001</v>
      </c>
    </row>
    <row r="1589" spans="1:9" ht="71.25" customHeight="1">
      <c r="A1589" s="1" t="str">
        <f>"Chemistry 5629"</f>
        <v>Chemistry 5629</v>
      </c>
      <c r="B1589" t="s">
        <v>3975</v>
      </c>
      <c r="C1589" t="s">
        <v>3</v>
      </c>
      <c r="D1589" s="2">
        <v>22800</v>
      </c>
      <c r="E1589" s="2">
        <v>15959.999999999998</v>
      </c>
      <c r="F1589" t="s">
        <v>5</v>
      </c>
      <c r="G1589" t="s">
        <v>3976</v>
      </c>
      <c r="H1589" t="s">
        <v>3977</v>
      </c>
      <c r="I1589">
        <v>157.09925999999999</v>
      </c>
    </row>
    <row r="1590" spans="1:9" ht="71.25" customHeight="1">
      <c r="A1590" s="1" t="str">
        <f>"Chemistry 5630"</f>
        <v>Chemistry 5630</v>
      </c>
      <c r="B1590" t="s">
        <v>3978</v>
      </c>
      <c r="C1590" t="s">
        <v>3</v>
      </c>
      <c r="D1590" s="2">
        <v>22800</v>
      </c>
      <c r="E1590" s="2">
        <v>15959.999999999998</v>
      </c>
      <c r="F1590" t="s">
        <v>5</v>
      </c>
      <c r="G1590" t="s">
        <v>3979</v>
      </c>
      <c r="H1590" t="s">
        <v>3977</v>
      </c>
      <c r="I1590">
        <v>157.09925999999999</v>
      </c>
    </row>
    <row r="1591" spans="1:9" ht="75.75" customHeight="1">
      <c r="A1591" s="1" t="str">
        <f>"Chemistry 5632"</f>
        <v>Chemistry 5632</v>
      </c>
      <c r="B1591" t="s">
        <v>3980</v>
      </c>
      <c r="C1591" t="s">
        <v>128</v>
      </c>
      <c r="D1591" s="2">
        <v>24500</v>
      </c>
      <c r="E1591" s="2">
        <v>17150</v>
      </c>
      <c r="F1591" t="s">
        <v>5</v>
      </c>
      <c r="G1591" t="s">
        <v>3981</v>
      </c>
      <c r="H1591" t="s">
        <v>2394</v>
      </c>
      <c r="I1591">
        <v>223.70196000000001</v>
      </c>
    </row>
    <row r="1592" spans="1:9" ht="79.2" customHeight="1">
      <c r="A1592" s="1" t="str">
        <f>"Chemistry 5636"</f>
        <v>Chemistry 5636</v>
      </c>
      <c r="B1592" t="s">
        <v>3982</v>
      </c>
      <c r="C1592" t="s">
        <v>3</v>
      </c>
      <c r="D1592" s="2">
        <v>35000</v>
      </c>
      <c r="E1592" s="2">
        <v>21000</v>
      </c>
      <c r="F1592" t="s">
        <v>5</v>
      </c>
      <c r="G1592" t="s">
        <v>3983</v>
      </c>
      <c r="H1592" t="s">
        <v>3966</v>
      </c>
      <c r="I1592">
        <v>196.17506</v>
      </c>
    </row>
    <row r="1593" spans="1:9" ht="75.75" customHeight="1">
      <c r="A1593" s="1" t="str">
        <f>"Chemistry 5638"</f>
        <v>Chemistry 5638</v>
      </c>
      <c r="B1593" t="s">
        <v>3984</v>
      </c>
      <c r="C1593" t="s">
        <v>3</v>
      </c>
      <c r="D1593" s="2">
        <v>22800</v>
      </c>
      <c r="E1593" s="2">
        <v>15959.999999999998</v>
      </c>
      <c r="F1593" t="s">
        <v>5</v>
      </c>
      <c r="G1593" t="s">
        <v>3985</v>
      </c>
      <c r="H1593" t="s">
        <v>2258</v>
      </c>
      <c r="I1593">
        <v>202.20930000000001</v>
      </c>
    </row>
    <row r="1594" spans="1:9" ht="69" customHeight="1">
      <c r="A1594" s="1" t="str">
        <f>"Chemistry 5640"</f>
        <v>Chemistry 5640</v>
      </c>
      <c r="B1594" t="s">
        <v>3986</v>
      </c>
      <c r="C1594" t="s">
        <v>3</v>
      </c>
      <c r="D1594" s="2">
        <v>52500</v>
      </c>
      <c r="E1594" s="2">
        <v>31500</v>
      </c>
      <c r="F1594" t="s">
        <v>5</v>
      </c>
      <c r="G1594" t="s">
        <v>3987</v>
      </c>
      <c r="H1594" t="s">
        <v>3912</v>
      </c>
      <c r="I1594">
        <v>269.34001999999998</v>
      </c>
    </row>
    <row r="1595" spans="1:9" ht="51.6" customHeight="1">
      <c r="A1595" s="1" t="str">
        <f>"Chemistry 5642"</f>
        <v>Chemistry 5642</v>
      </c>
      <c r="B1595" t="s">
        <v>3988</v>
      </c>
      <c r="C1595" t="s">
        <v>3</v>
      </c>
      <c r="D1595" s="2">
        <v>24500</v>
      </c>
      <c r="E1595" s="2">
        <v>17150</v>
      </c>
      <c r="F1595" t="s">
        <v>5</v>
      </c>
      <c r="G1595" t="s">
        <v>3989</v>
      </c>
      <c r="H1595" t="s">
        <v>3990</v>
      </c>
      <c r="I1595">
        <v>140.09685999999999</v>
      </c>
    </row>
    <row r="1596" spans="1:9" ht="75.75" customHeight="1">
      <c r="A1596" s="1" t="str">
        <f>"Chemistry 5643"</f>
        <v>Chemistry 5643</v>
      </c>
      <c r="B1596" t="s">
        <v>3991</v>
      </c>
      <c r="C1596" t="s">
        <v>128</v>
      </c>
      <c r="D1596" s="2">
        <v>24500</v>
      </c>
      <c r="E1596" s="2">
        <v>17150</v>
      </c>
      <c r="F1596" t="s">
        <v>5</v>
      </c>
      <c r="G1596" t="s">
        <v>3992</v>
      </c>
      <c r="H1596" t="s">
        <v>2397</v>
      </c>
      <c r="I1596">
        <v>241.69242</v>
      </c>
    </row>
    <row r="1597" spans="1:9" ht="73.05" customHeight="1">
      <c r="A1597" s="1" t="str">
        <f>"Chemistry 5644"</f>
        <v>Chemistry 5644</v>
      </c>
      <c r="B1597" t="s">
        <v>3993</v>
      </c>
      <c r="C1597" t="s">
        <v>128</v>
      </c>
      <c r="D1597" s="2">
        <v>24500</v>
      </c>
      <c r="E1597" s="2">
        <v>17150</v>
      </c>
      <c r="F1597" t="s">
        <v>5</v>
      </c>
      <c r="G1597" t="s">
        <v>3994</v>
      </c>
      <c r="H1597" t="s">
        <v>2397</v>
      </c>
      <c r="I1597">
        <v>241.69242</v>
      </c>
    </row>
    <row r="1598" spans="1:9" ht="61.2" customHeight="1">
      <c r="A1598" s="1" t="str">
        <f>"Chemistry 5646"</f>
        <v>Chemistry 5646</v>
      </c>
      <c r="B1598" t="s">
        <v>3995</v>
      </c>
      <c r="C1598" t="s">
        <v>3</v>
      </c>
      <c r="D1598" s="2">
        <v>45500</v>
      </c>
      <c r="E1598" s="2">
        <v>27300</v>
      </c>
      <c r="F1598" t="s">
        <v>5</v>
      </c>
      <c r="G1598" t="s">
        <v>3996</v>
      </c>
      <c r="H1598" t="s">
        <v>3671</v>
      </c>
      <c r="I1598">
        <v>212.28869</v>
      </c>
    </row>
    <row r="1599" spans="1:9" ht="54.45" customHeight="1">
      <c r="A1599" s="1" t="str">
        <f>"Chemistry 5647"</f>
        <v>Chemistry 5647</v>
      </c>
      <c r="B1599" t="s">
        <v>3997</v>
      </c>
      <c r="C1599" t="s">
        <v>128</v>
      </c>
      <c r="D1599" s="2">
        <v>17500</v>
      </c>
      <c r="E1599" s="2">
        <v>12250</v>
      </c>
      <c r="F1599" t="s">
        <v>5</v>
      </c>
      <c r="G1599" t="s">
        <v>3998</v>
      </c>
      <c r="H1599" t="s">
        <v>1638</v>
      </c>
      <c r="I1599">
        <v>245.749</v>
      </c>
    </row>
    <row r="1600" spans="1:9" ht="92.1" customHeight="1">
      <c r="A1600" s="1" t="str">
        <f>"Chemistry 5649"</f>
        <v>Chemistry 5649</v>
      </c>
      <c r="B1600" t="s">
        <v>3999</v>
      </c>
      <c r="C1600" t="s">
        <v>3</v>
      </c>
      <c r="D1600" s="2">
        <v>22800</v>
      </c>
      <c r="E1600" s="2">
        <v>15959.999999999998</v>
      </c>
      <c r="F1600" t="s">
        <v>5</v>
      </c>
      <c r="G1600" t="s">
        <v>4000</v>
      </c>
      <c r="H1600" t="s">
        <v>1197</v>
      </c>
      <c r="I1600">
        <v>220.19976</v>
      </c>
    </row>
    <row r="1601" spans="1:9" ht="75.3" customHeight="1">
      <c r="A1601" s="1" t="str">
        <f>"Chemistry 5650"</f>
        <v>Chemistry 5650</v>
      </c>
      <c r="B1601" t="s">
        <v>4001</v>
      </c>
      <c r="C1601" t="s">
        <v>270</v>
      </c>
      <c r="D1601" s="2">
        <v>52500</v>
      </c>
      <c r="E1601" s="2">
        <v>31500</v>
      </c>
      <c r="F1601" t="s">
        <v>5</v>
      </c>
      <c r="G1601" t="s">
        <v>4002</v>
      </c>
      <c r="H1601" t="s">
        <v>3908</v>
      </c>
      <c r="I1601">
        <v>242.14608000000001</v>
      </c>
    </row>
    <row r="1602" spans="1:9" ht="79.2" customHeight="1">
      <c r="A1602" s="1" t="str">
        <f>"Chemistry 5652"</f>
        <v>Chemistry 5652</v>
      </c>
      <c r="B1602" t="s">
        <v>4003</v>
      </c>
      <c r="C1602" t="s">
        <v>128</v>
      </c>
      <c r="D1602" s="2">
        <v>24500</v>
      </c>
      <c r="E1602" s="2">
        <v>17150</v>
      </c>
      <c r="F1602" t="s">
        <v>5</v>
      </c>
      <c r="G1602" t="s">
        <v>4004</v>
      </c>
      <c r="H1602" t="s">
        <v>2397</v>
      </c>
      <c r="I1602">
        <v>241.69242</v>
      </c>
    </row>
    <row r="1603" spans="1:9" ht="79.2" customHeight="1">
      <c r="A1603" s="1" t="str">
        <f>"Chemistry 5653"</f>
        <v>Chemistry 5653</v>
      </c>
      <c r="B1603" t="s">
        <v>4005</v>
      </c>
      <c r="C1603" t="s">
        <v>3</v>
      </c>
      <c r="D1603" s="2">
        <v>22800</v>
      </c>
      <c r="E1603" s="2">
        <v>15959.999999999998</v>
      </c>
      <c r="F1603" t="s">
        <v>5</v>
      </c>
      <c r="G1603" t="s">
        <v>4006</v>
      </c>
      <c r="H1603" t="s">
        <v>1197</v>
      </c>
      <c r="I1603">
        <v>220.19976</v>
      </c>
    </row>
    <row r="1604" spans="1:9" ht="76.95" customHeight="1">
      <c r="A1604" s="1" t="str">
        <f>"Chemistry 5655"</f>
        <v>Chemistry 5655</v>
      </c>
      <c r="B1604" t="s">
        <v>4007</v>
      </c>
      <c r="C1604" t="s">
        <v>270</v>
      </c>
      <c r="D1604" s="2">
        <v>52500</v>
      </c>
      <c r="E1604" s="2">
        <v>31500</v>
      </c>
      <c r="F1604" t="s">
        <v>5</v>
      </c>
      <c r="G1604" t="s">
        <v>4008</v>
      </c>
      <c r="H1604" t="s">
        <v>3909</v>
      </c>
      <c r="I1604">
        <v>256.17266000000001</v>
      </c>
    </row>
    <row r="1605" spans="1:9" ht="56.7" customHeight="1">
      <c r="A1605" s="1" t="str">
        <f>"Chemistry 5656"</f>
        <v>Chemistry 5656</v>
      </c>
      <c r="B1605" t="s">
        <v>4009</v>
      </c>
      <c r="C1605" t="s">
        <v>3</v>
      </c>
      <c r="D1605" s="2">
        <v>52500</v>
      </c>
      <c r="E1605" s="2">
        <v>31500</v>
      </c>
      <c r="F1605" t="s">
        <v>5</v>
      </c>
      <c r="G1605" t="s">
        <v>4010</v>
      </c>
      <c r="H1605" t="s">
        <v>3912</v>
      </c>
      <c r="I1605">
        <v>269.34001000000001</v>
      </c>
    </row>
    <row r="1606" spans="1:9" ht="67.349999999999994" customHeight="1">
      <c r="A1606" s="1" t="str">
        <f>"Chemistry 5659"</f>
        <v>Chemistry 5659</v>
      </c>
      <c r="B1606" t="s">
        <v>4011</v>
      </c>
      <c r="C1606" t="s">
        <v>128</v>
      </c>
      <c r="D1606" s="2">
        <v>28000</v>
      </c>
      <c r="E1606" s="2">
        <v>16800</v>
      </c>
      <c r="F1606" t="s">
        <v>5</v>
      </c>
      <c r="G1606" t="s">
        <v>4012</v>
      </c>
      <c r="H1606" t="s">
        <v>4013</v>
      </c>
      <c r="I1606">
        <v>237.72854000000001</v>
      </c>
    </row>
    <row r="1607" spans="1:9" ht="71.25" customHeight="1">
      <c r="A1607" s="1" t="str">
        <f>"Chemistry 5660"</f>
        <v>Chemistry 5660</v>
      </c>
      <c r="B1607" t="s">
        <v>4014</v>
      </c>
      <c r="C1607" t="s">
        <v>128</v>
      </c>
      <c r="D1607" s="2">
        <v>28000</v>
      </c>
      <c r="E1607" s="2">
        <v>16800</v>
      </c>
      <c r="F1607" t="s">
        <v>5</v>
      </c>
      <c r="G1607" t="s">
        <v>4015</v>
      </c>
      <c r="H1607" t="s">
        <v>4016</v>
      </c>
      <c r="I1607">
        <v>255.71899999999999</v>
      </c>
    </row>
    <row r="1608" spans="1:9" ht="71.25" customHeight="1">
      <c r="A1608" s="1" t="str">
        <f>"Chemistry 5662"</f>
        <v>Chemistry 5662</v>
      </c>
      <c r="B1608" t="s">
        <v>4017</v>
      </c>
      <c r="C1608" t="s">
        <v>128</v>
      </c>
      <c r="D1608" s="2">
        <v>28000</v>
      </c>
      <c r="E1608" s="2">
        <v>16800</v>
      </c>
      <c r="F1608" t="s">
        <v>5</v>
      </c>
      <c r="G1608" t="s">
        <v>4018</v>
      </c>
      <c r="H1608" t="s">
        <v>4016</v>
      </c>
      <c r="I1608">
        <v>255.71899999999999</v>
      </c>
    </row>
    <row r="1609" spans="1:9" ht="67.349999999999994" customHeight="1">
      <c r="A1609" s="1" t="str">
        <f>"Chemistry 5663"</f>
        <v>Chemistry 5663</v>
      </c>
      <c r="B1609" t="s">
        <v>4019</v>
      </c>
      <c r="C1609" t="s">
        <v>128</v>
      </c>
      <c r="D1609" s="2">
        <v>28000</v>
      </c>
      <c r="E1609" s="2">
        <v>16800</v>
      </c>
      <c r="F1609" t="s">
        <v>5</v>
      </c>
      <c r="G1609" t="s">
        <v>4020</v>
      </c>
      <c r="H1609" t="s">
        <v>4016</v>
      </c>
      <c r="I1609">
        <v>255.71899999999999</v>
      </c>
    </row>
    <row r="1610" spans="1:9" ht="65.099999999999994" customHeight="1">
      <c r="A1610" s="1" t="str">
        <f>"Chemistry 5664"</f>
        <v>Chemistry 5664</v>
      </c>
      <c r="B1610" t="s">
        <v>4021</v>
      </c>
      <c r="C1610" t="s">
        <v>128</v>
      </c>
      <c r="D1610" s="2">
        <v>28000</v>
      </c>
      <c r="E1610" s="2">
        <v>16800</v>
      </c>
      <c r="F1610" t="s">
        <v>5</v>
      </c>
      <c r="G1610" t="s">
        <v>4022</v>
      </c>
      <c r="H1610" t="s">
        <v>4023</v>
      </c>
      <c r="I1610">
        <v>211.61196000000001</v>
      </c>
    </row>
    <row r="1611" spans="1:9" ht="88.8" customHeight="1">
      <c r="A1611" s="1" t="str">
        <f>"Chemistry 5667"</f>
        <v>Chemistry 5667</v>
      </c>
      <c r="B1611" t="s">
        <v>4024</v>
      </c>
      <c r="C1611" t="s">
        <v>128</v>
      </c>
      <c r="D1611" s="2">
        <v>52500</v>
      </c>
      <c r="E1611" s="2">
        <v>31500</v>
      </c>
      <c r="F1611" t="s">
        <v>5</v>
      </c>
      <c r="G1611" t="s">
        <v>4025</v>
      </c>
      <c r="H1611" t="s">
        <v>2344</v>
      </c>
      <c r="I1611">
        <v>219.66865999999999</v>
      </c>
    </row>
    <row r="1612" spans="1:9" ht="65.099999999999994" customHeight="1">
      <c r="A1612" s="1" t="str">
        <f>"Chemistry 5669"</f>
        <v>Chemistry 5669</v>
      </c>
      <c r="B1612" t="s">
        <v>4026</v>
      </c>
      <c r="C1612" t="s">
        <v>270</v>
      </c>
      <c r="D1612" s="2">
        <v>52500</v>
      </c>
      <c r="E1612" s="2">
        <v>31500</v>
      </c>
      <c r="F1612" t="s">
        <v>5</v>
      </c>
      <c r="G1612" t="s">
        <v>4027</v>
      </c>
      <c r="H1612" t="s">
        <v>3950</v>
      </c>
      <c r="I1612">
        <v>228.11949999999999</v>
      </c>
    </row>
    <row r="1613" spans="1:9" ht="69.599999999999994" customHeight="1">
      <c r="A1613" s="1" t="str">
        <f>"Chemistry 5670"</f>
        <v>Chemistry 5670</v>
      </c>
      <c r="B1613" t="s">
        <v>4028</v>
      </c>
      <c r="C1613" t="s">
        <v>270</v>
      </c>
      <c r="D1613" s="2">
        <v>52500</v>
      </c>
      <c r="E1613" s="2">
        <v>31500</v>
      </c>
      <c r="F1613" t="s">
        <v>5</v>
      </c>
      <c r="G1613" t="s">
        <v>4029</v>
      </c>
      <c r="H1613" t="s">
        <v>3908</v>
      </c>
      <c r="I1613">
        <v>242.14607000000001</v>
      </c>
    </row>
    <row r="1614" spans="1:9" ht="64.5" customHeight="1">
      <c r="A1614" s="1" t="str">
        <f>"Chemistry 5672"</f>
        <v>Chemistry 5672</v>
      </c>
      <c r="B1614" t="s">
        <v>4030</v>
      </c>
      <c r="C1614" t="s">
        <v>270</v>
      </c>
      <c r="D1614" s="2">
        <v>52500</v>
      </c>
      <c r="E1614" s="2">
        <v>31500</v>
      </c>
      <c r="F1614" t="s">
        <v>5</v>
      </c>
      <c r="G1614" t="s">
        <v>4031</v>
      </c>
      <c r="H1614" t="s">
        <v>3909</v>
      </c>
      <c r="I1614">
        <v>256.17266000000001</v>
      </c>
    </row>
    <row r="1615" spans="1:9" ht="65.099999999999994" customHeight="1">
      <c r="A1615" s="1" t="str">
        <f>"Chemistry 5673"</f>
        <v>Chemistry 5673</v>
      </c>
      <c r="B1615" t="s">
        <v>4032</v>
      </c>
      <c r="C1615" t="s">
        <v>270</v>
      </c>
      <c r="D1615" s="2">
        <v>52500</v>
      </c>
      <c r="E1615" s="2">
        <v>31500</v>
      </c>
      <c r="F1615" t="s">
        <v>5</v>
      </c>
      <c r="G1615" t="s">
        <v>4033</v>
      </c>
      <c r="H1615" t="s">
        <v>3909</v>
      </c>
      <c r="I1615">
        <v>256.17266000000001</v>
      </c>
    </row>
    <row r="1616" spans="1:9" ht="71.25" customHeight="1">
      <c r="A1616" s="1" t="str">
        <f>"Chemistry 5677"</f>
        <v>Chemistry 5677</v>
      </c>
      <c r="B1616" t="s">
        <v>4034</v>
      </c>
      <c r="C1616" t="s">
        <v>3</v>
      </c>
      <c r="D1616" s="2">
        <v>52500</v>
      </c>
      <c r="E1616" s="2">
        <v>31500</v>
      </c>
      <c r="F1616" t="s">
        <v>5</v>
      </c>
      <c r="G1616" t="s">
        <v>4035</v>
      </c>
      <c r="H1616" t="s">
        <v>3912</v>
      </c>
      <c r="I1616">
        <v>269.34001000000001</v>
      </c>
    </row>
    <row r="1617" spans="1:9" ht="57.3" customHeight="1">
      <c r="A1617" s="1" t="str">
        <f>"Chemistry 5682"</f>
        <v>Chemistry 5682</v>
      </c>
      <c r="B1617" t="s">
        <v>4036</v>
      </c>
      <c r="C1617" t="s">
        <v>270</v>
      </c>
      <c r="D1617" s="2">
        <v>21000</v>
      </c>
      <c r="E1617" s="2">
        <v>14699.999999999998</v>
      </c>
      <c r="F1617" t="s">
        <v>5</v>
      </c>
      <c r="G1617" t="s">
        <v>4037</v>
      </c>
      <c r="H1617" t="s">
        <v>3507</v>
      </c>
      <c r="I1617">
        <v>239.11732000000001</v>
      </c>
    </row>
    <row r="1618" spans="1:9" ht="65.099999999999994" customHeight="1">
      <c r="A1618" s="1" t="str">
        <f>"Chemistry 5684"</f>
        <v>Chemistry 5684</v>
      </c>
      <c r="B1618" t="s">
        <v>4039</v>
      </c>
      <c r="C1618" t="s">
        <v>128</v>
      </c>
      <c r="D1618" s="2">
        <v>28000</v>
      </c>
      <c r="E1618" s="2">
        <v>16800</v>
      </c>
      <c r="F1618" t="s">
        <v>5</v>
      </c>
      <c r="G1618" t="s">
        <v>4040</v>
      </c>
      <c r="H1618" t="s">
        <v>4038</v>
      </c>
      <c r="I1618">
        <v>229.60243</v>
      </c>
    </row>
    <row r="1619" spans="1:9" ht="67.95" customHeight="1">
      <c r="A1619" s="1" t="str">
        <f>"Chemistry 5685"</f>
        <v>Chemistry 5685</v>
      </c>
      <c r="B1619" t="s">
        <v>4041</v>
      </c>
      <c r="C1619" t="s">
        <v>128</v>
      </c>
      <c r="D1619" s="2">
        <v>28000</v>
      </c>
      <c r="E1619" s="2">
        <v>16800</v>
      </c>
      <c r="F1619" t="s">
        <v>5</v>
      </c>
      <c r="G1619" t="s">
        <v>4042</v>
      </c>
      <c r="H1619" t="s">
        <v>4043</v>
      </c>
      <c r="I1619">
        <v>246.05701999999999</v>
      </c>
    </row>
    <row r="1620" spans="1:9" ht="67.95" customHeight="1">
      <c r="A1620" s="1" t="str">
        <f>"Chemistry 5686"</f>
        <v>Chemistry 5686</v>
      </c>
      <c r="B1620" t="s">
        <v>4044</v>
      </c>
      <c r="C1620" t="s">
        <v>128</v>
      </c>
      <c r="D1620" s="2">
        <v>28000</v>
      </c>
      <c r="E1620" s="2">
        <v>16800</v>
      </c>
      <c r="F1620" t="s">
        <v>5</v>
      </c>
      <c r="G1620" t="s">
        <v>4045</v>
      </c>
      <c r="H1620" t="s">
        <v>4043</v>
      </c>
      <c r="I1620">
        <v>246.05701999999999</v>
      </c>
    </row>
    <row r="1621" spans="1:9" ht="65.099999999999994" customHeight="1">
      <c r="A1621" s="1" t="str">
        <f>"Chemistry 5687"</f>
        <v>Chemistry 5687</v>
      </c>
      <c r="B1621" t="s">
        <v>4046</v>
      </c>
      <c r="C1621" t="s">
        <v>128</v>
      </c>
      <c r="D1621" s="2">
        <v>28000</v>
      </c>
      <c r="E1621" s="2">
        <v>16800</v>
      </c>
      <c r="F1621" t="s">
        <v>5</v>
      </c>
      <c r="G1621" t="s">
        <v>4047</v>
      </c>
      <c r="H1621" t="s">
        <v>4043</v>
      </c>
      <c r="I1621">
        <v>246.05701999999999</v>
      </c>
    </row>
    <row r="1622" spans="1:9" ht="61.8" customHeight="1">
      <c r="A1622" s="1" t="str">
        <f>"Chemistry 5694"</f>
        <v>Chemistry 5694</v>
      </c>
      <c r="B1622" t="s">
        <v>4049</v>
      </c>
      <c r="C1622" t="s">
        <v>128</v>
      </c>
      <c r="D1622" s="2">
        <v>31500</v>
      </c>
      <c r="E1622" s="2">
        <v>18900</v>
      </c>
      <c r="F1622" t="s">
        <v>5</v>
      </c>
      <c r="G1622" t="s">
        <v>4050</v>
      </c>
      <c r="H1622" t="s">
        <v>2861</v>
      </c>
      <c r="I1622">
        <v>239.74110999999999</v>
      </c>
    </row>
    <row r="1623" spans="1:9" ht="61.8" customHeight="1">
      <c r="A1623" s="1" t="str">
        <f>"Chemistry 5695"</f>
        <v>Chemistry 5695</v>
      </c>
      <c r="B1623" t="s">
        <v>4051</v>
      </c>
      <c r="C1623" t="s">
        <v>128</v>
      </c>
      <c r="D1623" s="2">
        <v>35000</v>
      </c>
      <c r="E1623" s="2">
        <v>21000</v>
      </c>
      <c r="F1623" t="s">
        <v>5</v>
      </c>
      <c r="G1623" t="s">
        <v>4052</v>
      </c>
      <c r="H1623" t="s">
        <v>4048</v>
      </c>
      <c r="I1623">
        <v>257.73158000000001</v>
      </c>
    </row>
    <row r="1624" spans="1:9" ht="61.8" customHeight="1">
      <c r="A1624" s="1" t="str">
        <f>"Chemistry 5696"</f>
        <v>Chemistry 5696</v>
      </c>
      <c r="B1624" t="s">
        <v>4053</v>
      </c>
      <c r="C1624" t="s">
        <v>128</v>
      </c>
      <c r="D1624" s="2">
        <v>35000</v>
      </c>
      <c r="E1624" s="2">
        <v>21000</v>
      </c>
      <c r="F1624" t="s">
        <v>5</v>
      </c>
      <c r="G1624" t="s">
        <v>4054</v>
      </c>
      <c r="H1624" t="s">
        <v>4048</v>
      </c>
      <c r="I1624">
        <v>257.73158000000001</v>
      </c>
    </row>
    <row r="1625" spans="1:9" ht="67.95" customHeight="1">
      <c r="A1625" s="1" t="str">
        <f>"Chemistry 5697"</f>
        <v>Chemistry 5697</v>
      </c>
      <c r="B1625" t="s">
        <v>4055</v>
      </c>
      <c r="C1625" t="s">
        <v>128</v>
      </c>
      <c r="D1625" s="2">
        <v>35000</v>
      </c>
      <c r="E1625" s="2">
        <v>21000</v>
      </c>
      <c r="F1625" t="s">
        <v>5</v>
      </c>
      <c r="G1625" t="s">
        <v>4056</v>
      </c>
      <c r="H1625" t="s">
        <v>4048</v>
      </c>
      <c r="I1625">
        <v>257.73158000000001</v>
      </c>
    </row>
    <row r="1626" spans="1:9" ht="76.95" customHeight="1">
      <c r="A1626" s="1" t="str">
        <f>"Chemistry 5698"</f>
        <v>Chemistry 5698</v>
      </c>
      <c r="B1626" t="s">
        <v>4057</v>
      </c>
      <c r="C1626" t="s">
        <v>270</v>
      </c>
      <c r="D1626" s="2">
        <v>52500</v>
      </c>
      <c r="E1626" s="2">
        <v>31500</v>
      </c>
      <c r="F1626" t="s">
        <v>5</v>
      </c>
      <c r="G1626" t="s">
        <v>4058</v>
      </c>
      <c r="H1626" t="s">
        <v>3909</v>
      </c>
      <c r="I1626">
        <v>256.17266000000001</v>
      </c>
    </row>
    <row r="1627" spans="1:9" ht="61.8" customHeight="1">
      <c r="A1627" s="1" t="str">
        <f>"Chemistry 5701"</f>
        <v>Chemistry 5701</v>
      </c>
      <c r="B1627" t="s">
        <v>4059</v>
      </c>
      <c r="C1627" t="s">
        <v>128</v>
      </c>
      <c r="D1627" s="2">
        <v>17500</v>
      </c>
      <c r="E1627" s="2">
        <v>12250</v>
      </c>
      <c r="F1627" t="s">
        <v>5</v>
      </c>
      <c r="G1627" t="s">
        <v>4060</v>
      </c>
      <c r="H1627" t="s">
        <v>1043</v>
      </c>
      <c r="I1627">
        <v>189.65762000000001</v>
      </c>
    </row>
    <row r="1628" spans="1:9" ht="65.099999999999994" customHeight="1">
      <c r="A1628" s="1" t="str">
        <f>"Chemistry 5702"</f>
        <v>Chemistry 5702</v>
      </c>
      <c r="B1628" t="s">
        <v>4061</v>
      </c>
      <c r="C1628" t="s">
        <v>128</v>
      </c>
      <c r="D1628" s="2">
        <v>17500</v>
      </c>
      <c r="E1628" s="2">
        <v>12250</v>
      </c>
      <c r="F1628" t="s">
        <v>5</v>
      </c>
      <c r="G1628" t="s">
        <v>4062</v>
      </c>
      <c r="H1628" t="s">
        <v>2151</v>
      </c>
      <c r="I1628">
        <v>203.6842</v>
      </c>
    </row>
    <row r="1629" spans="1:9" ht="47.7" customHeight="1">
      <c r="A1629" s="1" t="str">
        <f>"Chemistry 5703"</f>
        <v>Chemistry 5703</v>
      </c>
      <c r="B1629" t="s">
        <v>4063</v>
      </c>
      <c r="C1629" t="s">
        <v>128</v>
      </c>
      <c r="D1629" s="2">
        <v>17500</v>
      </c>
      <c r="E1629" s="2">
        <v>12250</v>
      </c>
      <c r="F1629" t="s">
        <v>5</v>
      </c>
      <c r="G1629" t="s">
        <v>4064</v>
      </c>
      <c r="H1629" t="s">
        <v>1043</v>
      </c>
      <c r="I1629">
        <v>189.65762000000001</v>
      </c>
    </row>
    <row r="1630" spans="1:9" ht="75.75" customHeight="1">
      <c r="A1630" s="1" t="str">
        <f>"Chemistry 5704"</f>
        <v>Chemistry 5704</v>
      </c>
      <c r="B1630" t="s">
        <v>4065</v>
      </c>
      <c r="C1630" t="s">
        <v>128</v>
      </c>
      <c r="D1630" s="2">
        <v>17500</v>
      </c>
      <c r="E1630" s="2">
        <v>12250</v>
      </c>
      <c r="F1630" t="s">
        <v>5</v>
      </c>
      <c r="G1630" t="s">
        <v>4066</v>
      </c>
      <c r="H1630" t="s">
        <v>2202</v>
      </c>
      <c r="I1630">
        <v>239.66512</v>
      </c>
    </row>
    <row r="1631" spans="1:9" ht="75.75" customHeight="1">
      <c r="A1631" s="1" t="str">
        <f>"Chemistry 5705"</f>
        <v>Chemistry 5705</v>
      </c>
      <c r="B1631" t="s">
        <v>4067</v>
      </c>
      <c r="C1631" t="s">
        <v>128</v>
      </c>
      <c r="D1631" s="2">
        <v>24500</v>
      </c>
      <c r="E1631" s="2">
        <v>17150</v>
      </c>
      <c r="F1631" t="s">
        <v>5</v>
      </c>
      <c r="G1631" t="s">
        <v>4068</v>
      </c>
      <c r="H1631" t="s">
        <v>4013</v>
      </c>
      <c r="I1631">
        <v>237.72854000000001</v>
      </c>
    </row>
    <row r="1632" spans="1:9" ht="73.05" customHeight="1">
      <c r="A1632" s="1" t="str">
        <f>"Chemistry 5706"</f>
        <v>Chemistry 5706</v>
      </c>
      <c r="B1632" t="s">
        <v>4069</v>
      </c>
      <c r="C1632" t="s">
        <v>128</v>
      </c>
      <c r="D1632" s="2">
        <v>24500</v>
      </c>
      <c r="E1632" s="2">
        <v>17150</v>
      </c>
      <c r="F1632" t="s">
        <v>5</v>
      </c>
      <c r="G1632" t="s">
        <v>4070</v>
      </c>
      <c r="H1632" t="s">
        <v>4016</v>
      </c>
      <c r="I1632">
        <v>255.71899999999999</v>
      </c>
    </row>
    <row r="1633" spans="1:9" ht="67.95" customHeight="1">
      <c r="A1633" s="1" t="str">
        <f>"Chemistry 5707"</f>
        <v>Chemistry 5707</v>
      </c>
      <c r="B1633" t="s">
        <v>4071</v>
      </c>
      <c r="C1633" t="s">
        <v>128</v>
      </c>
      <c r="D1633" s="2">
        <v>28000</v>
      </c>
      <c r="E1633" s="2">
        <v>16800</v>
      </c>
      <c r="F1633" t="s">
        <v>5</v>
      </c>
      <c r="G1633" t="s">
        <v>4072</v>
      </c>
      <c r="H1633" t="s">
        <v>4038</v>
      </c>
      <c r="I1633">
        <v>229.60243</v>
      </c>
    </row>
    <row r="1634" spans="1:9" ht="83.1" customHeight="1">
      <c r="A1634" s="1" t="str">
        <f>"Chemistry 5708"</f>
        <v>Chemistry 5708</v>
      </c>
      <c r="B1634" t="s">
        <v>4073</v>
      </c>
      <c r="C1634" t="s">
        <v>270</v>
      </c>
      <c r="D1634" s="2">
        <v>31500</v>
      </c>
      <c r="E1634" s="2">
        <v>18900</v>
      </c>
      <c r="F1634" t="s">
        <v>5</v>
      </c>
      <c r="G1634" t="s">
        <v>4074</v>
      </c>
      <c r="H1634" t="s">
        <v>2303</v>
      </c>
      <c r="I1634">
        <v>235.15343999999999</v>
      </c>
    </row>
    <row r="1635" spans="1:9" ht="75.3" customHeight="1">
      <c r="A1635" s="1" t="str">
        <f>"Chemistry 5709"</f>
        <v>Chemistry 5709</v>
      </c>
      <c r="B1635" t="s">
        <v>4075</v>
      </c>
      <c r="C1635" t="s">
        <v>270</v>
      </c>
      <c r="D1635" s="2">
        <v>31500</v>
      </c>
      <c r="E1635" s="2">
        <v>18900</v>
      </c>
      <c r="F1635" t="s">
        <v>5</v>
      </c>
      <c r="G1635" t="s">
        <v>4076</v>
      </c>
      <c r="H1635" t="s">
        <v>2303</v>
      </c>
      <c r="I1635">
        <v>235.15343999999999</v>
      </c>
    </row>
    <row r="1636" spans="1:9" ht="67.349999999999994" customHeight="1">
      <c r="A1636" s="1" t="str">
        <f>"Chemistry 5710"</f>
        <v>Chemistry 5710</v>
      </c>
      <c r="B1636" t="s">
        <v>4077</v>
      </c>
      <c r="C1636" t="s">
        <v>270</v>
      </c>
      <c r="D1636" s="2">
        <v>31500</v>
      </c>
      <c r="E1636" s="2">
        <v>18900</v>
      </c>
      <c r="F1636" t="s">
        <v>5</v>
      </c>
      <c r="G1636" t="s">
        <v>4078</v>
      </c>
      <c r="H1636" t="s">
        <v>2303</v>
      </c>
      <c r="I1636">
        <v>235.15343999999999</v>
      </c>
    </row>
    <row r="1637" spans="1:9" ht="51.6" customHeight="1">
      <c r="A1637" s="1" t="str">
        <f>"Chemistry 5711"</f>
        <v>Chemistry 5711</v>
      </c>
      <c r="B1637" t="s">
        <v>4079</v>
      </c>
      <c r="C1637" t="s">
        <v>270</v>
      </c>
      <c r="D1637" s="2">
        <v>31500</v>
      </c>
      <c r="E1637" s="2">
        <v>18900</v>
      </c>
      <c r="F1637" t="s">
        <v>5</v>
      </c>
      <c r="G1637" t="s">
        <v>4080</v>
      </c>
      <c r="H1637" t="s">
        <v>2303</v>
      </c>
      <c r="I1637">
        <v>235.15343999999999</v>
      </c>
    </row>
    <row r="1638" spans="1:9" ht="67.349999999999994" customHeight="1">
      <c r="A1638" s="1" t="str">
        <f>"Chemistry 5712"</f>
        <v>Chemistry 5712</v>
      </c>
      <c r="B1638" t="s">
        <v>4081</v>
      </c>
      <c r="C1638" t="s">
        <v>270</v>
      </c>
      <c r="D1638" s="2">
        <v>31500</v>
      </c>
      <c r="E1638" s="2">
        <v>18900</v>
      </c>
      <c r="F1638" t="s">
        <v>5</v>
      </c>
      <c r="G1638" t="s">
        <v>4082</v>
      </c>
      <c r="H1638" t="s">
        <v>2303</v>
      </c>
      <c r="I1638">
        <v>235.15343999999999</v>
      </c>
    </row>
    <row r="1639" spans="1:9" ht="51.6" customHeight="1">
      <c r="A1639" s="1" t="str">
        <f>"Chemistry 5714"</f>
        <v>Chemistry 5714</v>
      </c>
      <c r="B1639" t="s">
        <v>4083</v>
      </c>
      <c r="C1639" t="s">
        <v>270</v>
      </c>
      <c r="D1639" s="2">
        <v>31500</v>
      </c>
      <c r="E1639" s="2">
        <v>18900</v>
      </c>
      <c r="F1639" t="s">
        <v>5</v>
      </c>
      <c r="G1639" t="s">
        <v>4084</v>
      </c>
      <c r="H1639" t="s">
        <v>2303</v>
      </c>
      <c r="I1639">
        <v>235.15343999999999</v>
      </c>
    </row>
    <row r="1640" spans="1:9" ht="67.95" customHeight="1">
      <c r="A1640" s="1" t="str">
        <f>"Chemistry 5715"</f>
        <v>Chemistry 5715</v>
      </c>
      <c r="B1640" t="s">
        <v>4085</v>
      </c>
      <c r="C1640" t="s">
        <v>270</v>
      </c>
      <c r="D1640" s="2">
        <v>31500</v>
      </c>
      <c r="E1640" s="2">
        <v>18900</v>
      </c>
      <c r="F1640" t="s">
        <v>5</v>
      </c>
      <c r="G1640" t="s">
        <v>4086</v>
      </c>
      <c r="H1640" t="s">
        <v>2303</v>
      </c>
      <c r="I1640">
        <v>235.15343999999999</v>
      </c>
    </row>
    <row r="1641" spans="1:9" ht="67.95" customHeight="1">
      <c r="A1641" s="1" t="str">
        <f>"Chemistry 5716"</f>
        <v>Chemistry 5716</v>
      </c>
      <c r="B1641" t="s">
        <v>4087</v>
      </c>
      <c r="C1641" t="s">
        <v>270</v>
      </c>
      <c r="D1641" s="2">
        <v>31500</v>
      </c>
      <c r="E1641" s="2">
        <v>18900</v>
      </c>
      <c r="F1641" t="s">
        <v>5</v>
      </c>
      <c r="G1641" t="s">
        <v>4088</v>
      </c>
      <c r="H1641" t="s">
        <v>2303</v>
      </c>
      <c r="I1641">
        <v>235.15343999999999</v>
      </c>
    </row>
    <row r="1642" spans="1:9" ht="67.95" customHeight="1">
      <c r="A1642" s="1" t="str">
        <f>"Chemistry 5717"</f>
        <v>Chemistry 5717</v>
      </c>
      <c r="B1642" t="s">
        <v>4089</v>
      </c>
      <c r="C1642" t="s">
        <v>128</v>
      </c>
      <c r="D1642" s="2">
        <v>24500</v>
      </c>
      <c r="E1642" s="2">
        <v>17150</v>
      </c>
      <c r="F1642" t="s">
        <v>5</v>
      </c>
      <c r="G1642" t="s">
        <v>4090</v>
      </c>
      <c r="H1642" t="s">
        <v>1078</v>
      </c>
      <c r="I1642">
        <v>248.54732999999999</v>
      </c>
    </row>
    <row r="1643" spans="1:9" ht="52.2" customHeight="1">
      <c r="A1643" s="1" t="str">
        <f>"Chemistry 5718"</f>
        <v>Chemistry 5718</v>
      </c>
      <c r="B1643" t="s">
        <v>4091</v>
      </c>
      <c r="C1643" t="s">
        <v>128</v>
      </c>
      <c r="D1643" s="2">
        <v>24500</v>
      </c>
      <c r="E1643" s="2">
        <v>17150</v>
      </c>
      <c r="F1643" t="s">
        <v>5</v>
      </c>
      <c r="G1643" t="s">
        <v>4092</v>
      </c>
      <c r="H1643" t="s">
        <v>1078</v>
      </c>
      <c r="I1643">
        <v>248.54733999999999</v>
      </c>
    </row>
    <row r="1644" spans="1:9" ht="52.2" customHeight="1">
      <c r="A1644" s="1" t="str">
        <f>"Chemistry 5719"</f>
        <v>Chemistry 5719</v>
      </c>
      <c r="B1644" t="s">
        <v>4093</v>
      </c>
      <c r="C1644" t="s">
        <v>128</v>
      </c>
      <c r="D1644" s="2">
        <v>24500</v>
      </c>
      <c r="E1644" s="2">
        <v>17150</v>
      </c>
      <c r="F1644" t="s">
        <v>5</v>
      </c>
      <c r="G1644" t="s">
        <v>4094</v>
      </c>
      <c r="H1644" t="s">
        <v>1078</v>
      </c>
      <c r="I1644">
        <v>248.54732999999999</v>
      </c>
    </row>
    <row r="1645" spans="1:9" ht="67.95" customHeight="1">
      <c r="A1645" s="1" t="str">
        <f>"Chemistry 5720"</f>
        <v>Chemistry 5720</v>
      </c>
      <c r="B1645" t="s">
        <v>4095</v>
      </c>
      <c r="C1645" t="s">
        <v>128</v>
      </c>
      <c r="D1645" s="2">
        <v>24500</v>
      </c>
      <c r="E1645" s="2">
        <v>17150</v>
      </c>
      <c r="F1645" t="s">
        <v>5</v>
      </c>
      <c r="G1645" t="s">
        <v>4096</v>
      </c>
      <c r="H1645" t="s">
        <v>1078</v>
      </c>
      <c r="I1645">
        <v>248.54733999999999</v>
      </c>
    </row>
    <row r="1646" spans="1:9" ht="74.7" customHeight="1">
      <c r="A1646" s="1" t="str">
        <f>"Chemistry 5725"</f>
        <v>Chemistry 5725</v>
      </c>
      <c r="B1646" t="s">
        <v>4097</v>
      </c>
      <c r="C1646" t="s">
        <v>270</v>
      </c>
      <c r="D1646" s="2">
        <v>52500</v>
      </c>
      <c r="E1646" s="2">
        <v>31500</v>
      </c>
      <c r="F1646" t="s">
        <v>5</v>
      </c>
      <c r="G1646" t="s">
        <v>4098</v>
      </c>
      <c r="H1646" t="s">
        <v>3909</v>
      </c>
      <c r="I1646">
        <v>256.17266000000001</v>
      </c>
    </row>
    <row r="1647" spans="1:9" ht="83.7" customHeight="1">
      <c r="A1647" s="1" t="str">
        <f>"Chemistry 5727"</f>
        <v>Chemistry 5727</v>
      </c>
      <c r="B1647" t="s">
        <v>4099</v>
      </c>
      <c r="C1647" t="s">
        <v>128</v>
      </c>
      <c r="D1647" s="2">
        <v>17500</v>
      </c>
      <c r="E1647" s="2">
        <v>12250</v>
      </c>
      <c r="F1647" t="s">
        <v>5</v>
      </c>
      <c r="G1647" t="s">
        <v>4100</v>
      </c>
      <c r="H1647" t="s">
        <v>1043</v>
      </c>
      <c r="I1647">
        <v>189.65762000000001</v>
      </c>
    </row>
    <row r="1648" spans="1:9" ht="106.2" customHeight="1">
      <c r="A1648" s="1" t="str">
        <f>"Chemistry 5736"</f>
        <v>Chemistry 5736</v>
      </c>
      <c r="B1648" t="s">
        <v>4101</v>
      </c>
      <c r="C1648" t="s">
        <v>128</v>
      </c>
      <c r="D1648" s="2">
        <v>24500</v>
      </c>
      <c r="E1648" s="2">
        <v>17150</v>
      </c>
      <c r="F1648" t="s">
        <v>5</v>
      </c>
      <c r="G1648" t="s">
        <v>4102</v>
      </c>
      <c r="H1648" t="s">
        <v>4016</v>
      </c>
      <c r="I1648">
        <v>255.71899999999999</v>
      </c>
    </row>
    <row r="1649" spans="1:9" ht="61.8" customHeight="1">
      <c r="A1649" s="1" t="str">
        <f>"Chemistry 5737"</f>
        <v>Chemistry 5737</v>
      </c>
      <c r="B1649" t="s">
        <v>4103</v>
      </c>
      <c r="C1649" t="s">
        <v>270</v>
      </c>
      <c r="D1649" s="2">
        <v>35000</v>
      </c>
      <c r="E1649" s="2">
        <v>21000</v>
      </c>
      <c r="F1649" t="s">
        <v>5</v>
      </c>
      <c r="G1649" t="s">
        <v>4104</v>
      </c>
      <c r="H1649" t="s">
        <v>3435</v>
      </c>
      <c r="I1649">
        <v>313.24381</v>
      </c>
    </row>
    <row r="1650" spans="1:9" ht="94.95" customHeight="1">
      <c r="A1650" s="1" t="str">
        <f>"Chemistry 5742"</f>
        <v>Chemistry 5742</v>
      </c>
      <c r="B1650" t="s">
        <v>4106</v>
      </c>
      <c r="C1650" t="s">
        <v>3</v>
      </c>
      <c r="D1650" s="2">
        <v>38500</v>
      </c>
      <c r="E1650" s="2">
        <v>23100</v>
      </c>
      <c r="F1650" t="s">
        <v>5</v>
      </c>
      <c r="G1650" t="s">
        <v>4107</v>
      </c>
      <c r="H1650" t="s">
        <v>4108</v>
      </c>
      <c r="I1650">
        <v>259.75234999999998</v>
      </c>
    </row>
    <row r="1651" spans="1:9" ht="67.349999999999994" customHeight="1">
      <c r="A1651" s="1" t="str">
        <f>"Chemistry 5745"</f>
        <v>Chemistry 5745</v>
      </c>
      <c r="B1651" t="s">
        <v>4110</v>
      </c>
      <c r="C1651" t="s">
        <v>128</v>
      </c>
      <c r="D1651" s="2">
        <v>29800</v>
      </c>
      <c r="E1651" s="2">
        <v>17880</v>
      </c>
      <c r="F1651" t="s">
        <v>5</v>
      </c>
      <c r="G1651" t="s">
        <v>4111</v>
      </c>
      <c r="H1651" t="s">
        <v>2970</v>
      </c>
      <c r="I1651">
        <v>187.66985</v>
      </c>
    </row>
    <row r="1652" spans="1:9" ht="66.75" customHeight="1">
      <c r="A1652" s="1" t="str">
        <f>"Chemistry 5746"</f>
        <v>Chemistry 5746</v>
      </c>
      <c r="B1652" t="s">
        <v>4112</v>
      </c>
      <c r="C1652" t="s">
        <v>128</v>
      </c>
      <c r="D1652" s="2">
        <v>29800</v>
      </c>
      <c r="E1652" s="2">
        <v>17880</v>
      </c>
      <c r="F1652" t="s">
        <v>5</v>
      </c>
      <c r="G1652" t="s">
        <v>4113</v>
      </c>
      <c r="H1652" t="s">
        <v>3197</v>
      </c>
      <c r="I1652">
        <v>201.69644</v>
      </c>
    </row>
    <row r="1653" spans="1:9" ht="67.95" customHeight="1">
      <c r="A1653" s="1" t="str">
        <f>"Chemistry 5747"</f>
        <v>Chemistry 5747</v>
      </c>
      <c r="B1653" t="s">
        <v>4114</v>
      </c>
      <c r="C1653" t="s">
        <v>3</v>
      </c>
      <c r="D1653" s="2">
        <v>26300</v>
      </c>
      <c r="E1653" s="2">
        <v>15780</v>
      </c>
      <c r="F1653" t="s">
        <v>5</v>
      </c>
      <c r="G1653" t="s">
        <v>4115</v>
      </c>
      <c r="H1653" t="s">
        <v>4116</v>
      </c>
      <c r="I1653">
        <v>206.19800000000001</v>
      </c>
    </row>
    <row r="1654" spans="1:9" ht="72.45" customHeight="1">
      <c r="A1654" s="1" t="str">
        <f>"Chemistry 5748"</f>
        <v>Chemistry 5748</v>
      </c>
      <c r="B1654" t="s">
        <v>4117</v>
      </c>
      <c r="C1654" t="s">
        <v>3</v>
      </c>
      <c r="D1654" s="2">
        <v>26300</v>
      </c>
      <c r="E1654" s="2">
        <v>15780</v>
      </c>
      <c r="F1654" t="s">
        <v>5</v>
      </c>
      <c r="G1654" t="s">
        <v>4118</v>
      </c>
      <c r="H1654" t="s">
        <v>4119</v>
      </c>
      <c r="I1654">
        <v>220.22458</v>
      </c>
    </row>
    <row r="1655" spans="1:9" ht="83.1" customHeight="1">
      <c r="A1655" s="1" t="str">
        <f>"Chemistry 5749"</f>
        <v>Chemistry 5749</v>
      </c>
      <c r="B1655" t="s">
        <v>4120</v>
      </c>
      <c r="C1655" t="s">
        <v>3</v>
      </c>
      <c r="D1655" s="2">
        <v>26300</v>
      </c>
      <c r="E1655" s="2">
        <v>15780</v>
      </c>
      <c r="F1655" t="s">
        <v>5</v>
      </c>
      <c r="G1655" t="s">
        <v>4121</v>
      </c>
      <c r="H1655" t="s">
        <v>4122</v>
      </c>
      <c r="I1655">
        <v>256.27828</v>
      </c>
    </row>
    <row r="1656" spans="1:9" ht="106.2" customHeight="1">
      <c r="A1656" s="1" t="str">
        <f>"Chemistry 5751"</f>
        <v>Chemistry 5751</v>
      </c>
      <c r="B1656" t="s">
        <v>4123</v>
      </c>
      <c r="C1656" t="s">
        <v>3</v>
      </c>
      <c r="D1656" s="2">
        <v>28000</v>
      </c>
      <c r="E1656" s="2">
        <v>16800</v>
      </c>
      <c r="F1656" t="s">
        <v>5</v>
      </c>
      <c r="G1656" t="s">
        <v>4124</v>
      </c>
      <c r="H1656" t="s">
        <v>2537</v>
      </c>
      <c r="I1656">
        <v>337.38585999999998</v>
      </c>
    </row>
    <row r="1657" spans="1:9" ht="68.55" customHeight="1">
      <c r="A1657" s="1" t="str">
        <f>"Chemistry 5755"</f>
        <v>Chemistry 5755</v>
      </c>
      <c r="B1657" t="s">
        <v>4125</v>
      </c>
      <c r="C1657" t="s">
        <v>128</v>
      </c>
      <c r="D1657" s="2">
        <v>22800</v>
      </c>
      <c r="E1657" s="2">
        <v>15959.999999999998</v>
      </c>
      <c r="F1657" t="s">
        <v>5</v>
      </c>
      <c r="G1657" t="s">
        <v>4126</v>
      </c>
      <c r="H1657" t="s">
        <v>2969</v>
      </c>
      <c r="I1657">
        <v>191.65854999999999</v>
      </c>
    </row>
    <row r="1658" spans="1:9" ht="84.3" customHeight="1">
      <c r="A1658" s="1" t="str">
        <f>"Chemistry 5756"</f>
        <v>Chemistry 5756</v>
      </c>
      <c r="B1658" t="s">
        <v>4127</v>
      </c>
      <c r="C1658" t="s">
        <v>128</v>
      </c>
      <c r="D1658" s="2">
        <v>22800</v>
      </c>
      <c r="E1658" s="2">
        <v>15959.999999999998</v>
      </c>
      <c r="F1658" t="s">
        <v>5</v>
      </c>
      <c r="G1658" t="s">
        <v>4128</v>
      </c>
      <c r="H1658" t="s">
        <v>3283</v>
      </c>
      <c r="I1658">
        <v>189.68573000000001</v>
      </c>
    </row>
    <row r="1659" spans="1:9" ht="94.95" customHeight="1">
      <c r="A1659" s="1" t="str">
        <f>"Chemistry 5762"</f>
        <v>Chemistry 5762</v>
      </c>
      <c r="B1659" t="s">
        <v>4130</v>
      </c>
      <c r="C1659" t="s">
        <v>128</v>
      </c>
      <c r="D1659" s="2">
        <v>38500</v>
      </c>
      <c r="E1659" s="2">
        <v>23100</v>
      </c>
      <c r="F1659" t="s">
        <v>5</v>
      </c>
      <c r="G1659" t="s">
        <v>4131</v>
      </c>
      <c r="H1659" t="s">
        <v>4105</v>
      </c>
      <c r="I1659">
        <v>296.21328999999997</v>
      </c>
    </row>
    <row r="1660" spans="1:9" ht="88.2" customHeight="1">
      <c r="A1660" s="1" t="str">
        <f>"Chemistry 5763"</f>
        <v>Chemistry 5763</v>
      </c>
      <c r="B1660" t="s">
        <v>4132</v>
      </c>
      <c r="C1660" t="s">
        <v>128</v>
      </c>
      <c r="D1660" s="2">
        <v>29800</v>
      </c>
      <c r="E1660" s="2">
        <v>17880</v>
      </c>
      <c r="F1660" t="s">
        <v>5</v>
      </c>
      <c r="G1660" t="s">
        <v>4133</v>
      </c>
      <c r="H1660" t="s">
        <v>4134</v>
      </c>
      <c r="I1660">
        <v>268.71776</v>
      </c>
    </row>
    <row r="1661" spans="1:9" ht="85.95" customHeight="1">
      <c r="A1661" s="1" t="str">
        <f>"Chemistry 5764"</f>
        <v>Chemistry 5764</v>
      </c>
      <c r="B1661" t="s">
        <v>4135</v>
      </c>
      <c r="C1661" t="s">
        <v>128</v>
      </c>
      <c r="D1661" s="2">
        <v>29800</v>
      </c>
      <c r="E1661" s="2">
        <v>17880</v>
      </c>
      <c r="F1661" t="s">
        <v>5</v>
      </c>
      <c r="G1661" t="s">
        <v>4136</v>
      </c>
      <c r="H1661" t="s">
        <v>4134</v>
      </c>
      <c r="I1661">
        <v>268.71776</v>
      </c>
    </row>
    <row r="1662" spans="1:9" ht="74.7" customHeight="1">
      <c r="A1662" s="1" t="str">
        <f>"Chemistry 5766"</f>
        <v>Chemistry 5766</v>
      </c>
      <c r="B1662" t="s">
        <v>4137</v>
      </c>
      <c r="C1662" t="s">
        <v>128</v>
      </c>
      <c r="D1662" s="2">
        <v>29800</v>
      </c>
      <c r="E1662" s="2">
        <v>17880</v>
      </c>
      <c r="F1662" t="s">
        <v>5</v>
      </c>
      <c r="G1662" t="s">
        <v>4138</v>
      </c>
      <c r="H1662" t="s">
        <v>4139</v>
      </c>
      <c r="I1662">
        <v>213.70714000000001</v>
      </c>
    </row>
    <row r="1663" spans="1:9" ht="93.3" customHeight="1">
      <c r="A1663" s="1" t="str">
        <f>"Chemistry 5768"</f>
        <v>Chemistry 5768</v>
      </c>
      <c r="B1663" t="s">
        <v>4140</v>
      </c>
      <c r="C1663" t="s">
        <v>3</v>
      </c>
      <c r="D1663" s="2">
        <v>33300</v>
      </c>
      <c r="E1663" s="2">
        <v>19980</v>
      </c>
      <c r="F1663" t="s">
        <v>5</v>
      </c>
      <c r="G1663" t="s">
        <v>4141</v>
      </c>
      <c r="H1663" t="s">
        <v>264</v>
      </c>
      <c r="I1663">
        <v>294.36442</v>
      </c>
    </row>
    <row r="1664" spans="1:9" ht="106.2" customHeight="1">
      <c r="A1664" s="1" t="str">
        <f>"Chemistry 5770"</f>
        <v>Chemistry 5770</v>
      </c>
      <c r="B1664" t="s">
        <v>4142</v>
      </c>
      <c r="C1664" t="s">
        <v>3</v>
      </c>
      <c r="D1664" s="2">
        <v>33300</v>
      </c>
      <c r="E1664" s="2">
        <v>19980</v>
      </c>
      <c r="F1664" t="s">
        <v>5</v>
      </c>
      <c r="G1664" t="s">
        <v>4143</v>
      </c>
      <c r="H1664" t="s">
        <v>264</v>
      </c>
      <c r="I1664">
        <v>294.36442</v>
      </c>
    </row>
    <row r="1665" spans="1:9" ht="106.2" customHeight="1">
      <c r="A1665" s="1" t="str">
        <f>"Chemistry 5773"</f>
        <v>Chemistry 5773</v>
      </c>
      <c r="B1665" t="s">
        <v>4144</v>
      </c>
      <c r="C1665" t="s">
        <v>3</v>
      </c>
      <c r="D1665" s="2">
        <v>31500</v>
      </c>
      <c r="E1665" s="2">
        <v>18900</v>
      </c>
      <c r="F1665" t="s">
        <v>5</v>
      </c>
      <c r="G1665" t="s">
        <v>4145</v>
      </c>
      <c r="H1665" t="s">
        <v>4146</v>
      </c>
      <c r="I1665">
        <v>305.36881</v>
      </c>
    </row>
    <row r="1666" spans="1:9" ht="100.05" customHeight="1">
      <c r="A1666" s="1" t="str">
        <f>"Chemistry 5775"</f>
        <v>Chemistry 5775</v>
      </c>
      <c r="B1666" t="s">
        <v>4147</v>
      </c>
      <c r="C1666" t="s">
        <v>128</v>
      </c>
      <c r="D1666" s="2">
        <v>21000</v>
      </c>
      <c r="E1666" s="2">
        <v>14699.999999999998</v>
      </c>
      <c r="F1666" t="s">
        <v>5</v>
      </c>
      <c r="G1666" t="s">
        <v>4148</v>
      </c>
      <c r="H1666" t="s">
        <v>2397</v>
      </c>
      <c r="I1666">
        <v>241.69242</v>
      </c>
    </row>
    <row r="1667" spans="1:9" ht="89.85" customHeight="1">
      <c r="A1667" s="1" t="str">
        <f>"Chemistry 5776"</f>
        <v>Chemistry 5776</v>
      </c>
      <c r="B1667" t="s">
        <v>4149</v>
      </c>
      <c r="C1667" t="s">
        <v>128</v>
      </c>
      <c r="D1667" s="2">
        <v>21000</v>
      </c>
      <c r="E1667" s="2">
        <v>14699.999999999998</v>
      </c>
      <c r="F1667" t="s">
        <v>5</v>
      </c>
      <c r="G1667" t="s">
        <v>4150</v>
      </c>
      <c r="H1667" t="s">
        <v>2397</v>
      </c>
      <c r="I1667">
        <v>241.69242</v>
      </c>
    </row>
    <row r="1668" spans="1:9" ht="94.95" customHeight="1">
      <c r="A1668" s="1" t="str">
        <f>"Chemistry 5779"</f>
        <v>Chemistry 5779</v>
      </c>
      <c r="B1668" t="s">
        <v>4151</v>
      </c>
      <c r="C1668" t="s">
        <v>3</v>
      </c>
      <c r="D1668" s="2">
        <v>35000</v>
      </c>
      <c r="E1668" s="2">
        <v>21000</v>
      </c>
      <c r="F1668" t="s">
        <v>5</v>
      </c>
      <c r="G1668" t="s">
        <v>4152</v>
      </c>
      <c r="H1668" t="s">
        <v>4129</v>
      </c>
      <c r="I1668">
        <v>272.29262</v>
      </c>
    </row>
    <row r="1669" spans="1:9" ht="94.95" customHeight="1">
      <c r="A1669" s="1" t="str">
        <f>"Chemistry 5780"</f>
        <v>Chemistry 5780</v>
      </c>
      <c r="B1669" t="s">
        <v>4153</v>
      </c>
      <c r="C1669" t="s">
        <v>3</v>
      </c>
      <c r="D1669" s="2">
        <v>35000</v>
      </c>
      <c r="E1669" s="2">
        <v>21000</v>
      </c>
      <c r="F1669" t="s">
        <v>5</v>
      </c>
      <c r="G1669" t="s">
        <v>4154</v>
      </c>
      <c r="H1669" t="s">
        <v>4129</v>
      </c>
      <c r="I1669">
        <v>272.29262</v>
      </c>
    </row>
    <row r="1670" spans="1:9" ht="80.849999999999994" customHeight="1">
      <c r="A1670" s="1" t="str">
        <f>"Chemistry 5783"</f>
        <v>Chemistry 5783</v>
      </c>
      <c r="B1670" t="s">
        <v>4155</v>
      </c>
      <c r="C1670" t="s">
        <v>128</v>
      </c>
      <c r="D1670" s="2">
        <v>28000</v>
      </c>
      <c r="E1670" s="2">
        <v>16800</v>
      </c>
      <c r="F1670" t="s">
        <v>5</v>
      </c>
      <c r="G1670" t="s">
        <v>4156</v>
      </c>
      <c r="H1670" t="s">
        <v>3390</v>
      </c>
      <c r="I1670">
        <v>310.23988000000003</v>
      </c>
    </row>
    <row r="1671" spans="1:9" ht="97.2" customHeight="1">
      <c r="A1671" s="1" t="str">
        <f>"Chemistry 5784"</f>
        <v>Chemistry 5784</v>
      </c>
      <c r="B1671" t="s">
        <v>4157</v>
      </c>
      <c r="C1671" t="s">
        <v>128</v>
      </c>
      <c r="D1671" s="2">
        <v>29800</v>
      </c>
      <c r="E1671" s="2">
        <v>17880</v>
      </c>
      <c r="F1671" t="s">
        <v>5</v>
      </c>
      <c r="G1671" t="s">
        <v>4158</v>
      </c>
      <c r="H1671" t="s">
        <v>4134</v>
      </c>
      <c r="I1671">
        <v>268.71776</v>
      </c>
    </row>
    <row r="1672" spans="1:9" ht="82.05" customHeight="1">
      <c r="A1672" s="1" t="str">
        <f>"Chemistry 5791"</f>
        <v>Chemistry 5791</v>
      </c>
      <c r="B1672" t="s">
        <v>4159</v>
      </c>
      <c r="C1672" t="s">
        <v>128</v>
      </c>
      <c r="D1672" s="2">
        <v>22800</v>
      </c>
      <c r="E1672" s="2">
        <v>15959.999999999998</v>
      </c>
      <c r="F1672" t="s">
        <v>5</v>
      </c>
      <c r="G1672" t="s">
        <v>4160</v>
      </c>
      <c r="H1672" t="s">
        <v>2970</v>
      </c>
      <c r="I1672">
        <v>187.66986</v>
      </c>
    </row>
    <row r="1673" spans="1:9" ht="83.7" customHeight="1">
      <c r="A1673" s="1" t="str">
        <f>"Chemistry 5792"</f>
        <v>Chemistry 5792</v>
      </c>
      <c r="B1673" t="s">
        <v>4161</v>
      </c>
      <c r="C1673" t="s">
        <v>128</v>
      </c>
      <c r="D1673" s="2">
        <v>22800</v>
      </c>
      <c r="E1673" s="2">
        <v>15959.999999999998</v>
      </c>
      <c r="F1673" t="s">
        <v>5</v>
      </c>
      <c r="G1673" t="s">
        <v>4162</v>
      </c>
      <c r="H1673" t="s">
        <v>3197</v>
      </c>
      <c r="I1673">
        <v>201.69644</v>
      </c>
    </row>
    <row r="1674" spans="1:9" ht="68.55" customHeight="1">
      <c r="A1674" s="1" t="str">
        <f>"Chemistry 5793"</f>
        <v>Chemistry 5793</v>
      </c>
      <c r="B1674" t="s">
        <v>4163</v>
      </c>
      <c r="C1674" t="s">
        <v>128</v>
      </c>
      <c r="D1674" s="2">
        <v>22800</v>
      </c>
      <c r="E1674" s="2">
        <v>15959.999999999998</v>
      </c>
      <c r="F1674" t="s">
        <v>5</v>
      </c>
      <c r="G1674" t="s">
        <v>4164</v>
      </c>
      <c r="H1674" t="s">
        <v>3017</v>
      </c>
      <c r="I1674">
        <v>175.65916000000001</v>
      </c>
    </row>
    <row r="1675" spans="1:9" ht="89.25" customHeight="1">
      <c r="A1675" s="1" t="str">
        <f>"Chemistry 5794"</f>
        <v>Chemistry 5794</v>
      </c>
      <c r="B1675" t="s">
        <v>4165</v>
      </c>
      <c r="C1675" t="s">
        <v>128</v>
      </c>
      <c r="D1675" s="2">
        <v>14000</v>
      </c>
      <c r="E1675" s="2">
        <v>9800</v>
      </c>
      <c r="F1675" t="s">
        <v>5</v>
      </c>
      <c r="G1675" t="s">
        <v>4166</v>
      </c>
      <c r="H1675" t="s">
        <v>4167</v>
      </c>
      <c r="I1675">
        <v>273.75580000000002</v>
      </c>
    </row>
    <row r="1676" spans="1:9" ht="67.95" customHeight="1">
      <c r="A1676" s="1" t="str">
        <f>"Chemistry 5801"</f>
        <v>Chemistry 5801</v>
      </c>
      <c r="B1676" t="s">
        <v>4168</v>
      </c>
      <c r="C1676" t="s">
        <v>3</v>
      </c>
      <c r="D1676" s="2">
        <v>26300</v>
      </c>
      <c r="E1676" s="2">
        <v>15780</v>
      </c>
      <c r="F1676" t="s">
        <v>5</v>
      </c>
      <c r="G1676" t="s">
        <v>4169</v>
      </c>
      <c r="H1676" t="s">
        <v>4116</v>
      </c>
      <c r="I1676">
        <v>206.19800000000001</v>
      </c>
    </row>
    <row r="1677" spans="1:9" ht="75.3" customHeight="1">
      <c r="A1677" s="1" t="str">
        <f>"Chemistry 5802"</f>
        <v>Chemistry 5802</v>
      </c>
      <c r="B1677" t="s">
        <v>4170</v>
      </c>
      <c r="C1677" t="s">
        <v>3</v>
      </c>
      <c r="D1677" s="2">
        <v>26300</v>
      </c>
      <c r="E1677" s="2">
        <v>15780</v>
      </c>
      <c r="F1677" t="s">
        <v>5</v>
      </c>
      <c r="G1677" t="s">
        <v>4171</v>
      </c>
      <c r="H1677" t="s">
        <v>3748</v>
      </c>
      <c r="I1677">
        <v>234.25116</v>
      </c>
    </row>
    <row r="1678" spans="1:9" ht="75.3" customHeight="1">
      <c r="A1678" s="1" t="str">
        <f>"Chemistry 5803"</f>
        <v>Chemistry 5803</v>
      </c>
      <c r="B1678" t="s">
        <v>4172</v>
      </c>
      <c r="C1678" t="s">
        <v>3</v>
      </c>
      <c r="D1678" s="2">
        <v>26300</v>
      </c>
      <c r="E1678" s="2">
        <v>15780</v>
      </c>
      <c r="F1678" t="s">
        <v>5</v>
      </c>
      <c r="G1678" t="s">
        <v>4173</v>
      </c>
      <c r="H1678" t="s">
        <v>3748</v>
      </c>
      <c r="I1678">
        <v>234.25116</v>
      </c>
    </row>
    <row r="1679" spans="1:9" ht="83.1" customHeight="1">
      <c r="A1679" s="1" t="str">
        <f>"Chemistry 5806"</f>
        <v>Chemistry 5806</v>
      </c>
      <c r="B1679" t="s">
        <v>4174</v>
      </c>
      <c r="C1679" t="s">
        <v>128</v>
      </c>
      <c r="D1679" s="2">
        <v>24500</v>
      </c>
      <c r="E1679" s="2">
        <v>17150</v>
      </c>
      <c r="F1679" t="s">
        <v>5</v>
      </c>
      <c r="G1679" t="s">
        <v>4175</v>
      </c>
      <c r="H1679" t="s">
        <v>2970</v>
      </c>
      <c r="I1679">
        <v>187.66986</v>
      </c>
    </row>
    <row r="1680" spans="1:9" ht="92.1" customHeight="1">
      <c r="A1680" s="1" t="str">
        <f>"Chemistry 5807"</f>
        <v>Chemistry 5807</v>
      </c>
      <c r="B1680" t="s">
        <v>4176</v>
      </c>
      <c r="C1680" t="s">
        <v>128</v>
      </c>
      <c r="D1680" s="2">
        <v>21000</v>
      </c>
      <c r="E1680" s="2">
        <v>14699.999999999998</v>
      </c>
      <c r="F1680" t="s">
        <v>5</v>
      </c>
      <c r="G1680" t="s">
        <v>4177</v>
      </c>
      <c r="H1680" t="s">
        <v>2397</v>
      </c>
      <c r="I1680">
        <v>241.69242</v>
      </c>
    </row>
    <row r="1681" spans="1:9" ht="106.2" customHeight="1">
      <c r="A1681" s="1" t="str">
        <f>"Chemistry 5810"</f>
        <v>Chemistry 5810</v>
      </c>
      <c r="B1681" t="s">
        <v>4178</v>
      </c>
      <c r="C1681" t="s">
        <v>128</v>
      </c>
      <c r="D1681" s="2">
        <v>29800</v>
      </c>
      <c r="E1681" s="2">
        <v>17880</v>
      </c>
      <c r="F1681" t="s">
        <v>5</v>
      </c>
      <c r="G1681" t="s">
        <v>4179</v>
      </c>
      <c r="H1681" t="s">
        <v>4109</v>
      </c>
      <c r="I1681">
        <v>250.72730000000001</v>
      </c>
    </row>
    <row r="1682" spans="1:9" ht="106.2" customHeight="1">
      <c r="A1682" s="1" t="str">
        <f>"Chemistry 5811"</f>
        <v>Chemistry 5811</v>
      </c>
      <c r="B1682" t="s">
        <v>4180</v>
      </c>
      <c r="C1682" t="s">
        <v>128</v>
      </c>
      <c r="D1682" s="2">
        <v>29800</v>
      </c>
      <c r="E1682" s="2">
        <v>17880</v>
      </c>
      <c r="F1682" t="s">
        <v>5</v>
      </c>
      <c r="G1682" t="s">
        <v>4181</v>
      </c>
      <c r="H1682" t="s">
        <v>4134</v>
      </c>
      <c r="I1682">
        <v>268.71776</v>
      </c>
    </row>
    <row r="1683" spans="1:9" ht="106.2" customHeight="1">
      <c r="A1683" s="1" t="str">
        <f>"Chemistry 5812"</f>
        <v>Chemistry 5812</v>
      </c>
      <c r="B1683" t="s">
        <v>4182</v>
      </c>
      <c r="C1683" t="s">
        <v>128</v>
      </c>
      <c r="D1683" s="2">
        <v>29800</v>
      </c>
      <c r="E1683" s="2">
        <v>17880</v>
      </c>
      <c r="F1683" t="s">
        <v>5</v>
      </c>
      <c r="G1683" t="s">
        <v>4183</v>
      </c>
      <c r="H1683" t="s">
        <v>4134</v>
      </c>
      <c r="I1683">
        <v>268.71776</v>
      </c>
    </row>
    <row r="1684" spans="1:9" ht="106.2" customHeight="1">
      <c r="A1684" s="1" t="str">
        <f>"Chemistry 5813"</f>
        <v>Chemistry 5813</v>
      </c>
      <c r="B1684" t="s">
        <v>4184</v>
      </c>
      <c r="C1684" t="s">
        <v>128</v>
      </c>
      <c r="D1684" s="2">
        <v>29800</v>
      </c>
      <c r="E1684" s="2">
        <v>17880</v>
      </c>
      <c r="F1684" t="s">
        <v>5</v>
      </c>
      <c r="G1684" t="s">
        <v>4185</v>
      </c>
      <c r="H1684" t="s">
        <v>4134</v>
      </c>
      <c r="I1684">
        <v>268.71776</v>
      </c>
    </row>
    <row r="1685" spans="1:9" ht="72.45" customHeight="1">
      <c r="A1685" s="1" t="str">
        <f>"Chemistry 5814"</f>
        <v>Chemistry 5814</v>
      </c>
      <c r="B1685" t="s">
        <v>4186</v>
      </c>
      <c r="C1685" t="s">
        <v>3</v>
      </c>
      <c r="D1685" s="2">
        <v>26300</v>
      </c>
      <c r="E1685" s="2">
        <v>15780</v>
      </c>
      <c r="F1685" t="s">
        <v>5</v>
      </c>
      <c r="G1685" t="s">
        <v>4187</v>
      </c>
      <c r="H1685" t="s">
        <v>4119</v>
      </c>
      <c r="I1685">
        <v>220.22458</v>
      </c>
    </row>
    <row r="1686" spans="1:9" ht="67.95" customHeight="1">
      <c r="A1686" s="1" t="str">
        <f>"Chemistry 5816"</f>
        <v>Chemistry 5816</v>
      </c>
      <c r="B1686" t="s">
        <v>4188</v>
      </c>
      <c r="C1686" t="s">
        <v>3</v>
      </c>
      <c r="D1686" s="2">
        <v>26300</v>
      </c>
      <c r="E1686" s="2">
        <v>15780</v>
      </c>
      <c r="F1686" t="s">
        <v>5</v>
      </c>
      <c r="G1686" t="s">
        <v>4189</v>
      </c>
      <c r="H1686" t="s">
        <v>4116</v>
      </c>
      <c r="I1686">
        <v>206.19800000000001</v>
      </c>
    </row>
    <row r="1687" spans="1:9" ht="75.3" customHeight="1">
      <c r="A1687" s="1" t="str">
        <f>"Chemistry 5817"</f>
        <v>Chemistry 5817</v>
      </c>
      <c r="B1687" t="s">
        <v>4190</v>
      </c>
      <c r="C1687" t="s">
        <v>3</v>
      </c>
      <c r="D1687" s="2">
        <v>26300</v>
      </c>
      <c r="E1687" s="2">
        <v>15780</v>
      </c>
      <c r="F1687" t="s">
        <v>5</v>
      </c>
      <c r="G1687" t="s">
        <v>4191</v>
      </c>
      <c r="H1687" t="s">
        <v>3748</v>
      </c>
      <c r="I1687">
        <v>234.25116</v>
      </c>
    </row>
    <row r="1688" spans="1:9" ht="83.1" customHeight="1">
      <c r="A1688" s="1" t="str">
        <f>"Chemistry 5818"</f>
        <v>Chemistry 5818</v>
      </c>
      <c r="B1688" t="s">
        <v>4192</v>
      </c>
      <c r="C1688" t="s">
        <v>3</v>
      </c>
      <c r="D1688" s="2">
        <v>26300</v>
      </c>
      <c r="E1688" s="2">
        <v>15780</v>
      </c>
      <c r="F1688" t="s">
        <v>5</v>
      </c>
      <c r="G1688" t="s">
        <v>4193</v>
      </c>
      <c r="H1688" t="s">
        <v>4122</v>
      </c>
      <c r="I1688">
        <v>256.27828</v>
      </c>
    </row>
    <row r="1689" spans="1:9" ht="83.1" customHeight="1">
      <c r="A1689" s="1" t="str">
        <f>"Chemistry 5824"</f>
        <v>Chemistry 5824</v>
      </c>
      <c r="B1689" t="s">
        <v>4195</v>
      </c>
      <c r="C1689" t="s">
        <v>128</v>
      </c>
      <c r="D1689" s="2">
        <v>29800</v>
      </c>
      <c r="E1689" s="2">
        <v>17880</v>
      </c>
      <c r="F1689" t="s">
        <v>5</v>
      </c>
      <c r="G1689" t="s">
        <v>4196</v>
      </c>
      <c r="H1689" t="s">
        <v>4134</v>
      </c>
      <c r="I1689">
        <v>268.71776</v>
      </c>
    </row>
    <row r="1690" spans="1:9" ht="72.45" customHeight="1">
      <c r="A1690" s="1" t="str">
        <f>"Chemistry 5826"</f>
        <v>Chemistry 5826</v>
      </c>
      <c r="B1690" t="s">
        <v>4197</v>
      </c>
      <c r="C1690" t="s">
        <v>3</v>
      </c>
      <c r="D1690" s="2">
        <v>26300</v>
      </c>
      <c r="E1690" s="2">
        <v>15780</v>
      </c>
      <c r="F1690" t="s">
        <v>5</v>
      </c>
      <c r="G1690" t="s">
        <v>4198</v>
      </c>
      <c r="H1690" t="s">
        <v>4119</v>
      </c>
      <c r="I1690">
        <v>220.22458</v>
      </c>
    </row>
    <row r="1691" spans="1:9" ht="87.6" customHeight="1">
      <c r="A1691" s="1" t="str">
        <f>"Chemistry 5827"</f>
        <v>Chemistry 5827</v>
      </c>
      <c r="B1691" t="s">
        <v>4199</v>
      </c>
      <c r="C1691" t="s">
        <v>3</v>
      </c>
      <c r="D1691" s="2">
        <v>26300</v>
      </c>
      <c r="E1691" s="2">
        <v>15780</v>
      </c>
      <c r="F1691" t="s">
        <v>5</v>
      </c>
      <c r="G1691" t="s">
        <v>4200</v>
      </c>
      <c r="H1691" t="s">
        <v>4201</v>
      </c>
      <c r="I1691">
        <v>176.17201</v>
      </c>
    </row>
    <row r="1692" spans="1:9" ht="99.45" customHeight="1">
      <c r="A1692" s="1" t="str">
        <f>"Chemistry 5828"</f>
        <v>Chemistry 5828</v>
      </c>
      <c r="B1692" t="s">
        <v>4202</v>
      </c>
      <c r="C1692" t="s">
        <v>3</v>
      </c>
      <c r="D1692" s="2">
        <v>26300</v>
      </c>
      <c r="E1692" s="2">
        <v>15780</v>
      </c>
      <c r="F1692" t="s">
        <v>5</v>
      </c>
      <c r="G1692" t="s">
        <v>4203</v>
      </c>
      <c r="H1692" t="s">
        <v>4204</v>
      </c>
      <c r="I1692">
        <v>190.1986</v>
      </c>
    </row>
    <row r="1693" spans="1:9" ht="99.45" customHeight="1">
      <c r="A1693" s="1" t="str">
        <f>"Chemistry 5829"</f>
        <v>Chemistry 5829</v>
      </c>
      <c r="B1693" t="s">
        <v>4205</v>
      </c>
      <c r="C1693" t="s">
        <v>3</v>
      </c>
      <c r="D1693" s="2">
        <v>26300</v>
      </c>
      <c r="E1693" s="2">
        <v>15780</v>
      </c>
      <c r="F1693" t="s">
        <v>5</v>
      </c>
      <c r="G1693" t="s">
        <v>4206</v>
      </c>
      <c r="H1693" t="s">
        <v>3598</v>
      </c>
      <c r="I1693">
        <v>204.22516999999999</v>
      </c>
    </row>
    <row r="1694" spans="1:9" ht="103.35" customHeight="1">
      <c r="A1694" s="1" t="str">
        <f>"Chemistry 5830"</f>
        <v>Chemistry 5830</v>
      </c>
      <c r="B1694" t="s">
        <v>4207</v>
      </c>
      <c r="C1694" t="s">
        <v>3</v>
      </c>
      <c r="D1694" s="2">
        <v>26300</v>
      </c>
      <c r="E1694" s="2">
        <v>15780</v>
      </c>
      <c r="F1694" t="s">
        <v>5</v>
      </c>
      <c r="G1694" t="s">
        <v>4208</v>
      </c>
      <c r="H1694" t="s">
        <v>2258</v>
      </c>
      <c r="I1694">
        <v>202.20930000000001</v>
      </c>
    </row>
    <row r="1695" spans="1:9" ht="92.7" customHeight="1">
      <c r="A1695" s="1" t="str">
        <f>"Chemistry 5832"</f>
        <v>Chemistry 5832</v>
      </c>
      <c r="B1695" t="s">
        <v>4209</v>
      </c>
      <c r="C1695" t="s">
        <v>3</v>
      </c>
      <c r="D1695" s="2">
        <v>19300</v>
      </c>
      <c r="E1695" s="2">
        <v>13510</v>
      </c>
      <c r="F1695" t="s">
        <v>5</v>
      </c>
      <c r="G1695" t="s">
        <v>4210</v>
      </c>
      <c r="H1695" t="s">
        <v>1244</v>
      </c>
      <c r="I1695">
        <v>243.18191999999999</v>
      </c>
    </row>
    <row r="1696" spans="1:9" ht="90.45" customHeight="1">
      <c r="A1696" s="1" t="str">
        <f>"Chemistry 5834"</f>
        <v>Chemistry 5834</v>
      </c>
      <c r="B1696" t="s">
        <v>4211</v>
      </c>
      <c r="C1696" t="s">
        <v>3</v>
      </c>
      <c r="D1696" s="2">
        <v>20200</v>
      </c>
      <c r="E1696" s="2">
        <v>14140</v>
      </c>
      <c r="F1696" t="s">
        <v>5</v>
      </c>
      <c r="G1696" t="s">
        <v>4212</v>
      </c>
      <c r="H1696" t="s">
        <v>4213</v>
      </c>
      <c r="I1696">
        <v>229.27440000000001</v>
      </c>
    </row>
    <row r="1697" spans="1:9" ht="70.8" customHeight="1">
      <c r="A1697" s="1" t="str">
        <f>"Chemistry 5836"</f>
        <v>Chemistry 5836</v>
      </c>
      <c r="B1697" t="s">
        <v>4214</v>
      </c>
      <c r="C1697" t="s">
        <v>3</v>
      </c>
      <c r="D1697" s="2">
        <v>21000</v>
      </c>
      <c r="E1697" s="2">
        <v>14699.999999999998</v>
      </c>
      <c r="F1697" t="s">
        <v>5</v>
      </c>
      <c r="G1697" t="s">
        <v>4215</v>
      </c>
      <c r="H1697" t="s">
        <v>3568</v>
      </c>
      <c r="I1697">
        <v>203.23712</v>
      </c>
    </row>
    <row r="1698" spans="1:9" ht="92.1" customHeight="1">
      <c r="A1698" s="1" t="str">
        <f>"Chemistry 5837"</f>
        <v>Chemistry 5837</v>
      </c>
      <c r="B1698" t="s">
        <v>4216</v>
      </c>
      <c r="C1698" t="s">
        <v>128</v>
      </c>
      <c r="D1698" s="2">
        <v>24500</v>
      </c>
      <c r="E1698" s="2">
        <v>17150</v>
      </c>
      <c r="F1698" t="s">
        <v>5</v>
      </c>
      <c r="G1698" t="s">
        <v>4217</v>
      </c>
      <c r="H1698" t="s">
        <v>4194</v>
      </c>
      <c r="I1698">
        <v>227.66584</v>
      </c>
    </row>
    <row r="1699" spans="1:9" ht="56.1" customHeight="1">
      <c r="A1699" s="1" t="str">
        <f>"Chemistry 5840"</f>
        <v>Chemistry 5840</v>
      </c>
      <c r="B1699" t="s">
        <v>4218</v>
      </c>
      <c r="C1699" t="s">
        <v>128</v>
      </c>
      <c r="D1699" s="2">
        <v>24500</v>
      </c>
      <c r="E1699" s="2">
        <v>17150</v>
      </c>
      <c r="F1699" t="s">
        <v>5</v>
      </c>
      <c r="G1699" t="s">
        <v>4219</v>
      </c>
      <c r="H1699" t="s">
        <v>4220</v>
      </c>
      <c r="I1699">
        <v>176.6191</v>
      </c>
    </row>
    <row r="1700" spans="1:9" ht="61.2" customHeight="1">
      <c r="A1700" s="1" t="str">
        <f>"Chemistry 5841"</f>
        <v>Chemistry 5841</v>
      </c>
      <c r="B1700" t="s">
        <v>4221</v>
      </c>
      <c r="C1700" t="s">
        <v>128</v>
      </c>
      <c r="D1700" s="2">
        <v>24500</v>
      </c>
      <c r="E1700" s="2">
        <v>17150</v>
      </c>
      <c r="F1700" t="s">
        <v>5</v>
      </c>
      <c r="G1700" t="s">
        <v>4222</v>
      </c>
      <c r="H1700" t="s">
        <v>4223</v>
      </c>
      <c r="I1700">
        <v>193.0737</v>
      </c>
    </row>
    <row r="1701" spans="1:9" ht="60.6" customHeight="1">
      <c r="A1701" s="1" t="str">
        <f>"Chemistry 5842"</f>
        <v>Chemistry 5842</v>
      </c>
      <c r="B1701" t="s">
        <v>4224</v>
      </c>
      <c r="C1701" t="s">
        <v>270</v>
      </c>
      <c r="D1701" s="2">
        <v>24500</v>
      </c>
      <c r="E1701" s="2">
        <v>17150</v>
      </c>
      <c r="F1701" t="s">
        <v>5</v>
      </c>
      <c r="G1701" t="s">
        <v>4225</v>
      </c>
      <c r="H1701" t="s">
        <v>4226</v>
      </c>
      <c r="I1701">
        <v>209.11615</v>
      </c>
    </row>
    <row r="1702" spans="1:9" ht="73.05" customHeight="1">
      <c r="A1702" s="1" t="str">
        <f>"Chemistry 5843"</f>
        <v>Chemistry 5843</v>
      </c>
      <c r="B1702" t="s">
        <v>4227</v>
      </c>
      <c r="C1702" t="s">
        <v>270</v>
      </c>
      <c r="D1702" s="2">
        <v>24500</v>
      </c>
      <c r="E1702" s="2">
        <v>17150</v>
      </c>
      <c r="F1702" t="s">
        <v>5</v>
      </c>
      <c r="G1702" t="s">
        <v>4228</v>
      </c>
      <c r="H1702" t="s">
        <v>4229</v>
      </c>
      <c r="I1702">
        <v>225.11555999999999</v>
      </c>
    </row>
    <row r="1703" spans="1:9" ht="87" customHeight="1">
      <c r="A1703" s="1" t="str">
        <f>"Chemistry 5846"</f>
        <v>Chemistry 5846</v>
      </c>
      <c r="B1703" t="s">
        <v>4230</v>
      </c>
      <c r="C1703" t="s">
        <v>3</v>
      </c>
      <c r="D1703" s="2">
        <v>22800</v>
      </c>
      <c r="E1703" s="2">
        <v>15959.999999999998</v>
      </c>
      <c r="F1703" t="s">
        <v>5</v>
      </c>
      <c r="G1703" t="s">
        <v>4231</v>
      </c>
      <c r="H1703" t="s">
        <v>4119</v>
      </c>
      <c r="I1703">
        <v>220.22458</v>
      </c>
    </row>
    <row r="1704" spans="1:9" ht="67.95" customHeight="1">
      <c r="A1704" s="1" t="str">
        <f>"Chemistry 5847"</f>
        <v>Chemistry 5847</v>
      </c>
      <c r="B1704" t="s">
        <v>4232</v>
      </c>
      <c r="C1704" t="s">
        <v>3</v>
      </c>
      <c r="D1704" s="2">
        <v>22800</v>
      </c>
      <c r="E1704" s="2">
        <v>15959.999999999998</v>
      </c>
      <c r="F1704" t="s">
        <v>5</v>
      </c>
      <c r="G1704" t="s">
        <v>4233</v>
      </c>
      <c r="H1704" t="s">
        <v>4119</v>
      </c>
      <c r="I1704">
        <v>220.22458</v>
      </c>
    </row>
    <row r="1705" spans="1:9" ht="75.75" customHeight="1">
      <c r="A1705" s="1" t="str">
        <f>"Chemistry 5848"</f>
        <v>Chemistry 5848</v>
      </c>
      <c r="B1705" t="s">
        <v>4234</v>
      </c>
      <c r="C1705" t="s">
        <v>3</v>
      </c>
      <c r="D1705" s="2">
        <v>22800</v>
      </c>
      <c r="E1705" s="2">
        <v>15959.999999999998</v>
      </c>
      <c r="F1705" t="s">
        <v>5</v>
      </c>
      <c r="G1705" t="s">
        <v>4235</v>
      </c>
      <c r="H1705" t="s">
        <v>4119</v>
      </c>
      <c r="I1705">
        <v>220.22458</v>
      </c>
    </row>
    <row r="1706" spans="1:9" ht="106.2" customHeight="1">
      <c r="A1706" s="1" t="str">
        <f>"Chemistry 5851"</f>
        <v>Chemistry 5851</v>
      </c>
      <c r="B1706" t="s">
        <v>4237</v>
      </c>
      <c r="C1706" t="s">
        <v>3</v>
      </c>
      <c r="D1706" s="2">
        <v>26300</v>
      </c>
      <c r="E1706" s="2">
        <v>15780</v>
      </c>
      <c r="F1706" t="s">
        <v>5</v>
      </c>
      <c r="G1706" t="s">
        <v>4238</v>
      </c>
      <c r="H1706" t="s">
        <v>3137</v>
      </c>
      <c r="I1706">
        <v>216.23588000000001</v>
      </c>
    </row>
    <row r="1707" spans="1:9" ht="106.2" customHeight="1">
      <c r="A1707" s="1" t="str">
        <f>"Chemistry 5852"</f>
        <v>Chemistry 5852</v>
      </c>
      <c r="B1707" t="s">
        <v>4239</v>
      </c>
      <c r="C1707" t="s">
        <v>3</v>
      </c>
      <c r="D1707" s="2">
        <v>26300</v>
      </c>
      <c r="E1707" s="2">
        <v>15780</v>
      </c>
      <c r="F1707" t="s">
        <v>5</v>
      </c>
      <c r="G1707" t="s">
        <v>4240</v>
      </c>
      <c r="H1707" t="s">
        <v>2248</v>
      </c>
      <c r="I1707">
        <v>246.26186000000001</v>
      </c>
    </row>
    <row r="1708" spans="1:9" ht="95.55" customHeight="1">
      <c r="A1708" s="1" t="str">
        <f>"Chemistry 5854"</f>
        <v>Chemistry 5854</v>
      </c>
      <c r="B1708" t="s">
        <v>4241</v>
      </c>
      <c r="C1708" t="s">
        <v>3</v>
      </c>
      <c r="D1708" s="2">
        <v>24500</v>
      </c>
      <c r="E1708" s="2">
        <v>17150</v>
      </c>
      <c r="F1708" t="s">
        <v>5</v>
      </c>
      <c r="G1708" t="s">
        <v>4242</v>
      </c>
      <c r="H1708" t="s">
        <v>4243</v>
      </c>
      <c r="I1708">
        <v>245.27379999999999</v>
      </c>
    </row>
    <row r="1709" spans="1:9" ht="106.2" customHeight="1">
      <c r="A1709" s="1" t="str">
        <f>"Chemistry 5857"</f>
        <v>Chemistry 5857</v>
      </c>
      <c r="B1709" t="s">
        <v>4244</v>
      </c>
      <c r="C1709" t="s">
        <v>3</v>
      </c>
      <c r="D1709" s="2">
        <v>29800</v>
      </c>
      <c r="E1709" s="2">
        <v>17880</v>
      </c>
      <c r="F1709" t="s">
        <v>5</v>
      </c>
      <c r="G1709" t="s">
        <v>4245</v>
      </c>
      <c r="H1709" t="s">
        <v>2248</v>
      </c>
      <c r="I1709">
        <v>246.26186000000001</v>
      </c>
    </row>
    <row r="1710" spans="1:9" ht="99.45" customHeight="1">
      <c r="A1710" s="1" t="str">
        <f>"Chemistry 5858"</f>
        <v>Chemistry 5858</v>
      </c>
      <c r="B1710" t="s">
        <v>4246</v>
      </c>
      <c r="C1710" t="s">
        <v>3</v>
      </c>
      <c r="D1710" s="2">
        <v>29800</v>
      </c>
      <c r="E1710" s="2">
        <v>17880</v>
      </c>
      <c r="F1710" t="s">
        <v>5</v>
      </c>
      <c r="G1710" t="s">
        <v>4247</v>
      </c>
      <c r="H1710" t="s">
        <v>3598</v>
      </c>
      <c r="I1710">
        <v>204.22517999999999</v>
      </c>
    </row>
    <row r="1711" spans="1:9" ht="55.5" customHeight="1">
      <c r="A1711" s="1" t="str">
        <f>"Chemistry 5860"</f>
        <v>Chemistry 5860</v>
      </c>
      <c r="B1711" t="s">
        <v>4248</v>
      </c>
      <c r="C1711" t="s">
        <v>128</v>
      </c>
      <c r="D1711" s="2">
        <v>24500</v>
      </c>
      <c r="E1711" s="2">
        <v>17150</v>
      </c>
      <c r="F1711" t="s">
        <v>5</v>
      </c>
      <c r="G1711" t="s">
        <v>4249</v>
      </c>
      <c r="H1711" t="s">
        <v>4220</v>
      </c>
      <c r="I1711">
        <v>176.6191</v>
      </c>
    </row>
    <row r="1712" spans="1:9" ht="55.5" customHeight="1">
      <c r="A1712" s="1" t="str">
        <f>"Chemistry 5861"</f>
        <v>Chemistry 5861</v>
      </c>
      <c r="B1712" t="s">
        <v>4250</v>
      </c>
      <c r="C1712" t="s">
        <v>128</v>
      </c>
      <c r="D1712" s="2">
        <v>24500</v>
      </c>
      <c r="E1712" s="2">
        <v>17150</v>
      </c>
      <c r="F1712" t="s">
        <v>5</v>
      </c>
      <c r="G1712" t="s">
        <v>4251</v>
      </c>
      <c r="H1712" t="s">
        <v>4223</v>
      </c>
      <c r="I1712">
        <v>193.0737</v>
      </c>
    </row>
    <row r="1713" spans="1:9" ht="91.5" customHeight="1">
      <c r="A1713" s="1" t="str">
        <f>"Chemistry 5863"</f>
        <v>Chemistry 5863</v>
      </c>
      <c r="B1713" t="s">
        <v>4252</v>
      </c>
      <c r="C1713" t="s">
        <v>270</v>
      </c>
      <c r="D1713" s="2">
        <v>24500</v>
      </c>
      <c r="E1713" s="2">
        <v>17150</v>
      </c>
      <c r="F1713" t="s">
        <v>5</v>
      </c>
      <c r="G1713" t="s">
        <v>4253</v>
      </c>
      <c r="H1713" t="s">
        <v>4229</v>
      </c>
      <c r="I1713">
        <v>225.11555000000001</v>
      </c>
    </row>
    <row r="1714" spans="1:9" ht="90.45" customHeight="1">
      <c r="A1714" s="1" t="str">
        <f>"Chemistry 5864"</f>
        <v>Chemistry 5864</v>
      </c>
      <c r="B1714" t="s">
        <v>4254</v>
      </c>
      <c r="C1714" t="s">
        <v>3</v>
      </c>
      <c r="D1714" s="2">
        <v>23700</v>
      </c>
      <c r="E1714" s="2">
        <v>16590</v>
      </c>
      <c r="F1714" t="s">
        <v>5</v>
      </c>
      <c r="G1714" t="s">
        <v>4255</v>
      </c>
      <c r="H1714" t="s">
        <v>3137</v>
      </c>
      <c r="I1714">
        <v>216.23588000000001</v>
      </c>
    </row>
    <row r="1715" spans="1:9" ht="92.1" customHeight="1">
      <c r="A1715" s="1" t="str">
        <f>"Chemistry 5865"</f>
        <v>Chemistry 5865</v>
      </c>
      <c r="B1715" t="s">
        <v>4256</v>
      </c>
      <c r="C1715" t="s">
        <v>3</v>
      </c>
      <c r="D1715" s="2">
        <v>23700</v>
      </c>
      <c r="E1715" s="2">
        <v>16590</v>
      </c>
      <c r="F1715" t="s">
        <v>5</v>
      </c>
      <c r="G1715" t="s">
        <v>4257</v>
      </c>
      <c r="H1715" t="s">
        <v>3137</v>
      </c>
      <c r="I1715">
        <v>216.23588000000001</v>
      </c>
    </row>
    <row r="1716" spans="1:9" ht="92.1" customHeight="1">
      <c r="A1716" s="1" t="str">
        <f>"Chemistry 5866"</f>
        <v>Chemistry 5866</v>
      </c>
      <c r="B1716" t="s">
        <v>4258</v>
      </c>
      <c r="C1716" t="s">
        <v>3</v>
      </c>
      <c r="D1716" s="2">
        <v>23700</v>
      </c>
      <c r="E1716" s="2">
        <v>16590</v>
      </c>
      <c r="F1716" t="s">
        <v>5</v>
      </c>
      <c r="G1716" t="s">
        <v>4259</v>
      </c>
      <c r="H1716" t="s">
        <v>4236</v>
      </c>
      <c r="I1716">
        <v>228.24657999999999</v>
      </c>
    </row>
    <row r="1717" spans="1:9" ht="99.45" customHeight="1">
      <c r="A1717" s="1" t="str">
        <f>"Chemistry 5867"</f>
        <v>Chemistry 5867</v>
      </c>
      <c r="B1717" t="s">
        <v>4260</v>
      </c>
      <c r="C1717" t="s">
        <v>3</v>
      </c>
      <c r="D1717" s="2">
        <v>29800</v>
      </c>
      <c r="E1717" s="2">
        <v>17880</v>
      </c>
      <c r="F1717" t="s">
        <v>5</v>
      </c>
      <c r="G1717" t="s">
        <v>4261</v>
      </c>
      <c r="H1717" t="s">
        <v>3598</v>
      </c>
      <c r="I1717">
        <v>204.22517999999999</v>
      </c>
    </row>
    <row r="1718" spans="1:9" ht="106.2" customHeight="1">
      <c r="A1718" s="1" t="str">
        <f>"Chemistry 5868"</f>
        <v>Chemistry 5868</v>
      </c>
      <c r="B1718" t="s">
        <v>4262</v>
      </c>
      <c r="C1718" t="s">
        <v>3</v>
      </c>
      <c r="D1718" s="2">
        <v>29800</v>
      </c>
      <c r="E1718" s="2">
        <v>17880</v>
      </c>
      <c r="F1718" t="s">
        <v>5</v>
      </c>
      <c r="G1718" t="s">
        <v>4263</v>
      </c>
      <c r="H1718" t="s">
        <v>4264</v>
      </c>
      <c r="I1718">
        <v>244.16998000000001</v>
      </c>
    </row>
    <row r="1719" spans="1:9" ht="106.2" customHeight="1">
      <c r="A1719" s="1" t="str">
        <f>"Chemistry 5870"</f>
        <v>Chemistry 5870</v>
      </c>
      <c r="B1719" t="s">
        <v>4265</v>
      </c>
      <c r="C1719" t="s">
        <v>3</v>
      </c>
      <c r="D1719" s="2">
        <v>29800</v>
      </c>
      <c r="E1719" s="2">
        <v>17880</v>
      </c>
      <c r="F1719" t="s">
        <v>5</v>
      </c>
      <c r="G1719" t="s">
        <v>4266</v>
      </c>
      <c r="H1719" t="s">
        <v>4267</v>
      </c>
      <c r="I1719">
        <v>230.26246</v>
      </c>
    </row>
    <row r="1720" spans="1:9" ht="87.6" customHeight="1">
      <c r="A1720" s="1" t="str">
        <f>"Chemistry 5874"</f>
        <v>Chemistry 5874</v>
      </c>
      <c r="B1720" t="s">
        <v>4268</v>
      </c>
      <c r="C1720" t="s">
        <v>3</v>
      </c>
      <c r="D1720" s="2">
        <v>29800</v>
      </c>
      <c r="E1720" s="2">
        <v>17880</v>
      </c>
      <c r="F1720" t="s">
        <v>5</v>
      </c>
      <c r="G1720" t="s">
        <v>4269</v>
      </c>
      <c r="H1720" t="s">
        <v>4204</v>
      </c>
      <c r="I1720">
        <v>190.1986</v>
      </c>
    </row>
    <row r="1721" spans="1:9" ht="99.45" customHeight="1">
      <c r="A1721" s="1" t="str">
        <f>"Chemistry 5875"</f>
        <v>Chemistry 5875</v>
      </c>
      <c r="B1721" t="s">
        <v>4270</v>
      </c>
      <c r="C1721" t="s">
        <v>3</v>
      </c>
      <c r="D1721" s="2">
        <v>29800</v>
      </c>
      <c r="E1721" s="2">
        <v>17880</v>
      </c>
      <c r="F1721" t="s">
        <v>5</v>
      </c>
      <c r="G1721" t="s">
        <v>4271</v>
      </c>
      <c r="H1721" t="s">
        <v>4272</v>
      </c>
      <c r="I1721">
        <v>218.25175999999999</v>
      </c>
    </row>
    <row r="1722" spans="1:9" ht="106.2" customHeight="1">
      <c r="A1722" s="1" t="str">
        <f>"Chemistry 5878"</f>
        <v>Chemistry 5878</v>
      </c>
      <c r="B1722" t="s">
        <v>4273</v>
      </c>
      <c r="C1722" t="s">
        <v>3</v>
      </c>
      <c r="D1722" s="2">
        <v>29800</v>
      </c>
      <c r="E1722" s="2">
        <v>17880</v>
      </c>
      <c r="F1722" t="s">
        <v>5</v>
      </c>
      <c r="G1722" t="s">
        <v>4274</v>
      </c>
      <c r="H1722" t="s">
        <v>2250</v>
      </c>
      <c r="I1722">
        <v>244.28904</v>
      </c>
    </row>
    <row r="1723" spans="1:9" ht="67.95" customHeight="1">
      <c r="A1723" s="1" t="str">
        <f>"Chemistry 5881"</f>
        <v>Chemistry 5881</v>
      </c>
      <c r="B1723" t="s">
        <v>4275</v>
      </c>
      <c r="C1723" t="s">
        <v>128</v>
      </c>
      <c r="D1723" s="2">
        <v>24500</v>
      </c>
      <c r="E1723" s="2">
        <v>17150</v>
      </c>
      <c r="F1723" t="s">
        <v>5</v>
      </c>
      <c r="G1723" t="s">
        <v>4276</v>
      </c>
      <c r="H1723" t="s">
        <v>4277</v>
      </c>
      <c r="I1723">
        <v>226.6266</v>
      </c>
    </row>
    <row r="1724" spans="1:9" ht="85.35" customHeight="1">
      <c r="A1724" s="1" t="str">
        <f>"Chemistry 5882"</f>
        <v>Chemistry 5882</v>
      </c>
      <c r="B1724" t="s">
        <v>4278</v>
      </c>
      <c r="C1724" t="s">
        <v>128</v>
      </c>
      <c r="D1724" s="2">
        <v>24500</v>
      </c>
      <c r="E1724" s="2">
        <v>17150</v>
      </c>
      <c r="F1724" t="s">
        <v>5</v>
      </c>
      <c r="G1724" t="s">
        <v>4279</v>
      </c>
      <c r="H1724" t="s">
        <v>4277</v>
      </c>
      <c r="I1724">
        <v>226.6266</v>
      </c>
    </row>
    <row r="1725" spans="1:9" ht="78.599999999999994" customHeight="1">
      <c r="A1725" s="1" t="str">
        <f>"Chemistry 5890"</f>
        <v>Chemistry 5890</v>
      </c>
      <c r="B1725" t="s">
        <v>4281</v>
      </c>
      <c r="C1725" t="s">
        <v>128</v>
      </c>
      <c r="D1725" s="2">
        <v>24500</v>
      </c>
      <c r="E1725" s="2">
        <v>17150</v>
      </c>
      <c r="F1725" t="s">
        <v>5</v>
      </c>
      <c r="G1725" t="s">
        <v>4282</v>
      </c>
      <c r="H1725" t="s">
        <v>4280</v>
      </c>
      <c r="I1725">
        <v>251.75512000000001</v>
      </c>
    </row>
    <row r="1726" spans="1:9" ht="62.85" customHeight="1">
      <c r="A1726" s="1" t="str">
        <f>"Chemistry 5897"</f>
        <v>Chemistry 5897</v>
      </c>
      <c r="B1726" t="s">
        <v>4283</v>
      </c>
      <c r="C1726" t="s">
        <v>128</v>
      </c>
      <c r="D1726" s="2">
        <v>29800</v>
      </c>
      <c r="E1726" s="2">
        <v>17880</v>
      </c>
      <c r="F1726" t="s">
        <v>5</v>
      </c>
      <c r="G1726" t="s">
        <v>4284</v>
      </c>
      <c r="H1726" t="s">
        <v>4285</v>
      </c>
      <c r="I1726">
        <v>186.66033999999999</v>
      </c>
    </row>
    <row r="1727" spans="1:9" ht="93.75" customHeight="1">
      <c r="A1727" s="1" t="str">
        <f>"Chemistry 5898"</f>
        <v>Chemistry 5898</v>
      </c>
      <c r="B1727" t="s">
        <v>4286</v>
      </c>
      <c r="C1727" t="s">
        <v>128</v>
      </c>
      <c r="D1727" s="2">
        <v>19300</v>
      </c>
      <c r="E1727" s="2">
        <v>13510</v>
      </c>
      <c r="F1727" t="s">
        <v>5</v>
      </c>
      <c r="G1727" t="s">
        <v>4287</v>
      </c>
      <c r="H1727" t="s">
        <v>4288</v>
      </c>
      <c r="I1727">
        <v>246.70894000000001</v>
      </c>
    </row>
    <row r="1728" spans="1:9" ht="93.75" customHeight="1">
      <c r="A1728" s="1" t="str">
        <f>"Chemistry 5901"</f>
        <v>Chemistry 5901</v>
      </c>
      <c r="B1728" t="s">
        <v>4290</v>
      </c>
      <c r="C1728" t="s">
        <v>3</v>
      </c>
      <c r="D1728" s="2">
        <v>26300</v>
      </c>
      <c r="E1728" s="2">
        <v>15780</v>
      </c>
      <c r="F1728" t="s">
        <v>5</v>
      </c>
      <c r="G1728" t="s">
        <v>4291</v>
      </c>
      <c r="H1728" t="s">
        <v>4292</v>
      </c>
      <c r="I1728">
        <v>309.33269999999999</v>
      </c>
    </row>
    <row r="1729" spans="1:9" ht="87.6" customHeight="1">
      <c r="A1729" s="1" t="str">
        <f>"Chemistry 5909"</f>
        <v>Chemistry 5909</v>
      </c>
      <c r="B1729" t="s">
        <v>4293</v>
      </c>
      <c r="C1729" t="s">
        <v>270</v>
      </c>
      <c r="D1729" s="2">
        <v>19300</v>
      </c>
      <c r="E1729" s="2">
        <v>13510</v>
      </c>
      <c r="F1729" t="s">
        <v>5</v>
      </c>
      <c r="G1729" t="s">
        <v>4294</v>
      </c>
      <c r="H1729" t="s">
        <v>1939</v>
      </c>
      <c r="I1729">
        <v>265.17941999999999</v>
      </c>
    </row>
    <row r="1730" spans="1:9" ht="71.849999999999994" customHeight="1">
      <c r="A1730" s="1" t="str">
        <f>"Chemistry 5913"</f>
        <v>Chemistry 5913</v>
      </c>
      <c r="B1730" t="s">
        <v>4295</v>
      </c>
      <c r="C1730" t="s">
        <v>498</v>
      </c>
      <c r="D1730" s="2">
        <v>19300</v>
      </c>
      <c r="E1730" s="2">
        <v>13510</v>
      </c>
      <c r="F1730" t="s">
        <v>5</v>
      </c>
      <c r="G1730" t="s">
        <v>4296</v>
      </c>
      <c r="H1730" t="s">
        <v>500</v>
      </c>
      <c r="I1730">
        <v>300.65559999999999</v>
      </c>
    </row>
    <row r="1731" spans="1:9" ht="106.8" customHeight="1">
      <c r="A1731" s="1" t="str">
        <f>"Chemistry 5914"</f>
        <v>Chemistry 5914</v>
      </c>
      <c r="B1731" t="s">
        <v>4297</v>
      </c>
      <c r="C1731" t="s">
        <v>270</v>
      </c>
      <c r="D1731" s="2">
        <v>19300</v>
      </c>
      <c r="E1731" s="2">
        <v>13510</v>
      </c>
      <c r="F1731" t="s">
        <v>5</v>
      </c>
      <c r="G1731" t="s">
        <v>4298</v>
      </c>
      <c r="H1731" t="s">
        <v>4299</v>
      </c>
      <c r="I1731">
        <v>333.18068</v>
      </c>
    </row>
    <row r="1732" spans="1:9" ht="106.2" customHeight="1">
      <c r="A1732" s="1" t="str">
        <f>"Chemistry 5917"</f>
        <v>Chemistry 5917</v>
      </c>
      <c r="B1732" t="s">
        <v>4301</v>
      </c>
      <c r="C1732" t="s">
        <v>128</v>
      </c>
      <c r="D1732" s="2">
        <v>19300</v>
      </c>
      <c r="E1732" s="2">
        <v>13510</v>
      </c>
      <c r="F1732" t="s">
        <v>5</v>
      </c>
      <c r="G1732" t="s">
        <v>4302</v>
      </c>
      <c r="H1732" t="s">
        <v>4303</v>
      </c>
      <c r="I1732">
        <v>297.7045</v>
      </c>
    </row>
    <row r="1733" spans="1:9" ht="90.45" customHeight="1">
      <c r="A1733" s="1" t="str">
        <f>"Chemistry 5920"</f>
        <v>Chemistry 5920</v>
      </c>
      <c r="B1733" t="s">
        <v>4304</v>
      </c>
      <c r="C1733" t="s">
        <v>270</v>
      </c>
      <c r="D1733" s="2">
        <v>19300</v>
      </c>
      <c r="E1733" s="2">
        <v>13510</v>
      </c>
      <c r="F1733" t="s">
        <v>5</v>
      </c>
      <c r="G1733" t="s">
        <v>4305</v>
      </c>
      <c r="H1733" t="s">
        <v>4306</v>
      </c>
      <c r="I1733">
        <v>282.18511999999998</v>
      </c>
    </row>
    <row r="1734" spans="1:9" ht="78" customHeight="1">
      <c r="A1734" s="1" t="str">
        <f>"Chemistry 5922"</f>
        <v>Chemistry 5922</v>
      </c>
      <c r="B1734" t="s">
        <v>4307</v>
      </c>
      <c r="C1734" t="s">
        <v>270</v>
      </c>
      <c r="D1734" s="2">
        <v>19300</v>
      </c>
      <c r="E1734" s="2">
        <v>13510</v>
      </c>
      <c r="F1734" t="s">
        <v>5</v>
      </c>
      <c r="G1734" t="s">
        <v>4308</v>
      </c>
      <c r="H1734" t="s">
        <v>4309</v>
      </c>
      <c r="I1734">
        <v>332.19261999999998</v>
      </c>
    </row>
    <row r="1735" spans="1:9" ht="81.45" customHeight="1">
      <c r="A1735" s="1" t="str">
        <f>"Chemistry 5929"</f>
        <v>Chemistry 5929</v>
      </c>
      <c r="B1735" t="s">
        <v>4310</v>
      </c>
      <c r="C1735" t="s">
        <v>128</v>
      </c>
      <c r="D1735" s="2">
        <v>19300</v>
      </c>
      <c r="E1735" s="2">
        <v>13510</v>
      </c>
      <c r="F1735" t="s">
        <v>5</v>
      </c>
      <c r="G1735" t="s">
        <v>4311</v>
      </c>
      <c r="H1735" t="s">
        <v>4312</v>
      </c>
      <c r="I1735">
        <v>296.71643999999998</v>
      </c>
    </row>
    <row r="1736" spans="1:9" ht="89.85" customHeight="1">
      <c r="A1736" s="1" t="str">
        <f>"Chemistry 5936"</f>
        <v>Chemistry 5936</v>
      </c>
      <c r="B1736" t="s">
        <v>4313</v>
      </c>
      <c r="C1736" t="s">
        <v>270</v>
      </c>
      <c r="D1736" s="2">
        <v>19300</v>
      </c>
      <c r="E1736" s="2">
        <v>13510</v>
      </c>
      <c r="F1736" t="s">
        <v>5</v>
      </c>
      <c r="G1736" t="s">
        <v>4314</v>
      </c>
      <c r="H1736" t="s">
        <v>1385</v>
      </c>
      <c r="I1736">
        <v>265.18299999999999</v>
      </c>
    </row>
    <row r="1737" spans="1:9" ht="75.75" customHeight="1">
      <c r="A1737" s="1" t="str">
        <f>"Chemistry 5937"</f>
        <v>Chemistry 5937</v>
      </c>
      <c r="B1737" t="s">
        <v>4315</v>
      </c>
      <c r="C1737" t="s">
        <v>270</v>
      </c>
      <c r="D1737" s="2">
        <v>19300</v>
      </c>
      <c r="E1737" s="2">
        <v>13510</v>
      </c>
      <c r="F1737" t="s">
        <v>5</v>
      </c>
      <c r="G1737" t="s">
        <v>4316</v>
      </c>
      <c r="H1737" t="s">
        <v>4306</v>
      </c>
      <c r="I1737">
        <v>282.185</v>
      </c>
    </row>
    <row r="1738" spans="1:9" ht="94.95" customHeight="1">
      <c r="A1738" s="1" t="str">
        <f>"Chemistry 5939"</f>
        <v>Chemistry 5939</v>
      </c>
      <c r="B1738" t="s">
        <v>4318</v>
      </c>
      <c r="C1738" t="s">
        <v>270</v>
      </c>
      <c r="D1738" s="2">
        <v>19300</v>
      </c>
      <c r="E1738" s="2">
        <v>13510</v>
      </c>
      <c r="F1738" t="s">
        <v>5</v>
      </c>
      <c r="G1738" t="s">
        <v>4319</v>
      </c>
      <c r="H1738" t="s">
        <v>4317</v>
      </c>
      <c r="I1738">
        <v>294.221</v>
      </c>
    </row>
    <row r="1739" spans="1:9" ht="94.95" customHeight="1">
      <c r="A1739" s="1" t="str">
        <f>"Chemistry 5940"</f>
        <v>Chemistry 5940</v>
      </c>
      <c r="B1739" t="s">
        <v>4320</v>
      </c>
      <c r="C1739" t="s">
        <v>270</v>
      </c>
      <c r="D1739" s="2">
        <v>19300</v>
      </c>
      <c r="E1739" s="2">
        <v>13510</v>
      </c>
      <c r="F1739" t="s">
        <v>5</v>
      </c>
      <c r="G1739" t="s">
        <v>4321</v>
      </c>
      <c r="H1739" t="s">
        <v>4300</v>
      </c>
      <c r="I1739">
        <v>298.64</v>
      </c>
    </row>
    <row r="1740" spans="1:9" ht="77.55" customHeight="1">
      <c r="A1740" s="1" t="str">
        <f>"Chemistry 5941"</f>
        <v>Chemistry 5941</v>
      </c>
      <c r="B1740" t="s">
        <v>4322</v>
      </c>
      <c r="C1740" t="s">
        <v>270</v>
      </c>
      <c r="D1740" s="2">
        <v>19300</v>
      </c>
      <c r="E1740" s="2">
        <v>13510</v>
      </c>
      <c r="F1740" t="s">
        <v>5</v>
      </c>
      <c r="G1740" t="s">
        <v>4323</v>
      </c>
      <c r="H1740" t="s">
        <v>4306</v>
      </c>
      <c r="I1740">
        <v>282.185</v>
      </c>
    </row>
    <row r="1741" spans="1:9" ht="75.3" customHeight="1">
      <c r="A1741" s="1" t="str">
        <f>"Chemistry 5942"</f>
        <v>Chemistry 5942</v>
      </c>
      <c r="B1741" t="s">
        <v>4324</v>
      </c>
      <c r="C1741" t="s">
        <v>270</v>
      </c>
      <c r="D1741" s="2">
        <v>19300</v>
      </c>
      <c r="E1741" s="2">
        <v>13510</v>
      </c>
      <c r="F1741" t="s">
        <v>5</v>
      </c>
      <c r="G1741" t="s">
        <v>4325</v>
      </c>
      <c r="H1741" t="s">
        <v>4326</v>
      </c>
      <c r="I1741">
        <v>283.173</v>
      </c>
    </row>
    <row r="1742" spans="1:9" ht="96" customHeight="1">
      <c r="A1742" s="1" t="str">
        <f>"Chemistry 5943"</f>
        <v>Chemistry 5943</v>
      </c>
      <c r="B1742" t="s">
        <v>4327</v>
      </c>
      <c r="C1742" t="s">
        <v>270</v>
      </c>
      <c r="D1742" s="2">
        <v>19300</v>
      </c>
      <c r="E1742" s="2">
        <v>13510</v>
      </c>
      <c r="F1742" t="s">
        <v>5</v>
      </c>
      <c r="G1742" t="s">
        <v>4328</v>
      </c>
      <c r="H1742" t="s">
        <v>2017</v>
      </c>
      <c r="I1742">
        <v>283.17</v>
      </c>
    </row>
    <row r="1743" spans="1:9" ht="105.6" customHeight="1">
      <c r="A1743" s="1" t="str">
        <f>"Chemistry 5944"</f>
        <v>Chemistry 5944</v>
      </c>
      <c r="B1743" t="s">
        <v>4329</v>
      </c>
      <c r="C1743" t="s">
        <v>270</v>
      </c>
      <c r="D1743" s="2">
        <v>19300</v>
      </c>
      <c r="E1743" s="2">
        <v>13510</v>
      </c>
      <c r="F1743" t="s">
        <v>5</v>
      </c>
      <c r="G1743" t="s">
        <v>4330</v>
      </c>
      <c r="H1743" t="s">
        <v>4289</v>
      </c>
      <c r="I1743">
        <v>295.20499999999998</v>
      </c>
    </row>
    <row r="1744" spans="1:9" ht="94.95" customHeight="1">
      <c r="A1744" s="1" t="str">
        <f>"Chemistry 5945"</f>
        <v>Chemistry 5945</v>
      </c>
      <c r="B1744" t="s">
        <v>4331</v>
      </c>
      <c r="C1744" t="s">
        <v>270</v>
      </c>
      <c r="D1744" s="2">
        <v>19300</v>
      </c>
      <c r="E1744" s="2">
        <v>13510</v>
      </c>
      <c r="F1744" t="s">
        <v>5</v>
      </c>
      <c r="G1744" t="s">
        <v>4332</v>
      </c>
      <c r="H1744" t="s">
        <v>2017</v>
      </c>
      <c r="I1744">
        <v>283.17</v>
      </c>
    </row>
    <row r="1745" spans="1:9" ht="75.3" customHeight="1">
      <c r="A1745" s="1" t="str">
        <f>"Chemistry 5946"</f>
        <v>Chemistry 5946</v>
      </c>
      <c r="B1745" t="s">
        <v>4333</v>
      </c>
      <c r="C1745" t="s">
        <v>128</v>
      </c>
      <c r="D1745" s="2">
        <v>19300</v>
      </c>
      <c r="E1745" s="2">
        <v>13510</v>
      </c>
      <c r="F1745" t="s">
        <v>5</v>
      </c>
      <c r="G1745" t="s">
        <v>4334</v>
      </c>
      <c r="H1745" t="s">
        <v>4335</v>
      </c>
      <c r="I1745">
        <v>247.697</v>
      </c>
    </row>
    <row r="1746" spans="1:9" ht="92.1" customHeight="1">
      <c r="A1746" s="1" t="str">
        <f>"Chemistry 5952"</f>
        <v>Chemistry 5952</v>
      </c>
      <c r="B1746" t="s">
        <v>4336</v>
      </c>
      <c r="C1746" t="s">
        <v>270</v>
      </c>
      <c r="D1746" s="2">
        <v>19300</v>
      </c>
      <c r="E1746" s="2">
        <v>13510</v>
      </c>
      <c r="F1746" t="s">
        <v>5</v>
      </c>
      <c r="G1746" t="s">
        <v>4337</v>
      </c>
      <c r="H1746" t="s">
        <v>1385</v>
      </c>
      <c r="I1746">
        <v>265.18299999999999</v>
      </c>
    </row>
    <row r="1747" spans="1:9" ht="90.45" customHeight="1">
      <c r="A1747" s="1" t="str">
        <f>"Chemistry 5955"</f>
        <v>Chemistry 5955</v>
      </c>
      <c r="B1747" t="s">
        <v>4338</v>
      </c>
      <c r="C1747" t="s">
        <v>270</v>
      </c>
      <c r="D1747" s="2">
        <v>19300</v>
      </c>
      <c r="E1747" s="2">
        <v>13510</v>
      </c>
      <c r="F1747" t="s">
        <v>5</v>
      </c>
      <c r="G1747" t="s">
        <v>4339</v>
      </c>
      <c r="H1747" t="s">
        <v>4289</v>
      </c>
      <c r="I1747">
        <v>295.20499999999998</v>
      </c>
    </row>
    <row r="1748" spans="1:9" ht="98.85" customHeight="1">
      <c r="A1748" s="1" t="str">
        <f>"Chemistry 5960"</f>
        <v>Chemistry 5960</v>
      </c>
      <c r="B1748" t="s">
        <v>4340</v>
      </c>
      <c r="C1748" t="s">
        <v>128</v>
      </c>
      <c r="D1748" s="2">
        <v>24500</v>
      </c>
      <c r="E1748" s="2">
        <v>17150</v>
      </c>
      <c r="F1748" t="s">
        <v>5</v>
      </c>
      <c r="G1748" t="s">
        <v>4341</v>
      </c>
      <c r="H1748" t="s">
        <v>4342</v>
      </c>
      <c r="I1748">
        <v>335.75200000000001</v>
      </c>
    </row>
    <row r="1749" spans="1:9" ht="79.8" customHeight="1">
      <c r="A1749" s="1" t="str">
        <f>"Chemistry 5962"</f>
        <v>Chemistry 5962</v>
      </c>
      <c r="B1749" t="s">
        <v>4344</v>
      </c>
      <c r="C1749" t="s">
        <v>3</v>
      </c>
      <c r="D1749" s="2">
        <v>22800</v>
      </c>
      <c r="E1749" s="2">
        <v>15959.999999999998</v>
      </c>
      <c r="F1749" t="s">
        <v>5</v>
      </c>
      <c r="G1749" t="s">
        <v>4345</v>
      </c>
      <c r="H1749" t="s">
        <v>4343</v>
      </c>
      <c r="I1749">
        <v>221.18780000000001</v>
      </c>
    </row>
    <row r="1750" spans="1:9" ht="79.8" customHeight="1">
      <c r="A1750" s="1" t="str">
        <f>"Chemistry 5963"</f>
        <v>Chemistry 5963</v>
      </c>
      <c r="B1750" t="s">
        <v>4346</v>
      </c>
      <c r="C1750" t="s">
        <v>3</v>
      </c>
      <c r="D1750" s="2">
        <v>22800</v>
      </c>
      <c r="E1750" s="2">
        <v>15959.999999999998</v>
      </c>
      <c r="F1750" t="s">
        <v>5</v>
      </c>
      <c r="G1750" t="s">
        <v>4347</v>
      </c>
      <c r="H1750" t="s">
        <v>4343</v>
      </c>
      <c r="I1750">
        <v>221.18780000000001</v>
      </c>
    </row>
    <row r="1751" spans="1:9" ht="98.85" customHeight="1">
      <c r="A1751" s="1" t="str">
        <f>"Chemistry 5965"</f>
        <v>Chemistry 5965</v>
      </c>
      <c r="B1751" t="s">
        <v>4348</v>
      </c>
      <c r="C1751" t="s">
        <v>3</v>
      </c>
      <c r="D1751" s="2">
        <v>28000</v>
      </c>
      <c r="E1751" s="2">
        <v>16800</v>
      </c>
      <c r="F1751" t="s">
        <v>5</v>
      </c>
      <c r="G1751" t="s">
        <v>4349</v>
      </c>
      <c r="H1751" t="s">
        <v>2740</v>
      </c>
      <c r="I1751">
        <v>257.32600000000002</v>
      </c>
    </row>
    <row r="1752" spans="1:9" ht="67.95" customHeight="1">
      <c r="A1752" s="1" t="str">
        <f>"Chemistry 5967"</f>
        <v>Chemistry 5967</v>
      </c>
      <c r="B1752" t="s">
        <v>4351</v>
      </c>
      <c r="C1752" t="s">
        <v>128</v>
      </c>
      <c r="D1752" s="2">
        <v>17500</v>
      </c>
      <c r="E1752" s="2">
        <v>12250</v>
      </c>
      <c r="F1752" t="s">
        <v>5</v>
      </c>
      <c r="G1752" t="s">
        <v>4352</v>
      </c>
      <c r="H1752" t="s">
        <v>1043</v>
      </c>
      <c r="I1752">
        <v>189.65799999999999</v>
      </c>
    </row>
    <row r="1753" spans="1:9" ht="55.5" customHeight="1">
      <c r="A1753" s="1" t="str">
        <f>"Chemistry 5968"</f>
        <v>Chemistry 5968</v>
      </c>
      <c r="B1753" t="s">
        <v>4353</v>
      </c>
      <c r="C1753" t="s">
        <v>128</v>
      </c>
      <c r="D1753" s="2">
        <v>17500</v>
      </c>
      <c r="E1753" s="2">
        <v>12250</v>
      </c>
      <c r="F1753" t="s">
        <v>5</v>
      </c>
      <c r="G1753" t="s">
        <v>4354</v>
      </c>
      <c r="H1753" t="s">
        <v>4350</v>
      </c>
      <c r="I1753">
        <v>193.62200000000001</v>
      </c>
    </row>
    <row r="1754" spans="1:9" ht="87" customHeight="1">
      <c r="A1754" s="1" t="str">
        <f>"Chemistry 5969"</f>
        <v>Chemistry 5969</v>
      </c>
      <c r="B1754" t="s">
        <v>4355</v>
      </c>
      <c r="C1754" t="s">
        <v>128</v>
      </c>
      <c r="D1754" s="2">
        <v>17500</v>
      </c>
      <c r="E1754" s="2">
        <v>12250</v>
      </c>
      <c r="F1754" t="s">
        <v>5</v>
      </c>
      <c r="G1754" t="s">
        <v>4356</v>
      </c>
      <c r="H1754" t="s">
        <v>4357</v>
      </c>
      <c r="I1754">
        <v>210.07599999999999</v>
      </c>
    </row>
    <row r="1755" spans="1:9" ht="91.5" customHeight="1">
      <c r="A1755" s="1" t="str">
        <f>"Chemistry 5970"</f>
        <v>Chemistry 5970</v>
      </c>
      <c r="B1755" t="s">
        <v>4358</v>
      </c>
      <c r="C1755" t="s">
        <v>128</v>
      </c>
      <c r="D1755" s="2">
        <v>17500</v>
      </c>
      <c r="E1755" s="2">
        <v>12250</v>
      </c>
      <c r="F1755" t="s">
        <v>5</v>
      </c>
      <c r="G1755" t="s">
        <v>4359</v>
      </c>
      <c r="H1755" t="s">
        <v>4360</v>
      </c>
      <c r="I1755">
        <v>205.65700000000001</v>
      </c>
    </row>
    <row r="1756" spans="1:9" ht="55.5" customHeight="1">
      <c r="A1756" s="1" t="str">
        <f>"Chemistry 5971"</f>
        <v>Chemistry 5971</v>
      </c>
      <c r="B1756" t="s">
        <v>4361</v>
      </c>
      <c r="C1756" t="s">
        <v>128</v>
      </c>
      <c r="D1756" s="2">
        <v>17500</v>
      </c>
      <c r="E1756" s="2">
        <v>12250</v>
      </c>
      <c r="F1756" t="s">
        <v>5</v>
      </c>
      <c r="G1756" t="s">
        <v>4362</v>
      </c>
      <c r="H1756" t="s">
        <v>4360</v>
      </c>
      <c r="I1756">
        <v>205.65700000000001</v>
      </c>
    </row>
    <row r="1757" spans="1:9" ht="67.95" customHeight="1">
      <c r="A1757" s="1" t="str">
        <f>"Chemistry 5972"</f>
        <v>Chemistry 5972</v>
      </c>
      <c r="B1757" t="s">
        <v>4363</v>
      </c>
      <c r="C1757" t="s">
        <v>128</v>
      </c>
      <c r="D1757" s="2">
        <v>17500</v>
      </c>
      <c r="E1757" s="2">
        <v>12250</v>
      </c>
      <c r="F1757" t="s">
        <v>5</v>
      </c>
      <c r="G1757" t="s">
        <v>4364</v>
      </c>
      <c r="H1757" t="s">
        <v>4350</v>
      </c>
      <c r="I1757">
        <v>193.62200000000001</v>
      </c>
    </row>
    <row r="1758" spans="1:9" ht="64.5" customHeight="1">
      <c r="A1758" s="1" t="str">
        <f>"Chemistry 5974"</f>
        <v>Chemistry 5974</v>
      </c>
      <c r="B1758" t="s">
        <v>4365</v>
      </c>
      <c r="C1758" t="s">
        <v>128</v>
      </c>
      <c r="D1758" s="2">
        <v>17500</v>
      </c>
      <c r="E1758" s="2">
        <v>12250</v>
      </c>
      <c r="F1758" t="s">
        <v>5</v>
      </c>
      <c r="G1758" t="s">
        <v>4366</v>
      </c>
      <c r="H1758" t="s">
        <v>1043</v>
      </c>
      <c r="I1758">
        <v>189.65799999999999</v>
      </c>
    </row>
    <row r="1759" spans="1:9" ht="87" customHeight="1">
      <c r="A1759" s="1" t="str">
        <f>"Chemistry 5975"</f>
        <v>Chemistry 5975</v>
      </c>
      <c r="B1759" t="s">
        <v>4367</v>
      </c>
      <c r="C1759" t="s">
        <v>128</v>
      </c>
      <c r="D1759" s="2">
        <v>17500</v>
      </c>
      <c r="E1759" s="2">
        <v>12250</v>
      </c>
      <c r="F1759" t="s">
        <v>5</v>
      </c>
      <c r="G1759" t="s">
        <v>4368</v>
      </c>
      <c r="H1759" t="s">
        <v>4350</v>
      </c>
      <c r="I1759">
        <v>193.62200000000001</v>
      </c>
    </row>
    <row r="1760" spans="1:9" ht="83.7" customHeight="1">
      <c r="A1760" s="1" t="str">
        <f>"Chemistry 5976"</f>
        <v>Chemistry 5976</v>
      </c>
      <c r="B1760" t="s">
        <v>4369</v>
      </c>
      <c r="C1760" t="s">
        <v>128</v>
      </c>
      <c r="D1760" s="2">
        <v>17500</v>
      </c>
      <c r="E1760" s="2">
        <v>12250</v>
      </c>
      <c r="F1760" t="s">
        <v>5</v>
      </c>
      <c r="G1760" t="s">
        <v>4370</v>
      </c>
      <c r="H1760" t="s">
        <v>1043</v>
      </c>
      <c r="I1760">
        <v>189.65799999999999</v>
      </c>
    </row>
    <row r="1761" spans="1:9" ht="91.5" customHeight="1">
      <c r="A1761" s="1" t="str">
        <f>"Chemistry 5977"</f>
        <v>Chemistry 5977</v>
      </c>
      <c r="B1761" t="s">
        <v>4371</v>
      </c>
      <c r="C1761" t="s">
        <v>128</v>
      </c>
      <c r="D1761" s="2">
        <v>17500</v>
      </c>
      <c r="E1761" s="2">
        <v>12250</v>
      </c>
      <c r="F1761" t="s">
        <v>5</v>
      </c>
      <c r="G1761" t="s">
        <v>4372</v>
      </c>
      <c r="H1761" t="s">
        <v>4360</v>
      </c>
      <c r="I1761">
        <v>205.65700000000001</v>
      </c>
    </row>
    <row r="1762" spans="1:9" ht="90.45" customHeight="1">
      <c r="A1762" s="1" t="str">
        <f>"Chemistry 5981"</f>
        <v>Chemistry 5981</v>
      </c>
      <c r="B1762" t="s">
        <v>4373</v>
      </c>
      <c r="C1762" t="s">
        <v>270</v>
      </c>
      <c r="D1762" s="2">
        <v>24500</v>
      </c>
      <c r="E1762" s="2">
        <v>17150</v>
      </c>
      <c r="F1762" t="s">
        <v>5</v>
      </c>
      <c r="G1762" t="s">
        <v>4374</v>
      </c>
      <c r="H1762" t="s">
        <v>4229</v>
      </c>
      <c r="I1762">
        <v>225.11600000000001</v>
      </c>
    </row>
    <row r="1763" spans="1:9" ht="79.8" customHeight="1">
      <c r="A1763" s="1" t="str">
        <f>"Chemistry 5982"</f>
        <v>Chemistry 5982</v>
      </c>
      <c r="B1763" t="s">
        <v>4375</v>
      </c>
      <c r="C1763" t="s">
        <v>270</v>
      </c>
      <c r="D1763" s="2">
        <v>24500</v>
      </c>
      <c r="E1763" s="2">
        <v>17150</v>
      </c>
      <c r="F1763" t="s">
        <v>5</v>
      </c>
      <c r="G1763" t="s">
        <v>4376</v>
      </c>
      <c r="H1763" t="s">
        <v>1241</v>
      </c>
      <c r="I1763">
        <v>213.08</v>
      </c>
    </row>
    <row r="1764" spans="1:9" ht="70.8" customHeight="1">
      <c r="A1764" s="1" t="str">
        <f>"Chemistry 5983"</f>
        <v>Chemistry 5983</v>
      </c>
      <c r="B1764" t="s">
        <v>4377</v>
      </c>
      <c r="C1764" t="s">
        <v>270</v>
      </c>
      <c r="D1764" s="2">
        <v>24500</v>
      </c>
      <c r="E1764" s="2">
        <v>17150</v>
      </c>
      <c r="F1764" t="s">
        <v>5</v>
      </c>
      <c r="G1764" t="s">
        <v>4378</v>
      </c>
      <c r="H1764" t="s">
        <v>4379</v>
      </c>
      <c r="I1764">
        <v>229.535</v>
      </c>
    </row>
    <row r="1765" spans="1:9" ht="104.55" customHeight="1">
      <c r="A1765" s="1" t="str">
        <f>"Chemistry 5985"</f>
        <v>Chemistry 5985</v>
      </c>
      <c r="B1765" t="s">
        <v>4380</v>
      </c>
      <c r="C1765" t="s">
        <v>270</v>
      </c>
      <c r="D1765" s="2">
        <v>24500</v>
      </c>
      <c r="E1765" s="2">
        <v>17150</v>
      </c>
      <c r="F1765" t="s">
        <v>5</v>
      </c>
      <c r="G1765" t="s">
        <v>4381</v>
      </c>
      <c r="H1765" t="s">
        <v>1201</v>
      </c>
      <c r="I1765">
        <v>263.08800000000002</v>
      </c>
    </row>
    <row r="1766" spans="1:9" ht="106.2" customHeight="1">
      <c r="A1766" s="1" t="str">
        <f>"Chemistry 5989"</f>
        <v>Chemistry 5989</v>
      </c>
      <c r="B1766" t="s">
        <v>4382</v>
      </c>
      <c r="C1766" t="s">
        <v>270</v>
      </c>
      <c r="D1766" s="2">
        <v>24500</v>
      </c>
      <c r="E1766" s="2">
        <v>17150</v>
      </c>
      <c r="F1766" t="s">
        <v>5</v>
      </c>
      <c r="G1766" t="s">
        <v>4383</v>
      </c>
      <c r="H1766" t="s">
        <v>1201</v>
      </c>
      <c r="I1766">
        <v>263.08800000000002</v>
      </c>
    </row>
    <row r="1767" spans="1:9" ht="64.5" customHeight="1">
      <c r="A1767" s="1" t="str">
        <f>"Chemistry 5990"</f>
        <v>Chemistry 5990</v>
      </c>
      <c r="B1767" t="s">
        <v>4384</v>
      </c>
      <c r="C1767" t="s">
        <v>270</v>
      </c>
      <c r="D1767" s="2">
        <v>24500</v>
      </c>
      <c r="E1767" s="2">
        <v>17150</v>
      </c>
      <c r="F1767" t="s">
        <v>5</v>
      </c>
      <c r="G1767" t="s">
        <v>4385</v>
      </c>
      <c r="H1767" t="s">
        <v>4229</v>
      </c>
      <c r="I1767">
        <v>225.11600000000001</v>
      </c>
    </row>
    <row r="1768" spans="1:9" ht="103.35" customHeight="1">
      <c r="A1768" s="1" t="str">
        <f>"Chemistry 5991"</f>
        <v>Chemistry 5991</v>
      </c>
      <c r="B1768" t="s">
        <v>4386</v>
      </c>
      <c r="C1768" t="s">
        <v>270</v>
      </c>
      <c r="D1768" s="2">
        <v>24500</v>
      </c>
      <c r="E1768" s="2">
        <v>17150</v>
      </c>
      <c r="F1768" t="s">
        <v>5</v>
      </c>
      <c r="G1768" t="s">
        <v>4387</v>
      </c>
      <c r="H1768" t="s">
        <v>1241</v>
      </c>
      <c r="I1768">
        <v>213.08</v>
      </c>
    </row>
    <row r="1769" spans="1:9" ht="73.5" customHeight="1">
      <c r="A1769" s="1" t="str">
        <f>"Chemistry 5992"</f>
        <v>Chemistry 5992</v>
      </c>
      <c r="B1769" t="s">
        <v>4388</v>
      </c>
      <c r="C1769" t="s">
        <v>270</v>
      </c>
      <c r="D1769" s="2">
        <v>24500</v>
      </c>
      <c r="E1769" s="2">
        <v>17150</v>
      </c>
      <c r="F1769" t="s">
        <v>5</v>
      </c>
      <c r="G1769" t="s">
        <v>4389</v>
      </c>
      <c r="H1769" t="s">
        <v>4379</v>
      </c>
      <c r="I1769">
        <v>229.535</v>
      </c>
    </row>
    <row r="1770" spans="1:9" ht="70.8" customHeight="1">
      <c r="A1770" s="1" t="str">
        <f>"Chemistry 5993"</f>
        <v>Chemistry 5993</v>
      </c>
      <c r="B1770" t="s">
        <v>4390</v>
      </c>
      <c r="C1770" t="s">
        <v>270</v>
      </c>
      <c r="D1770" s="2">
        <v>24500</v>
      </c>
      <c r="E1770" s="2">
        <v>17150</v>
      </c>
      <c r="F1770" t="s">
        <v>5</v>
      </c>
      <c r="G1770" t="s">
        <v>4391</v>
      </c>
      <c r="H1770" t="s">
        <v>4226</v>
      </c>
      <c r="I1770">
        <v>209.11600000000001</v>
      </c>
    </row>
    <row r="1771" spans="1:9" ht="72.45" customHeight="1">
      <c r="A1771" s="1" t="str">
        <f>"Chemistry 5994"</f>
        <v>Chemistry 5994</v>
      </c>
      <c r="B1771" t="s">
        <v>4392</v>
      </c>
      <c r="C1771" t="s">
        <v>270</v>
      </c>
      <c r="D1771" s="2">
        <v>24500</v>
      </c>
      <c r="E1771" s="2">
        <v>17150</v>
      </c>
      <c r="F1771" t="s">
        <v>5</v>
      </c>
      <c r="G1771" t="s">
        <v>4393</v>
      </c>
      <c r="H1771" t="s">
        <v>4229</v>
      </c>
      <c r="I1771">
        <v>225.11600000000001</v>
      </c>
    </row>
    <row r="1772" spans="1:9" ht="64.5" customHeight="1">
      <c r="A1772" s="1" t="str">
        <f>"Chemistry 5995"</f>
        <v>Chemistry 5995</v>
      </c>
      <c r="B1772" t="s">
        <v>4394</v>
      </c>
      <c r="C1772" t="s">
        <v>270</v>
      </c>
      <c r="D1772" s="2">
        <v>24500</v>
      </c>
      <c r="E1772" s="2">
        <v>17150</v>
      </c>
      <c r="F1772" t="s">
        <v>5</v>
      </c>
      <c r="G1772" t="s">
        <v>4395</v>
      </c>
      <c r="H1772" t="s">
        <v>4229</v>
      </c>
      <c r="I1772">
        <v>225.11600000000001</v>
      </c>
    </row>
    <row r="1773" spans="1:9" ht="91.5" customHeight="1">
      <c r="A1773" s="1" t="str">
        <f>"Chemistry 5997"</f>
        <v>Chemistry 5997</v>
      </c>
      <c r="B1773" t="s">
        <v>4396</v>
      </c>
      <c r="C1773" t="s">
        <v>270</v>
      </c>
      <c r="D1773" s="2">
        <v>24500</v>
      </c>
      <c r="E1773" s="2">
        <v>17150</v>
      </c>
      <c r="F1773" t="s">
        <v>5</v>
      </c>
      <c r="G1773" t="s">
        <v>4397</v>
      </c>
      <c r="H1773" t="s">
        <v>4379</v>
      </c>
      <c r="I1773">
        <v>229.535</v>
      </c>
    </row>
    <row r="1774" spans="1:9" ht="60.6" customHeight="1">
      <c r="A1774" s="1" t="str">
        <f>"Chemistry 5998"</f>
        <v>Chemistry 5998</v>
      </c>
      <c r="B1774" t="s">
        <v>4398</v>
      </c>
      <c r="C1774" t="s">
        <v>270</v>
      </c>
      <c r="D1774" s="2">
        <v>24500</v>
      </c>
      <c r="E1774" s="2">
        <v>17150</v>
      </c>
      <c r="F1774" t="s">
        <v>5</v>
      </c>
      <c r="G1774" t="s">
        <v>4399</v>
      </c>
      <c r="H1774" t="s">
        <v>4229</v>
      </c>
      <c r="I1774">
        <v>225.11600000000001</v>
      </c>
    </row>
    <row r="1775" spans="1:9" ht="93.75" customHeight="1">
      <c r="A1775" s="1" t="str">
        <f>"Chemistry 6000"</f>
        <v>Chemistry 6000</v>
      </c>
      <c r="B1775" t="s">
        <v>4400</v>
      </c>
      <c r="C1775" t="s">
        <v>128</v>
      </c>
      <c r="D1775" s="2">
        <v>22800</v>
      </c>
      <c r="E1775" s="2">
        <v>15959.999999999998</v>
      </c>
      <c r="F1775" t="s">
        <v>5</v>
      </c>
      <c r="G1775" t="s">
        <v>4401</v>
      </c>
      <c r="H1775" t="s">
        <v>4402</v>
      </c>
      <c r="I1775">
        <v>283.67500000000001</v>
      </c>
    </row>
    <row r="1776" spans="1:9" ht="95.55" customHeight="1">
      <c r="A1776" s="1" t="str">
        <f>"Chemistry 6001"</f>
        <v>Chemistry 6001</v>
      </c>
      <c r="B1776" t="s">
        <v>4403</v>
      </c>
      <c r="C1776" t="s">
        <v>3</v>
      </c>
      <c r="D1776" s="2">
        <v>22800</v>
      </c>
      <c r="E1776" s="2">
        <v>15959.999999999998</v>
      </c>
      <c r="F1776" t="s">
        <v>5</v>
      </c>
      <c r="G1776" t="s">
        <v>4404</v>
      </c>
      <c r="H1776" t="s">
        <v>4405</v>
      </c>
      <c r="I1776">
        <v>207.16120000000001</v>
      </c>
    </row>
    <row r="1777" spans="1:9" ht="55.5" customHeight="1">
      <c r="A1777" s="1" t="str">
        <f>"Chemistry 6006"</f>
        <v>Chemistry 6006</v>
      </c>
      <c r="B1777" t="s">
        <v>4407</v>
      </c>
      <c r="C1777" t="s">
        <v>128</v>
      </c>
      <c r="D1777" s="2">
        <v>17500</v>
      </c>
      <c r="E1777" s="2">
        <v>12250</v>
      </c>
      <c r="F1777" t="s">
        <v>5</v>
      </c>
      <c r="G1777" t="s">
        <v>4408</v>
      </c>
      <c r="H1777" t="s">
        <v>4406</v>
      </c>
      <c r="I1777">
        <v>210.08</v>
      </c>
    </row>
    <row r="1778" spans="1:9" ht="88.2" customHeight="1">
      <c r="A1778" s="1" t="str">
        <f>"Chemistry 6007"</f>
        <v>Chemistry 6007</v>
      </c>
      <c r="B1778" t="s">
        <v>4409</v>
      </c>
      <c r="C1778" t="s">
        <v>128</v>
      </c>
      <c r="D1778" s="2">
        <v>17500</v>
      </c>
      <c r="E1778" s="2">
        <v>12250</v>
      </c>
      <c r="F1778" t="s">
        <v>5</v>
      </c>
      <c r="G1778" t="s">
        <v>4410</v>
      </c>
      <c r="H1778" t="s">
        <v>4411</v>
      </c>
      <c r="I1778">
        <v>211.61</v>
      </c>
    </row>
    <row r="1779" spans="1:9" ht="71.849999999999994" customHeight="1">
      <c r="A1779" s="1" t="str">
        <f>"Chemistry 6008"</f>
        <v>Chemistry 6008</v>
      </c>
      <c r="B1779" t="s">
        <v>4412</v>
      </c>
      <c r="C1779" t="s">
        <v>128</v>
      </c>
      <c r="D1779" s="2">
        <v>17500</v>
      </c>
      <c r="E1779" s="2">
        <v>12250</v>
      </c>
      <c r="F1779" t="s">
        <v>5</v>
      </c>
      <c r="G1779" t="s">
        <v>4413</v>
      </c>
      <c r="H1779" t="s">
        <v>4411</v>
      </c>
      <c r="I1779">
        <v>211.61</v>
      </c>
    </row>
    <row r="1780" spans="1:9" ht="71.25" customHeight="1">
      <c r="A1780" s="1" t="str">
        <f>"Chemistry 6009"</f>
        <v>Chemistry 6009</v>
      </c>
      <c r="B1780" t="s">
        <v>4414</v>
      </c>
      <c r="C1780" t="s">
        <v>128</v>
      </c>
      <c r="D1780" s="2">
        <v>17500</v>
      </c>
      <c r="E1780" s="2">
        <v>12250</v>
      </c>
      <c r="F1780" t="s">
        <v>5</v>
      </c>
      <c r="G1780" t="s">
        <v>4415</v>
      </c>
      <c r="H1780" t="s">
        <v>4416</v>
      </c>
      <c r="I1780">
        <v>193.62</v>
      </c>
    </row>
    <row r="1781" spans="1:9" ht="101.1" customHeight="1">
      <c r="A1781" s="1" t="str">
        <f>"Chemistry 6011"</f>
        <v>Chemistry 6011</v>
      </c>
      <c r="B1781" t="s">
        <v>4417</v>
      </c>
      <c r="C1781" t="s">
        <v>270</v>
      </c>
      <c r="D1781" s="2">
        <v>24500</v>
      </c>
      <c r="E1781" s="2">
        <v>17150</v>
      </c>
      <c r="F1781" t="s">
        <v>5</v>
      </c>
      <c r="G1781" t="s">
        <v>4418</v>
      </c>
      <c r="H1781" t="s">
        <v>4419</v>
      </c>
      <c r="I1781">
        <v>263.08999999999997</v>
      </c>
    </row>
    <row r="1782" spans="1:9" ht="83.7" customHeight="1">
      <c r="A1782" s="1" t="str">
        <f>"Chemistry 6013"</f>
        <v>Chemistry 6013</v>
      </c>
      <c r="B1782" t="s">
        <v>4420</v>
      </c>
      <c r="C1782" t="s">
        <v>270</v>
      </c>
      <c r="D1782" s="2">
        <v>24500</v>
      </c>
      <c r="E1782" s="2">
        <v>17150</v>
      </c>
      <c r="F1782" t="s">
        <v>5</v>
      </c>
      <c r="G1782" t="s">
        <v>4421</v>
      </c>
      <c r="H1782" t="s">
        <v>4419</v>
      </c>
      <c r="I1782">
        <v>263.08999999999997</v>
      </c>
    </row>
    <row r="1783" spans="1:9" ht="91.5" customHeight="1">
      <c r="A1783" s="1" t="str">
        <f>"Chemistry 6014"</f>
        <v>Chemistry 6014</v>
      </c>
      <c r="B1783" t="s">
        <v>4422</v>
      </c>
      <c r="C1783" t="s">
        <v>270</v>
      </c>
      <c r="D1783" s="2">
        <v>24500</v>
      </c>
      <c r="E1783" s="2">
        <v>17150</v>
      </c>
      <c r="F1783" t="s">
        <v>5</v>
      </c>
      <c r="G1783" t="s">
        <v>4423</v>
      </c>
      <c r="H1783" t="s">
        <v>4419</v>
      </c>
      <c r="I1783">
        <v>263.08999999999997</v>
      </c>
    </row>
    <row r="1784" spans="1:9" ht="100.5" customHeight="1">
      <c r="A1784" s="1" t="str">
        <f>"Chemistry 6015"</f>
        <v>Chemistry 6015</v>
      </c>
      <c r="B1784" t="s">
        <v>4424</v>
      </c>
      <c r="C1784" t="s">
        <v>270</v>
      </c>
      <c r="D1784" s="2">
        <v>24500</v>
      </c>
      <c r="E1784" s="2">
        <v>17150</v>
      </c>
      <c r="F1784" t="s">
        <v>5</v>
      </c>
      <c r="G1784" t="s">
        <v>4425</v>
      </c>
      <c r="H1784" t="s">
        <v>4419</v>
      </c>
      <c r="I1784">
        <v>263.08999999999997</v>
      </c>
    </row>
    <row r="1785" spans="1:9" ht="106.2" customHeight="1">
      <c r="A1785" s="1" t="str">
        <f>"Chemistry 6016"</f>
        <v>Chemistry 6016</v>
      </c>
      <c r="B1785" t="s">
        <v>4426</v>
      </c>
      <c r="C1785" t="s">
        <v>270</v>
      </c>
      <c r="D1785" s="2">
        <v>24500</v>
      </c>
      <c r="E1785" s="2">
        <v>17150</v>
      </c>
      <c r="F1785" t="s">
        <v>5</v>
      </c>
      <c r="G1785" t="s">
        <v>4427</v>
      </c>
      <c r="H1785" t="s">
        <v>4419</v>
      </c>
      <c r="I1785">
        <v>263.08999999999997</v>
      </c>
    </row>
    <row r="1786" spans="1:9" ht="91.05" customHeight="1">
      <c r="A1786" s="1" t="str">
        <f>"Chemistry 6017"</f>
        <v>Chemistry 6017</v>
      </c>
      <c r="B1786" t="s">
        <v>4428</v>
      </c>
      <c r="C1786" t="s">
        <v>128</v>
      </c>
      <c r="D1786" s="2">
        <v>22800</v>
      </c>
      <c r="E1786" s="2">
        <v>15959.999999999998</v>
      </c>
      <c r="F1786" t="s">
        <v>5</v>
      </c>
      <c r="G1786" t="s">
        <v>4429</v>
      </c>
      <c r="H1786" t="s">
        <v>4430</v>
      </c>
      <c r="I1786">
        <v>233.67</v>
      </c>
    </row>
    <row r="1787" spans="1:9" ht="91.5" customHeight="1">
      <c r="A1787" s="1" t="str">
        <f>"Chemistry 6020"</f>
        <v>Chemistry 6020</v>
      </c>
      <c r="B1787" t="s">
        <v>4432</v>
      </c>
      <c r="C1787" t="s">
        <v>128</v>
      </c>
      <c r="D1787" s="2">
        <v>22800</v>
      </c>
      <c r="E1787" s="2">
        <v>15959.999999999998</v>
      </c>
      <c r="F1787" t="s">
        <v>5</v>
      </c>
      <c r="G1787" t="s">
        <v>4433</v>
      </c>
      <c r="H1787" t="s">
        <v>4431</v>
      </c>
      <c r="I1787">
        <v>283.67</v>
      </c>
    </row>
    <row r="1788" spans="1:9" ht="72.45" customHeight="1">
      <c r="A1788" s="1" t="str">
        <f>"Chemistry 6021"</f>
        <v>Chemistry 6021</v>
      </c>
      <c r="B1788" t="s">
        <v>4434</v>
      </c>
      <c r="C1788" t="s">
        <v>128</v>
      </c>
      <c r="D1788" s="2">
        <v>21000</v>
      </c>
      <c r="E1788" s="2">
        <v>14699.999999999998</v>
      </c>
      <c r="F1788" t="s">
        <v>5</v>
      </c>
      <c r="G1788" t="s">
        <v>4435</v>
      </c>
      <c r="H1788" t="s">
        <v>4436</v>
      </c>
      <c r="I1788">
        <v>273.73</v>
      </c>
    </row>
    <row r="1789" spans="1:9" ht="73.5" customHeight="1">
      <c r="A1789" s="1" t="str">
        <f>"Chemistry 6024"</f>
        <v>Chemistry 6024</v>
      </c>
      <c r="B1789" t="s">
        <v>4437</v>
      </c>
      <c r="C1789" t="s">
        <v>128</v>
      </c>
      <c r="D1789" s="2">
        <v>17500</v>
      </c>
      <c r="E1789" s="2">
        <v>12250</v>
      </c>
      <c r="F1789" t="s">
        <v>5</v>
      </c>
      <c r="G1789" t="s">
        <v>4438</v>
      </c>
      <c r="H1789" t="s">
        <v>4439</v>
      </c>
      <c r="I1789">
        <v>192.69</v>
      </c>
    </row>
    <row r="1790" spans="1:9" ht="84.75" customHeight="1">
      <c r="A1790" s="1" t="str">
        <f>"Chemistry 6025"</f>
        <v>Chemistry 6025</v>
      </c>
      <c r="B1790" t="s">
        <v>4440</v>
      </c>
      <c r="C1790" t="s">
        <v>128</v>
      </c>
      <c r="D1790" s="2">
        <v>19300</v>
      </c>
      <c r="E1790" s="2">
        <v>13510</v>
      </c>
      <c r="F1790" t="s">
        <v>5</v>
      </c>
      <c r="G1790" t="s">
        <v>4441</v>
      </c>
      <c r="H1790" t="s">
        <v>4442</v>
      </c>
      <c r="I1790">
        <v>206.71</v>
      </c>
    </row>
    <row r="1791" spans="1:9" ht="84.75" customHeight="1">
      <c r="A1791" s="1" t="str">
        <f>"Chemistry 6026"</f>
        <v>Chemistry 6026</v>
      </c>
      <c r="B1791" t="s">
        <v>4443</v>
      </c>
      <c r="C1791" t="s">
        <v>128</v>
      </c>
      <c r="D1791" s="2">
        <v>19300</v>
      </c>
      <c r="E1791" s="2">
        <v>13510</v>
      </c>
      <c r="F1791" t="s">
        <v>5</v>
      </c>
      <c r="G1791" t="s">
        <v>4444</v>
      </c>
      <c r="H1791" t="s">
        <v>4445</v>
      </c>
      <c r="I1791">
        <v>220.74</v>
      </c>
    </row>
    <row r="1792" spans="1:9" ht="78" customHeight="1">
      <c r="A1792" s="1" t="str">
        <f>"Chemistry 6027"</f>
        <v>Chemistry 6027</v>
      </c>
      <c r="B1792" t="s">
        <v>4446</v>
      </c>
      <c r="C1792" t="s">
        <v>128</v>
      </c>
      <c r="D1792" s="2">
        <v>17500</v>
      </c>
      <c r="E1792" s="2">
        <v>12250</v>
      </c>
      <c r="F1792" t="s">
        <v>5</v>
      </c>
      <c r="G1792" t="s">
        <v>4447</v>
      </c>
      <c r="H1792" t="s">
        <v>4448</v>
      </c>
      <c r="I1792">
        <v>189.66</v>
      </c>
    </row>
    <row r="1793" spans="1:9" ht="88.2" customHeight="1">
      <c r="A1793" s="1" t="str">
        <f>"Chemistry 6030"</f>
        <v>Chemistry 6030</v>
      </c>
      <c r="B1793" t="s">
        <v>4449</v>
      </c>
      <c r="C1793" t="s">
        <v>3</v>
      </c>
      <c r="D1793" s="2">
        <v>31500</v>
      </c>
      <c r="E1793" s="2">
        <v>18900</v>
      </c>
      <c r="F1793" t="s">
        <v>5</v>
      </c>
      <c r="G1793" t="s">
        <v>4450</v>
      </c>
      <c r="H1793" t="s">
        <v>2521</v>
      </c>
      <c r="I1793">
        <v>216.28</v>
      </c>
    </row>
    <row r="1794" spans="1:9" ht="96.6" customHeight="1">
      <c r="A1794" s="1" t="str">
        <f>"Chemistry 6034"</f>
        <v>Chemistry 6034</v>
      </c>
      <c r="B1794" t="s">
        <v>4452</v>
      </c>
      <c r="C1794" t="s">
        <v>128</v>
      </c>
      <c r="D1794" s="2">
        <v>24500</v>
      </c>
      <c r="E1794" s="2">
        <v>17150</v>
      </c>
      <c r="F1794" t="s">
        <v>5</v>
      </c>
      <c r="G1794" t="s">
        <v>4453</v>
      </c>
      <c r="H1794" t="s">
        <v>4451</v>
      </c>
      <c r="I1794">
        <v>253.73</v>
      </c>
    </row>
    <row r="1795" spans="1:9" ht="79.2" customHeight="1">
      <c r="A1795" s="1" t="str">
        <f>"Chemistry 6036"</f>
        <v>Chemistry 6036</v>
      </c>
      <c r="B1795" t="s">
        <v>4454</v>
      </c>
      <c r="C1795" t="s">
        <v>3</v>
      </c>
      <c r="D1795" s="2">
        <v>19300</v>
      </c>
      <c r="E1795" s="2">
        <v>13510</v>
      </c>
      <c r="F1795" t="s">
        <v>5</v>
      </c>
      <c r="G1795" t="s">
        <v>4455</v>
      </c>
      <c r="H1795" t="s">
        <v>4456</v>
      </c>
      <c r="I1795">
        <v>178.18</v>
      </c>
    </row>
    <row r="1796" spans="1:9" ht="94.35" customHeight="1">
      <c r="A1796" s="1" t="str">
        <f>"Chemistry 6037"</f>
        <v>Chemistry 6037</v>
      </c>
      <c r="B1796" t="s">
        <v>4457</v>
      </c>
      <c r="C1796" t="s">
        <v>128</v>
      </c>
      <c r="D1796" s="2">
        <v>28000</v>
      </c>
      <c r="E1796" s="2">
        <v>16800</v>
      </c>
      <c r="F1796" t="s">
        <v>5</v>
      </c>
      <c r="G1796" t="s">
        <v>4458</v>
      </c>
      <c r="H1796" t="s">
        <v>4459</v>
      </c>
      <c r="I1796">
        <v>251.76</v>
      </c>
    </row>
    <row r="1797" spans="1:9" ht="94.35" customHeight="1">
      <c r="A1797" s="1" t="str">
        <f>"Chemistry 6038"</f>
        <v>Chemistry 6038</v>
      </c>
      <c r="B1797" t="s">
        <v>4460</v>
      </c>
      <c r="C1797" t="s">
        <v>128</v>
      </c>
      <c r="D1797" s="2">
        <v>28000</v>
      </c>
      <c r="E1797" s="2">
        <v>16800</v>
      </c>
      <c r="F1797" t="s">
        <v>5</v>
      </c>
      <c r="G1797" t="s">
        <v>4461</v>
      </c>
      <c r="H1797" t="s">
        <v>4459</v>
      </c>
      <c r="I1797">
        <v>251.76</v>
      </c>
    </row>
    <row r="1798" spans="1:9" ht="73.5" customHeight="1">
      <c r="A1798" s="1" t="str">
        <f>"Chemistry 6039"</f>
        <v>Chemistry 6039</v>
      </c>
      <c r="B1798" t="s">
        <v>4462</v>
      </c>
      <c r="C1798" t="s">
        <v>128</v>
      </c>
      <c r="D1798" s="2">
        <v>17500</v>
      </c>
      <c r="E1798" s="2">
        <v>12250</v>
      </c>
      <c r="F1798" t="s">
        <v>5</v>
      </c>
      <c r="G1798" t="s">
        <v>4463</v>
      </c>
      <c r="H1798" t="s">
        <v>4464</v>
      </c>
      <c r="I1798">
        <v>192.69</v>
      </c>
    </row>
    <row r="1799" spans="1:9" ht="85.35" customHeight="1">
      <c r="A1799" s="1" t="str">
        <f>"Chemistry 6040"</f>
        <v>Chemistry 6040</v>
      </c>
      <c r="B1799" t="s">
        <v>4465</v>
      </c>
      <c r="C1799" t="s">
        <v>128</v>
      </c>
      <c r="D1799" s="2">
        <v>17500</v>
      </c>
      <c r="E1799" s="2">
        <v>12250</v>
      </c>
      <c r="F1799" t="s">
        <v>5</v>
      </c>
      <c r="G1799" t="s">
        <v>4466</v>
      </c>
      <c r="H1799" t="s">
        <v>4467</v>
      </c>
      <c r="I1799">
        <v>206.71</v>
      </c>
    </row>
    <row r="1800" spans="1:9" ht="84.75" customHeight="1">
      <c r="A1800" s="1" t="str">
        <f>"Chemistry 6041"</f>
        <v>Chemistry 6041</v>
      </c>
      <c r="B1800" t="s">
        <v>4468</v>
      </c>
      <c r="C1800" t="s">
        <v>128</v>
      </c>
      <c r="D1800" s="2">
        <v>24500</v>
      </c>
      <c r="E1800" s="2">
        <v>17150</v>
      </c>
      <c r="F1800" t="s">
        <v>5</v>
      </c>
      <c r="G1800" t="s">
        <v>4469</v>
      </c>
      <c r="H1800" t="s">
        <v>4470</v>
      </c>
      <c r="I1800">
        <v>218.72</v>
      </c>
    </row>
    <row r="1801" spans="1:9" ht="84.75" customHeight="1">
      <c r="A1801" s="1" t="str">
        <f>"Chemistry 6042"</f>
        <v>Chemistry 6042</v>
      </c>
      <c r="B1801" t="s">
        <v>4471</v>
      </c>
      <c r="C1801" t="s">
        <v>128</v>
      </c>
      <c r="D1801" s="2">
        <v>24500</v>
      </c>
      <c r="E1801" s="2">
        <v>17150</v>
      </c>
      <c r="F1801" t="s">
        <v>5</v>
      </c>
      <c r="G1801" t="s">
        <v>4472</v>
      </c>
      <c r="H1801" t="s">
        <v>4473</v>
      </c>
      <c r="I1801">
        <v>220.7</v>
      </c>
    </row>
    <row r="1802" spans="1:9" ht="84.75" customHeight="1">
      <c r="A1802" s="1" t="str">
        <f>"Chemistry 6044"</f>
        <v>Chemistry 6044</v>
      </c>
      <c r="B1802" t="s">
        <v>4474</v>
      </c>
      <c r="C1802" t="s">
        <v>128</v>
      </c>
      <c r="D1802" s="2">
        <v>24500</v>
      </c>
      <c r="E1802" s="2">
        <v>17150</v>
      </c>
      <c r="F1802" t="s">
        <v>5</v>
      </c>
      <c r="G1802" t="s">
        <v>4475</v>
      </c>
      <c r="H1802" t="s">
        <v>4476</v>
      </c>
      <c r="I1802">
        <v>219.71</v>
      </c>
    </row>
    <row r="1803" spans="1:9" ht="75.75" customHeight="1">
      <c r="A1803" s="1" t="str">
        <f>"Chemistry 6046"</f>
        <v>Chemistry 6046</v>
      </c>
      <c r="B1803" t="s">
        <v>4477</v>
      </c>
      <c r="C1803" t="s">
        <v>270</v>
      </c>
      <c r="D1803" s="2">
        <v>22800</v>
      </c>
      <c r="E1803" s="2">
        <v>15959.999999999998</v>
      </c>
      <c r="F1803" t="s">
        <v>5</v>
      </c>
      <c r="G1803" t="s">
        <v>4478</v>
      </c>
      <c r="H1803" t="s">
        <v>4479</v>
      </c>
      <c r="I1803">
        <v>241.11</v>
      </c>
    </row>
    <row r="1804" spans="1:9" ht="75.3" customHeight="1">
      <c r="A1804" s="1" t="str">
        <f>"Chemistry 6047"</f>
        <v>Chemistry 6047</v>
      </c>
      <c r="B1804" t="s">
        <v>4480</v>
      </c>
      <c r="C1804" t="s">
        <v>270</v>
      </c>
      <c r="D1804" s="2">
        <v>24500</v>
      </c>
      <c r="E1804" s="2">
        <v>17150</v>
      </c>
      <c r="F1804" t="s">
        <v>5</v>
      </c>
      <c r="G1804" t="s">
        <v>4481</v>
      </c>
      <c r="H1804" t="s">
        <v>4482</v>
      </c>
      <c r="I1804">
        <v>225.12</v>
      </c>
    </row>
    <row r="1805" spans="1:9" ht="89.85" customHeight="1">
      <c r="A1805" s="1" t="str">
        <f>"Chemistry 6050"</f>
        <v>Chemistry 6050</v>
      </c>
      <c r="B1805" t="s">
        <v>4483</v>
      </c>
      <c r="C1805" t="s">
        <v>128</v>
      </c>
      <c r="D1805" s="2">
        <v>26300</v>
      </c>
      <c r="E1805" s="2">
        <v>15780</v>
      </c>
      <c r="F1805" t="s">
        <v>5</v>
      </c>
      <c r="G1805" t="s">
        <v>4484</v>
      </c>
      <c r="H1805" t="s">
        <v>4485</v>
      </c>
      <c r="I1805">
        <v>239.7</v>
      </c>
    </row>
    <row r="1806" spans="1:9" ht="89.85" customHeight="1">
      <c r="A1806" s="1" t="str">
        <f>"Chemistry 6051"</f>
        <v>Chemistry 6051</v>
      </c>
      <c r="B1806" t="s">
        <v>4486</v>
      </c>
      <c r="C1806" t="s">
        <v>128</v>
      </c>
      <c r="D1806" s="2">
        <v>28000</v>
      </c>
      <c r="E1806" s="2">
        <v>16800</v>
      </c>
      <c r="F1806" t="s">
        <v>5</v>
      </c>
      <c r="G1806" t="s">
        <v>4487</v>
      </c>
      <c r="H1806" t="s">
        <v>4488</v>
      </c>
      <c r="I1806">
        <v>253.73</v>
      </c>
    </row>
    <row r="1807" spans="1:9" ht="89.85" customHeight="1">
      <c r="A1807" s="1" t="str">
        <f>"Chemistry 6052"</f>
        <v>Chemistry 6052</v>
      </c>
      <c r="B1807" t="s">
        <v>4489</v>
      </c>
      <c r="C1807" t="s">
        <v>128</v>
      </c>
      <c r="D1807" s="2">
        <v>26300</v>
      </c>
      <c r="E1807" s="2">
        <v>15780</v>
      </c>
      <c r="F1807" t="s">
        <v>5</v>
      </c>
      <c r="G1807" t="s">
        <v>4490</v>
      </c>
      <c r="H1807" t="s">
        <v>4485</v>
      </c>
      <c r="I1807">
        <v>239.7</v>
      </c>
    </row>
    <row r="1808" spans="1:9" ht="89.85" customHeight="1">
      <c r="A1808" s="1" t="str">
        <f>"Chemistry 6053"</f>
        <v>Chemistry 6053</v>
      </c>
      <c r="B1808" t="s">
        <v>4491</v>
      </c>
      <c r="C1808" t="s">
        <v>128</v>
      </c>
      <c r="D1808" s="2">
        <v>28000</v>
      </c>
      <c r="E1808" s="2">
        <v>16800</v>
      </c>
      <c r="F1808" t="s">
        <v>5</v>
      </c>
      <c r="G1808" t="s">
        <v>4492</v>
      </c>
      <c r="H1808" t="s">
        <v>4488</v>
      </c>
      <c r="I1808">
        <v>253.73</v>
      </c>
    </row>
    <row r="1809" spans="1:9" ht="94.95" customHeight="1">
      <c r="A1809" s="1" t="str">
        <f>"Chemistry 6054"</f>
        <v>Chemistry 6054</v>
      </c>
      <c r="B1809" t="s">
        <v>4493</v>
      </c>
      <c r="C1809" t="s">
        <v>128</v>
      </c>
      <c r="D1809" s="2">
        <v>28000</v>
      </c>
      <c r="E1809" s="2">
        <v>16800</v>
      </c>
      <c r="F1809" t="s">
        <v>5</v>
      </c>
      <c r="G1809" t="s">
        <v>4494</v>
      </c>
      <c r="H1809" t="s">
        <v>4495</v>
      </c>
      <c r="I1809">
        <v>237.73</v>
      </c>
    </row>
    <row r="1810" spans="1:9" ht="89.85" customHeight="1">
      <c r="A1810" s="1" t="str">
        <f>"Chemistry 6055"</f>
        <v>Chemistry 6055</v>
      </c>
      <c r="B1810" t="s">
        <v>4496</v>
      </c>
      <c r="C1810" t="s">
        <v>128</v>
      </c>
      <c r="D1810" s="2">
        <v>28000</v>
      </c>
      <c r="E1810" s="2">
        <v>16800</v>
      </c>
      <c r="F1810" t="s">
        <v>5</v>
      </c>
      <c r="G1810" t="s">
        <v>4497</v>
      </c>
      <c r="H1810" t="s">
        <v>4495</v>
      </c>
      <c r="I1810">
        <v>237.73</v>
      </c>
    </row>
    <row r="1811" spans="1:9" ht="96" customHeight="1">
      <c r="A1811" s="1" t="str">
        <f>"Chemistry 6056"</f>
        <v>Chemistry 6056</v>
      </c>
      <c r="B1811" t="s">
        <v>4498</v>
      </c>
      <c r="C1811" t="s">
        <v>270</v>
      </c>
      <c r="D1811" s="2">
        <v>28000</v>
      </c>
      <c r="E1811" s="2">
        <v>16800</v>
      </c>
      <c r="F1811" t="s">
        <v>5</v>
      </c>
      <c r="G1811" t="s">
        <v>4499</v>
      </c>
      <c r="H1811" t="s">
        <v>4500</v>
      </c>
      <c r="I1811">
        <v>289.2</v>
      </c>
    </row>
    <row r="1812" spans="1:9" ht="84.75" customHeight="1">
      <c r="A1812" s="1" t="str">
        <f>"Chemistry 6057"</f>
        <v>Chemistry 6057</v>
      </c>
      <c r="B1812" t="s">
        <v>4501</v>
      </c>
      <c r="C1812" t="s">
        <v>128</v>
      </c>
      <c r="D1812" s="2">
        <v>23700</v>
      </c>
      <c r="E1812" s="2">
        <v>16590</v>
      </c>
      <c r="F1812" t="s">
        <v>5</v>
      </c>
      <c r="G1812" t="s">
        <v>4502</v>
      </c>
      <c r="H1812" t="s">
        <v>4503</v>
      </c>
      <c r="I1812">
        <v>185.67</v>
      </c>
    </row>
    <row r="1813" spans="1:9" ht="80.25" customHeight="1">
      <c r="A1813" s="1" t="str">
        <f>"Chemistry 6058"</f>
        <v>Chemistry 6058</v>
      </c>
      <c r="B1813" t="s">
        <v>4504</v>
      </c>
      <c r="C1813" t="s">
        <v>128</v>
      </c>
      <c r="D1813" s="2">
        <v>23700</v>
      </c>
      <c r="E1813" s="2">
        <v>16590</v>
      </c>
      <c r="F1813" t="s">
        <v>5</v>
      </c>
      <c r="G1813" t="s">
        <v>4505</v>
      </c>
      <c r="H1813" t="s">
        <v>4506</v>
      </c>
      <c r="I1813">
        <v>199.7</v>
      </c>
    </row>
    <row r="1814" spans="1:9" ht="64.05" customHeight="1">
      <c r="A1814" s="1" t="str">
        <f>"Chemistry 6059"</f>
        <v>Chemistry 6059</v>
      </c>
      <c r="B1814" t="s">
        <v>4507</v>
      </c>
      <c r="C1814" t="s">
        <v>128</v>
      </c>
      <c r="D1814" s="2">
        <v>29800</v>
      </c>
      <c r="E1814" s="2">
        <v>17880</v>
      </c>
      <c r="F1814" t="s">
        <v>5</v>
      </c>
      <c r="G1814" t="s">
        <v>4508</v>
      </c>
      <c r="H1814" t="s">
        <v>4509</v>
      </c>
      <c r="I1814">
        <v>225.71</v>
      </c>
    </row>
    <row r="1815" spans="1:9" ht="84.75" customHeight="1">
      <c r="A1815" s="1" t="str">
        <f>"Chemistry 6062"</f>
        <v>Chemistry 6062</v>
      </c>
      <c r="B1815" t="s">
        <v>4510</v>
      </c>
      <c r="C1815" t="s">
        <v>128</v>
      </c>
      <c r="D1815" s="2">
        <v>19300</v>
      </c>
      <c r="E1815" s="2">
        <v>13510</v>
      </c>
      <c r="F1815" t="s">
        <v>5</v>
      </c>
      <c r="G1815" t="s">
        <v>4511</v>
      </c>
      <c r="H1815" t="s">
        <v>4512</v>
      </c>
      <c r="I1815">
        <v>220.74</v>
      </c>
    </row>
    <row r="1816" spans="1:9" ht="84.75" customHeight="1">
      <c r="A1816" s="1" t="str">
        <f>"Chemistry 6063"</f>
        <v>Chemistry 6063</v>
      </c>
      <c r="B1816" t="s">
        <v>4513</v>
      </c>
      <c r="C1816" t="s">
        <v>128</v>
      </c>
      <c r="D1816" s="2">
        <v>24500</v>
      </c>
      <c r="E1816" s="2">
        <v>17150</v>
      </c>
      <c r="F1816" t="s">
        <v>5</v>
      </c>
      <c r="G1816" t="s">
        <v>4514</v>
      </c>
      <c r="H1816" t="s">
        <v>4515</v>
      </c>
      <c r="I1816">
        <v>218.72</v>
      </c>
    </row>
    <row r="1817" spans="1:9" ht="84.75" customHeight="1">
      <c r="A1817" s="1" t="str">
        <f>"Chemistry 6064"</f>
        <v>Chemistry 6064</v>
      </c>
      <c r="B1817" t="s">
        <v>4516</v>
      </c>
      <c r="C1817" t="s">
        <v>128</v>
      </c>
      <c r="D1817" s="2">
        <v>24500</v>
      </c>
      <c r="E1817" s="2">
        <v>17150</v>
      </c>
      <c r="F1817" t="s">
        <v>5</v>
      </c>
      <c r="G1817" t="s">
        <v>4517</v>
      </c>
      <c r="H1817" t="s">
        <v>4518</v>
      </c>
      <c r="I1817">
        <v>220.7</v>
      </c>
    </row>
    <row r="1818" spans="1:9" ht="87" customHeight="1">
      <c r="A1818" s="1" t="str">
        <f>"Chemistry 6066"</f>
        <v>Chemistry 6066</v>
      </c>
      <c r="B1818" t="s">
        <v>4519</v>
      </c>
      <c r="C1818" t="s">
        <v>128</v>
      </c>
      <c r="D1818" s="2">
        <v>24500</v>
      </c>
      <c r="E1818" s="2">
        <v>17150</v>
      </c>
      <c r="F1818" t="s">
        <v>5</v>
      </c>
      <c r="G1818" t="s">
        <v>4520</v>
      </c>
      <c r="H1818" t="s">
        <v>4521</v>
      </c>
      <c r="I1818">
        <v>219.71</v>
      </c>
    </row>
    <row r="1819" spans="1:9" ht="73.5" customHeight="1">
      <c r="A1819" s="1" t="str">
        <f>"Chemistry 6068"</f>
        <v>Chemistry 6068</v>
      </c>
      <c r="B1819" t="s">
        <v>4522</v>
      </c>
      <c r="C1819" t="s">
        <v>128</v>
      </c>
      <c r="D1819" s="2">
        <v>24500</v>
      </c>
      <c r="E1819" s="2">
        <v>17150</v>
      </c>
      <c r="F1819" t="s">
        <v>5</v>
      </c>
      <c r="G1819" t="s">
        <v>4523</v>
      </c>
      <c r="H1819" t="s">
        <v>4524</v>
      </c>
      <c r="I1819">
        <v>204.7</v>
      </c>
    </row>
    <row r="1820" spans="1:9" ht="89.85" customHeight="1">
      <c r="A1820" s="1" t="str">
        <f>"Chemistry 6073"</f>
        <v>Chemistry 6073</v>
      </c>
      <c r="B1820" t="s">
        <v>4526</v>
      </c>
      <c r="C1820" t="s">
        <v>270</v>
      </c>
      <c r="D1820" s="2">
        <v>28000</v>
      </c>
      <c r="E1820" s="2">
        <v>16800</v>
      </c>
      <c r="F1820" t="s">
        <v>5</v>
      </c>
      <c r="G1820" t="s">
        <v>4527</v>
      </c>
      <c r="H1820" t="s">
        <v>4528</v>
      </c>
      <c r="I1820">
        <v>305.2</v>
      </c>
    </row>
    <row r="1821" spans="1:9" ht="78" customHeight="1">
      <c r="A1821" s="1" t="str">
        <f>"Chemistry 6075"</f>
        <v>Chemistry 6075</v>
      </c>
      <c r="B1821" t="s">
        <v>4529</v>
      </c>
      <c r="C1821" t="s">
        <v>128</v>
      </c>
      <c r="D1821" s="2">
        <v>33300</v>
      </c>
      <c r="E1821" s="2">
        <v>19980</v>
      </c>
      <c r="F1821" t="s">
        <v>5</v>
      </c>
      <c r="G1821" t="s">
        <v>4530</v>
      </c>
      <c r="H1821" t="s">
        <v>4531</v>
      </c>
      <c r="I1821">
        <v>243.71</v>
      </c>
    </row>
    <row r="1822" spans="1:9" ht="64.05" customHeight="1">
      <c r="A1822" s="1" t="str">
        <f>"Chemistry 6076"</f>
        <v>Chemistry 6076</v>
      </c>
      <c r="B1822" t="s">
        <v>4532</v>
      </c>
      <c r="C1822" t="s">
        <v>128</v>
      </c>
      <c r="D1822" s="2">
        <v>33300</v>
      </c>
      <c r="E1822" s="2">
        <v>19980</v>
      </c>
      <c r="F1822" t="s">
        <v>5</v>
      </c>
      <c r="G1822" t="s">
        <v>4533</v>
      </c>
      <c r="H1822" t="s">
        <v>4531</v>
      </c>
      <c r="I1822">
        <v>243.71</v>
      </c>
    </row>
    <row r="1823" spans="1:9" ht="67.95" customHeight="1">
      <c r="A1823" s="1" t="str">
        <f>"Chemistry 6077"</f>
        <v>Chemistry 6077</v>
      </c>
      <c r="B1823" t="s">
        <v>4534</v>
      </c>
      <c r="C1823" t="s">
        <v>128</v>
      </c>
      <c r="D1823" s="2">
        <v>33300</v>
      </c>
      <c r="E1823" s="2">
        <v>19980</v>
      </c>
      <c r="F1823" t="s">
        <v>5</v>
      </c>
      <c r="G1823" t="s">
        <v>4535</v>
      </c>
      <c r="H1823" t="s">
        <v>4531</v>
      </c>
      <c r="I1823">
        <v>243.71</v>
      </c>
    </row>
    <row r="1824" spans="1:9" ht="102.3" customHeight="1">
      <c r="A1824" s="1" t="str">
        <f>"Chemistry 6078"</f>
        <v>Chemistry 6078</v>
      </c>
      <c r="B1824" t="s">
        <v>4536</v>
      </c>
      <c r="C1824" t="s">
        <v>128</v>
      </c>
      <c r="D1824" s="2">
        <v>14000</v>
      </c>
      <c r="E1824" s="2">
        <v>9800</v>
      </c>
      <c r="F1824" t="s">
        <v>5</v>
      </c>
      <c r="G1824" t="s">
        <v>4537</v>
      </c>
      <c r="H1824" t="s">
        <v>4538</v>
      </c>
      <c r="I1824">
        <v>258.76</v>
      </c>
    </row>
    <row r="1825" spans="1:9" ht="87.6" customHeight="1">
      <c r="A1825" s="1" t="str">
        <f>"Chemistry 6082"</f>
        <v>Chemistry 6082</v>
      </c>
      <c r="B1825" t="s">
        <v>4539</v>
      </c>
      <c r="C1825" t="s">
        <v>128</v>
      </c>
      <c r="D1825" s="2">
        <v>22800</v>
      </c>
      <c r="E1825" s="2">
        <v>15959.999999999998</v>
      </c>
      <c r="F1825" t="s">
        <v>5</v>
      </c>
      <c r="G1825" t="s">
        <v>4540</v>
      </c>
      <c r="H1825" t="s">
        <v>4541</v>
      </c>
      <c r="I1825">
        <v>176.6</v>
      </c>
    </row>
    <row r="1826" spans="1:9" ht="78" customHeight="1">
      <c r="A1826" s="1" t="str">
        <f>"Chemistry 6083"</f>
        <v>Chemistry 6083</v>
      </c>
      <c r="B1826" t="s">
        <v>4542</v>
      </c>
      <c r="C1826" t="s">
        <v>128</v>
      </c>
      <c r="D1826" s="2">
        <v>22800</v>
      </c>
      <c r="E1826" s="2">
        <v>15959.999999999998</v>
      </c>
      <c r="F1826" t="s">
        <v>5</v>
      </c>
      <c r="G1826" t="s">
        <v>4543</v>
      </c>
      <c r="H1826" t="s">
        <v>4544</v>
      </c>
      <c r="I1826">
        <v>190.63</v>
      </c>
    </row>
    <row r="1827" spans="1:9" ht="77.55" customHeight="1">
      <c r="A1827" s="1" t="str">
        <f>"Chemistry 6084"</f>
        <v>Chemistry 6084</v>
      </c>
      <c r="B1827" t="s">
        <v>4545</v>
      </c>
      <c r="C1827" t="s">
        <v>128</v>
      </c>
      <c r="D1827" s="2">
        <v>22800</v>
      </c>
      <c r="E1827" s="2">
        <v>15959.999999999998</v>
      </c>
      <c r="F1827" t="s">
        <v>5</v>
      </c>
      <c r="G1827" t="s">
        <v>4546</v>
      </c>
      <c r="H1827" t="s">
        <v>4547</v>
      </c>
      <c r="I1827">
        <v>204.65</v>
      </c>
    </row>
    <row r="1828" spans="1:9" ht="102.75" customHeight="1">
      <c r="A1828" s="1" t="str">
        <f>"Chemistry 6085"</f>
        <v>Chemistry 6085</v>
      </c>
      <c r="B1828" t="s">
        <v>4548</v>
      </c>
      <c r="C1828" t="s">
        <v>128</v>
      </c>
      <c r="D1828" s="2">
        <v>22800</v>
      </c>
      <c r="E1828" s="2">
        <v>15959.999999999998</v>
      </c>
      <c r="F1828" t="s">
        <v>5</v>
      </c>
      <c r="G1828" t="s">
        <v>4549</v>
      </c>
      <c r="H1828" t="s">
        <v>4550</v>
      </c>
      <c r="I1828">
        <v>252.7</v>
      </c>
    </row>
    <row r="1829" spans="1:9" ht="102.3" customHeight="1">
      <c r="A1829" s="1" t="str">
        <f>"Chemistry 6086"</f>
        <v>Chemistry 6086</v>
      </c>
      <c r="B1829" t="s">
        <v>4551</v>
      </c>
      <c r="C1829" t="s">
        <v>128</v>
      </c>
      <c r="D1829" s="2">
        <v>22800</v>
      </c>
      <c r="E1829" s="2">
        <v>15959.999999999998</v>
      </c>
      <c r="F1829" t="s">
        <v>5</v>
      </c>
      <c r="G1829" t="s">
        <v>4552</v>
      </c>
      <c r="H1829" t="s">
        <v>4553</v>
      </c>
      <c r="I1829">
        <v>238.67</v>
      </c>
    </row>
    <row r="1830" spans="1:9" ht="106.2" customHeight="1">
      <c r="A1830" s="1" t="str">
        <f>"Chemistry 6088"</f>
        <v>Chemistry 6088</v>
      </c>
      <c r="B1830" t="s">
        <v>4555</v>
      </c>
      <c r="C1830" t="s">
        <v>128</v>
      </c>
      <c r="D1830" s="2">
        <v>22800</v>
      </c>
      <c r="E1830" s="2">
        <v>15959.999999999998</v>
      </c>
      <c r="F1830" t="s">
        <v>5</v>
      </c>
      <c r="G1830" t="s">
        <v>4556</v>
      </c>
      <c r="H1830" t="s">
        <v>4554</v>
      </c>
      <c r="I1830">
        <v>256.66000000000003</v>
      </c>
    </row>
    <row r="1831" spans="1:9" ht="87" customHeight="1">
      <c r="A1831" s="1" t="str">
        <f>"Chemistry 6089"</f>
        <v>Chemistry 6089</v>
      </c>
      <c r="B1831" t="s">
        <v>4557</v>
      </c>
      <c r="C1831" t="s">
        <v>3</v>
      </c>
      <c r="D1831" s="2">
        <v>28000</v>
      </c>
      <c r="E1831" s="2">
        <v>16800</v>
      </c>
      <c r="F1831" t="s">
        <v>5</v>
      </c>
      <c r="G1831" t="s">
        <v>4558</v>
      </c>
      <c r="H1831" t="s">
        <v>2052</v>
      </c>
      <c r="I1831">
        <v>211.26</v>
      </c>
    </row>
    <row r="1832" spans="1:9" ht="70.8" customHeight="1">
      <c r="A1832" s="1" t="str">
        <f>"Chemistry 6090"</f>
        <v>Chemistry 6090</v>
      </c>
      <c r="B1832" t="s">
        <v>4559</v>
      </c>
      <c r="C1832" t="s">
        <v>3</v>
      </c>
      <c r="D1832" s="2">
        <v>28000</v>
      </c>
      <c r="E1832" s="2">
        <v>16800</v>
      </c>
      <c r="F1832" t="s">
        <v>5</v>
      </c>
      <c r="G1832" t="s">
        <v>4560</v>
      </c>
      <c r="H1832" t="s">
        <v>4561</v>
      </c>
      <c r="I1832">
        <v>213.23</v>
      </c>
    </row>
    <row r="1833" spans="1:9" ht="89.25" customHeight="1">
      <c r="A1833" s="1" t="str">
        <f>"Chemistry 6091"</f>
        <v>Chemistry 6091</v>
      </c>
      <c r="B1833" t="s">
        <v>4562</v>
      </c>
      <c r="C1833" t="s">
        <v>128</v>
      </c>
      <c r="D1833" s="2">
        <v>21000</v>
      </c>
      <c r="E1833" s="2">
        <v>14699.999999999998</v>
      </c>
      <c r="F1833" t="s">
        <v>5</v>
      </c>
      <c r="G1833" t="s">
        <v>4563</v>
      </c>
      <c r="H1833" t="s">
        <v>4564</v>
      </c>
      <c r="I1833">
        <v>215.7</v>
      </c>
    </row>
    <row r="1834" spans="1:9" ht="67.95" customHeight="1">
      <c r="A1834" s="1" t="str">
        <f>"Chemistry 6093"</f>
        <v>Chemistry 6093</v>
      </c>
      <c r="B1834" t="s">
        <v>4565</v>
      </c>
      <c r="C1834" t="s">
        <v>3</v>
      </c>
      <c r="D1834" s="2">
        <v>38500</v>
      </c>
      <c r="E1834" s="2">
        <v>23100</v>
      </c>
      <c r="F1834" t="s">
        <v>5</v>
      </c>
      <c r="G1834" t="s">
        <v>4566</v>
      </c>
      <c r="H1834" t="s">
        <v>1835</v>
      </c>
      <c r="I1834">
        <v>155.24</v>
      </c>
    </row>
    <row r="1835" spans="1:9" ht="87" customHeight="1">
      <c r="A1835" s="1" t="str">
        <f>"Chemistry 6095"</f>
        <v>Chemistry 6095</v>
      </c>
      <c r="B1835" t="s">
        <v>4568</v>
      </c>
      <c r="C1835" t="s">
        <v>3</v>
      </c>
      <c r="D1835" s="2">
        <v>22800</v>
      </c>
      <c r="E1835" s="2">
        <v>15959.999999999998</v>
      </c>
      <c r="F1835" t="s">
        <v>5</v>
      </c>
      <c r="G1835" t="s">
        <v>4569</v>
      </c>
      <c r="H1835" t="s">
        <v>4116</v>
      </c>
      <c r="I1835">
        <v>206.2</v>
      </c>
    </row>
    <row r="1836" spans="1:9" ht="94.35" customHeight="1">
      <c r="A1836" s="1" t="str">
        <f>"Chemistry 6097"</f>
        <v>Chemistry 6097</v>
      </c>
      <c r="B1836" t="s">
        <v>4570</v>
      </c>
      <c r="C1836" t="s">
        <v>3</v>
      </c>
      <c r="D1836" s="2">
        <v>23700</v>
      </c>
      <c r="E1836" s="2">
        <v>16590</v>
      </c>
      <c r="F1836" t="s">
        <v>5</v>
      </c>
      <c r="G1836" t="s">
        <v>4571</v>
      </c>
      <c r="H1836" t="s">
        <v>2258</v>
      </c>
      <c r="I1836">
        <v>202.21</v>
      </c>
    </row>
    <row r="1837" spans="1:9" ht="70.8" customHeight="1">
      <c r="A1837" s="1" t="str">
        <f>"Chemistry 6101"</f>
        <v>Chemistry 6101</v>
      </c>
      <c r="B1837" t="s">
        <v>4572</v>
      </c>
      <c r="C1837" t="s">
        <v>3</v>
      </c>
      <c r="D1837" s="2">
        <v>26300</v>
      </c>
      <c r="E1837" s="2">
        <v>15780</v>
      </c>
      <c r="F1837" t="s">
        <v>5</v>
      </c>
      <c r="G1837" t="s">
        <v>4573</v>
      </c>
      <c r="H1837" t="s">
        <v>4574</v>
      </c>
      <c r="I1837">
        <v>215.25</v>
      </c>
    </row>
    <row r="1838" spans="1:9" ht="93.75" customHeight="1">
      <c r="A1838" s="1" t="str">
        <f>"Chemistry 6102"</f>
        <v>Chemistry 6102</v>
      </c>
      <c r="B1838" t="s">
        <v>4575</v>
      </c>
      <c r="C1838" t="s">
        <v>3</v>
      </c>
      <c r="D1838" s="2">
        <v>26300</v>
      </c>
      <c r="E1838" s="2">
        <v>15780</v>
      </c>
      <c r="F1838" t="s">
        <v>5</v>
      </c>
      <c r="G1838" t="s">
        <v>4576</v>
      </c>
      <c r="H1838" t="s">
        <v>4577</v>
      </c>
      <c r="I1838">
        <v>229.27</v>
      </c>
    </row>
    <row r="1839" spans="1:9" ht="91.5" customHeight="1">
      <c r="A1839" s="1" t="str">
        <f>"Chemistry 6106"</f>
        <v>Chemistry 6106</v>
      </c>
      <c r="B1839" t="s">
        <v>4579</v>
      </c>
      <c r="C1839" t="s">
        <v>128</v>
      </c>
      <c r="D1839" s="2">
        <v>23700</v>
      </c>
      <c r="E1839" s="2">
        <v>16590</v>
      </c>
      <c r="F1839" t="s">
        <v>5</v>
      </c>
      <c r="G1839" t="s">
        <v>4580</v>
      </c>
      <c r="H1839" t="s">
        <v>4578</v>
      </c>
      <c r="I1839">
        <v>253.73</v>
      </c>
    </row>
    <row r="1840" spans="1:9" ht="84.75" customHeight="1">
      <c r="A1840" s="1" t="str">
        <f>"Chemistry 6107"</f>
        <v>Chemistry 6107</v>
      </c>
      <c r="B1840" t="s">
        <v>4581</v>
      </c>
      <c r="C1840" t="s">
        <v>128</v>
      </c>
      <c r="D1840" s="2">
        <v>28000</v>
      </c>
      <c r="E1840" s="2">
        <v>16800</v>
      </c>
      <c r="F1840" t="s">
        <v>5</v>
      </c>
      <c r="G1840" t="s">
        <v>4582</v>
      </c>
      <c r="H1840" t="s">
        <v>4583</v>
      </c>
      <c r="I1840">
        <v>269.75</v>
      </c>
    </row>
    <row r="1841" spans="1:9" ht="101.7" customHeight="1">
      <c r="A1841" s="1" t="str">
        <f>"Chemistry 6108"</f>
        <v>Chemistry 6108</v>
      </c>
      <c r="B1841" t="s">
        <v>4584</v>
      </c>
      <c r="C1841" t="s">
        <v>128</v>
      </c>
      <c r="D1841" s="2">
        <v>28000</v>
      </c>
      <c r="E1841" s="2">
        <v>16800</v>
      </c>
      <c r="F1841" t="s">
        <v>5</v>
      </c>
      <c r="G1841" t="s">
        <v>4585</v>
      </c>
      <c r="H1841" t="s">
        <v>4583</v>
      </c>
      <c r="I1841">
        <v>269.75</v>
      </c>
    </row>
    <row r="1842" spans="1:9" ht="101.7" customHeight="1">
      <c r="A1842" s="1" t="str">
        <f>"Chemistry 6109"</f>
        <v>Chemistry 6109</v>
      </c>
      <c r="B1842" t="s">
        <v>4586</v>
      </c>
      <c r="C1842" t="s">
        <v>128</v>
      </c>
      <c r="D1842" s="2">
        <v>28000</v>
      </c>
      <c r="E1842" s="2">
        <v>16800</v>
      </c>
      <c r="F1842" t="s">
        <v>5</v>
      </c>
      <c r="G1842" t="s">
        <v>4587</v>
      </c>
      <c r="H1842" t="s">
        <v>4583</v>
      </c>
      <c r="I1842">
        <v>269.75</v>
      </c>
    </row>
    <row r="1843" spans="1:9" ht="84.75" customHeight="1">
      <c r="A1843" s="1" t="str">
        <f>"Chemistry 6110"</f>
        <v>Chemistry 6110</v>
      </c>
      <c r="B1843" t="s">
        <v>4588</v>
      </c>
      <c r="C1843" t="s">
        <v>128</v>
      </c>
      <c r="D1843" s="2">
        <v>28000</v>
      </c>
      <c r="E1843" s="2">
        <v>16800</v>
      </c>
      <c r="F1843" t="s">
        <v>5</v>
      </c>
      <c r="G1843" t="s">
        <v>4589</v>
      </c>
      <c r="H1843" t="s">
        <v>4583</v>
      </c>
      <c r="I1843">
        <v>269.75</v>
      </c>
    </row>
    <row r="1844" spans="1:9" ht="106.2" customHeight="1">
      <c r="A1844" s="1" t="str">
        <f>"Chemistry 6111"</f>
        <v>Chemistry 6111</v>
      </c>
      <c r="B1844" t="s">
        <v>4590</v>
      </c>
      <c r="C1844" t="s">
        <v>128</v>
      </c>
      <c r="D1844" s="2">
        <v>22800</v>
      </c>
      <c r="E1844" s="2">
        <v>15959.999999999998</v>
      </c>
      <c r="F1844" t="s">
        <v>5</v>
      </c>
      <c r="G1844" t="s">
        <v>4591</v>
      </c>
      <c r="H1844" t="s">
        <v>4592</v>
      </c>
      <c r="I1844">
        <v>256.66000000000003</v>
      </c>
    </row>
    <row r="1845" spans="1:9" ht="91.5" customHeight="1">
      <c r="A1845" s="1" t="str">
        <f>"Chemistry 6113"</f>
        <v>Chemistry 6113</v>
      </c>
      <c r="B1845" t="s">
        <v>4593</v>
      </c>
      <c r="C1845" t="s">
        <v>3</v>
      </c>
      <c r="D1845" s="2">
        <v>28000</v>
      </c>
      <c r="E1845" s="2">
        <v>16800</v>
      </c>
      <c r="F1845" t="s">
        <v>5</v>
      </c>
      <c r="G1845" t="s">
        <v>4594</v>
      </c>
      <c r="H1845" t="s">
        <v>3510</v>
      </c>
      <c r="I1845">
        <v>227.26</v>
      </c>
    </row>
    <row r="1846" spans="1:9" ht="90.45" customHeight="1">
      <c r="A1846" s="1" t="str">
        <f>"Chemistry 6115"</f>
        <v>Chemistry 6115</v>
      </c>
      <c r="B1846" t="s">
        <v>4595</v>
      </c>
      <c r="C1846" t="s">
        <v>3</v>
      </c>
      <c r="D1846" s="2">
        <v>23700</v>
      </c>
      <c r="E1846" s="2">
        <v>16590</v>
      </c>
      <c r="F1846" t="s">
        <v>5</v>
      </c>
      <c r="G1846" t="s">
        <v>4596</v>
      </c>
      <c r="H1846" t="s">
        <v>1194</v>
      </c>
      <c r="I1846">
        <v>218.21</v>
      </c>
    </row>
    <row r="1847" spans="1:9" ht="90.45" customHeight="1">
      <c r="A1847" s="1" t="str">
        <f>"Chemistry 6116"</f>
        <v>Chemistry 6116</v>
      </c>
      <c r="B1847" t="s">
        <v>4597</v>
      </c>
      <c r="C1847" t="s">
        <v>3</v>
      </c>
      <c r="D1847" s="2">
        <v>23700</v>
      </c>
      <c r="E1847" s="2">
        <v>16590</v>
      </c>
      <c r="F1847" t="s">
        <v>5</v>
      </c>
      <c r="G1847" t="s">
        <v>4598</v>
      </c>
      <c r="H1847" t="s">
        <v>1194</v>
      </c>
      <c r="I1847">
        <v>218.21</v>
      </c>
    </row>
    <row r="1848" spans="1:9" ht="106.2" customHeight="1">
      <c r="A1848" s="1" t="str">
        <f>"Chemistry 6118"</f>
        <v>Chemistry 6118</v>
      </c>
      <c r="B1848" t="s">
        <v>4599</v>
      </c>
      <c r="C1848" t="s">
        <v>128</v>
      </c>
      <c r="D1848" s="2">
        <v>22800</v>
      </c>
      <c r="E1848" s="2">
        <v>15959.999999999998</v>
      </c>
      <c r="F1848" t="s">
        <v>5</v>
      </c>
      <c r="G1848" t="s">
        <v>4600</v>
      </c>
      <c r="H1848" t="s">
        <v>4601</v>
      </c>
      <c r="I1848">
        <v>223.7</v>
      </c>
    </row>
    <row r="1849" spans="1:9" ht="106.2" customHeight="1">
      <c r="A1849" s="1" t="str">
        <f>"Chemistry 6119"</f>
        <v>Chemistry 6119</v>
      </c>
      <c r="B1849" t="s">
        <v>4602</v>
      </c>
      <c r="C1849" t="s">
        <v>128</v>
      </c>
      <c r="D1849" s="2">
        <v>22800</v>
      </c>
      <c r="E1849" s="2">
        <v>15959.999999999998</v>
      </c>
      <c r="F1849" t="s">
        <v>5</v>
      </c>
      <c r="G1849" t="s">
        <v>4603</v>
      </c>
      <c r="H1849" t="s">
        <v>4604</v>
      </c>
      <c r="I1849">
        <v>241.69</v>
      </c>
    </row>
    <row r="1850" spans="1:9" ht="92.1" customHeight="1">
      <c r="A1850" s="1" t="str">
        <f>"Chemistry 6120"</f>
        <v>Chemistry 6120</v>
      </c>
      <c r="B1850" t="s">
        <v>4605</v>
      </c>
      <c r="C1850" t="s">
        <v>128</v>
      </c>
      <c r="D1850" s="2">
        <v>22800</v>
      </c>
      <c r="E1850" s="2">
        <v>15959.999999999998</v>
      </c>
      <c r="F1850" t="s">
        <v>5</v>
      </c>
      <c r="G1850" t="s">
        <v>4606</v>
      </c>
      <c r="H1850" t="s">
        <v>4607</v>
      </c>
      <c r="I1850">
        <v>209.68</v>
      </c>
    </row>
    <row r="1851" spans="1:9" ht="92.1" customHeight="1">
      <c r="A1851" s="1" t="str">
        <f>"Chemistry 6121"</f>
        <v>Chemistry 6121</v>
      </c>
      <c r="B1851" t="s">
        <v>4608</v>
      </c>
      <c r="C1851" t="s">
        <v>128</v>
      </c>
      <c r="D1851" s="2">
        <v>22800</v>
      </c>
      <c r="E1851" s="2">
        <v>15959.999999999998</v>
      </c>
      <c r="F1851" t="s">
        <v>5</v>
      </c>
      <c r="G1851" t="s">
        <v>4609</v>
      </c>
      <c r="H1851" t="s">
        <v>4610</v>
      </c>
      <c r="I1851">
        <v>227.67</v>
      </c>
    </row>
    <row r="1852" spans="1:9" ht="93.3" customHeight="1">
      <c r="A1852" s="1" t="str">
        <f>"Chemistry 6122"</f>
        <v>Chemistry 6122</v>
      </c>
      <c r="B1852" t="s">
        <v>4611</v>
      </c>
      <c r="C1852" t="s">
        <v>128</v>
      </c>
      <c r="D1852" s="2">
        <v>22800</v>
      </c>
      <c r="E1852" s="2">
        <v>15959.999999999998</v>
      </c>
      <c r="F1852" t="s">
        <v>5</v>
      </c>
      <c r="G1852" t="s">
        <v>4612</v>
      </c>
      <c r="H1852" t="s">
        <v>4610</v>
      </c>
      <c r="I1852">
        <v>227.67</v>
      </c>
    </row>
    <row r="1853" spans="1:9" ht="102.3" customHeight="1">
      <c r="A1853" s="1" t="str">
        <f>"Chemistry 6124"</f>
        <v>Chemistry 6124</v>
      </c>
      <c r="B1853" t="s">
        <v>4613</v>
      </c>
      <c r="C1853" t="s">
        <v>270</v>
      </c>
      <c r="D1853" s="2">
        <v>23700</v>
      </c>
      <c r="E1853" s="2">
        <v>16590</v>
      </c>
      <c r="F1853" t="s">
        <v>5</v>
      </c>
      <c r="G1853" t="s">
        <v>4614</v>
      </c>
      <c r="H1853" t="s">
        <v>4615</v>
      </c>
      <c r="I1853">
        <v>261.14999999999998</v>
      </c>
    </row>
    <row r="1854" spans="1:9" ht="92.1" customHeight="1">
      <c r="A1854" s="1" t="str">
        <f>"Chemistry 6126"</f>
        <v>Chemistry 6126</v>
      </c>
      <c r="B1854" t="s">
        <v>4616</v>
      </c>
      <c r="C1854" t="s">
        <v>270</v>
      </c>
      <c r="D1854" s="2">
        <v>23700</v>
      </c>
      <c r="E1854" s="2">
        <v>16590</v>
      </c>
      <c r="F1854" t="s">
        <v>5</v>
      </c>
      <c r="G1854" t="s">
        <v>4617</v>
      </c>
      <c r="H1854" t="s">
        <v>4615</v>
      </c>
      <c r="I1854">
        <v>261.14999999999998</v>
      </c>
    </row>
    <row r="1855" spans="1:9" ht="105.6" customHeight="1">
      <c r="A1855" s="1" t="str">
        <f>"Chemistry 6129"</f>
        <v>Chemistry 6129</v>
      </c>
      <c r="B1855" t="s">
        <v>4618</v>
      </c>
      <c r="C1855" t="s">
        <v>128</v>
      </c>
      <c r="D1855" s="2">
        <v>22800</v>
      </c>
      <c r="E1855" s="2">
        <v>15959.999999999998</v>
      </c>
      <c r="F1855" t="s">
        <v>5</v>
      </c>
      <c r="G1855" t="s">
        <v>4619</v>
      </c>
      <c r="H1855" t="s">
        <v>4604</v>
      </c>
      <c r="I1855">
        <v>241.69</v>
      </c>
    </row>
    <row r="1856" spans="1:9" ht="79.2" customHeight="1">
      <c r="A1856" s="1" t="str">
        <f>"Chemistry 6135"</f>
        <v>Chemistry 6135</v>
      </c>
      <c r="B1856" t="s">
        <v>4620</v>
      </c>
      <c r="C1856" t="s">
        <v>3</v>
      </c>
      <c r="D1856" s="2">
        <v>35000</v>
      </c>
      <c r="E1856" s="2">
        <v>21000</v>
      </c>
      <c r="F1856" t="s">
        <v>5</v>
      </c>
      <c r="G1856" t="s">
        <v>4621</v>
      </c>
      <c r="H1856" t="s">
        <v>4622</v>
      </c>
      <c r="I1856">
        <v>208.21</v>
      </c>
    </row>
    <row r="1857" spans="1:9" ht="99.45" customHeight="1">
      <c r="A1857" s="1" t="str">
        <f>"Chemistry 6136"</f>
        <v>Chemistry 6136</v>
      </c>
      <c r="B1857" t="s">
        <v>4623</v>
      </c>
      <c r="C1857" t="s">
        <v>3</v>
      </c>
      <c r="D1857" s="2">
        <v>35000</v>
      </c>
      <c r="E1857" s="2">
        <v>21000</v>
      </c>
      <c r="F1857" t="s">
        <v>5</v>
      </c>
      <c r="G1857" t="s">
        <v>4624</v>
      </c>
      <c r="H1857" t="s">
        <v>4622</v>
      </c>
      <c r="I1857">
        <v>208.21</v>
      </c>
    </row>
    <row r="1858" spans="1:9" ht="80.25" customHeight="1">
      <c r="A1858" s="1" t="str">
        <f>"Chemistry 6138"</f>
        <v>Chemistry 6138</v>
      </c>
      <c r="B1858" t="s">
        <v>4626</v>
      </c>
      <c r="C1858" t="s">
        <v>128</v>
      </c>
      <c r="D1858" s="2">
        <v>28000</v>
      </c>
      <c r="E1858" s="2">
        <v>16800</v>
      </c>
      <c r="F1858" t="s">
        <v>5</v>
      </c>
      <c r="G1858" t="s">
        <v>4627</v>
      </c>
      <c r="H1858" t="s">
        <v>4628</v>
      </c>
      <c r="I1858">
        <v>241.64</v>
      </c>
    </row>
    <row r="1859" spans="1:9" ht="73.5" customHeight="1">
      <c r="A1859" s="1" t="str">
        <f>"Chemistry 6139"</f>
        <v>Chemistry 6139</v>
      </c>
      <c r="B1859" t="s">
        <v>4629</v>
      </c>
      <c r="C1859" t="s">
        <v>3</v>
      </c>
      <c r="D1859" s="2">
        <v>19300</v>
      </c>
      <c r="E1859" s="2">
        <v>13510</v>
      </c>
      <c r="F1859" t="s">
        <v>5</v>
      </c>
      <c r="G1859" t="s">
        <v>4630</v>
      </c>
      <c r="H1859" t="s">
        <v>4631</v>
      </c>
      <c r="I1859">
        <v>99.09</v>
      </c>
    </row>
    <row r="1860" spans="1:9" ht="51" customHeight="1">
      <c r="A1860" s="1" t="str">
        <f>"Chemistry 6142"</f>
        <v>Chemistry 6142</v>
      </c>
      <c r="B1860" t="s">
        <v>4632</v>
      </c>
      <c r="C1860" t="s">
        <v>3</v>
      </c>
      <c r="D1860" s="2">
        <v>19300</v>
      </c>
      <c r="E1860" s="2">
        <v>13510</v>
      </c>
      <c r="F1860" t="s">
        <v>5</v>
      </c>
      <c r="G1860" t="s">
        <v>4633</v>
      </c>
      <c r="H1860" t="s">
        <v>2236</v>
      </c>
      <c r="I1860">
        <v>125.13</v>
      </c>
    </row>
    <row r="1861" spans="1:9" ht="72.45" customHeight="1">
      <c r="A1861" s="1" t="str">
        <f>"Chemistry 6151"</f>
        <v>Chemistry 6151</v>
      </c>
      <c r="B1861" t="s">
        <v>4634</v>
      </c>
      <c r="C1861" t="s">
        <v>3</v>
      </c>
      <c r="D1861" s="2">
        <v>21000</v>
      </c>
      <c r="E1861" s="2">
        <v>14699.999999999998</v>
      </c>
      <c r="F1861" t="s">
        <v>5</v>
      </c>
      <c r="G1861" t="s">
        <v>4635</v>
      </c>
      <c r="H1861" t="s">
        <v>1121</v>
      </c>
      <c r="I1861">
        <v>198.65</v>
      </c>
    </row>
    <row r="1862" spans="1:9" ht="75.3" customHeight="1">
      <c r="A1862" s="1" t="str">
        <f>"Chemistry 6152"</f>
        <v>Chemistry 6152</v>
      </c>
      <c r="B1862" t="s">
        <v>4636</v>
      </c>
      <c r="C1862" t="s">
        <v>128</v>
      </c>
      <c r="D1862" s="2">
        <v>33300</v>
      </c>
      <c r="E1862" s="2">
        <v>19980</v>
      </c>
      <c r="F1862" t="s">
        <v>5</v>
      </c>
      <c r="G1862" t="s">
        <v>4637</v>
      </c>
      <c r="H1862" t="s">
        <v>4525</v>
      </c>
      <c r="I1862">
        <v>239.74</v>
      </c>
    </row>
    <row r="1863" spans="1:9" ht="106.2" customHeight="1">
      <c r="A1863" s="1" t="str">
        <f>"Chemistry 6156"</f>
        <v>Chemistry 6156</v>
      </c>
      <c r="B1863" t="s">
        <v>4638</v>
      </c>
      <c r="C1863" t="s">
        <v>3</v>
      </c>
      <c r="D1863" s="2">
        <v>28000</v>
      </c>
      <c r="E1863" s="2">
        <v>16800</v>
      </c>
      <c r="F1863" t="s">
        <v>5</v>
      </c>
      <c r="G1863" t="s">
        <v>4639</v>
      </c>
      <c r="H1863" t="s">
        <v>1507</v>
      </c>
      <c r="I1863">
        <v>331.41</v>
      </c>
    </row>
    <row r="1864" spans="1:9" ht="73.5" customHeight="1">
      <c r="A1864" s="1" t="str">
        <f>"Chemistry 6159"</f>
        <v>Chemistry 6159</v>
      </c>
      <c r="B1864" t="s">
        <v>4640</v>
      </c>
      <c r="C1864" t="s">
        <v>3</v>
      </c>
      <c r="D1864" s="2">
        <v>19300</v>
      </c>
      <c r="E1864" s="2">
        <v>13510</v>
      </c>
      <c r="F1864" t="s">
        <v>5</v>
      </c>
      <c r="G1864" t="s">
        <v>4641</v>
      </c>
      <c r="H1864" t="s">
        <v>4642</v>
      </c>
      <c r="I1864">
        <v>161.16</v>
      </c>
    </row>
    <row r="1865" spans="1:9" ht="80.25" customHeight="1">
      <c r="A1865" s="1" t="str">
        <f>"Chemistry 6162"</f>
        <v>Chemistry 6162</v>
      </c>
      <c r="B1865" t="s">
        <v>4643</v>
      </c>
      <c r="C1865" t="s">
        <v>270</v>
      </c>
      <c r="D1865" s="2">
        <v>17500</v>
      </c>
      <c r="E1865" s="2">
        <v>12250</v>
      </c>
      <c r="F1865" t="s">
        <v>5</v>
      </c>
      <c r="G1865" t="s">
        <v>4644</v>
      </c>
      <c r="H1865" t="s">
        <v>4645</v>
      </c>
      <c r="I1865">
        <v>267.17</v>
      </c>
    </row>
    <row r="1866" spans="1:9" ht="82.5" customHeight="1">
      <c r="A1866" s="1" t="str">
        <f>"Chemistry 6163"</f>
        <v>Chemistry 6163</v>
      </c>
      <c r="B1866" t="s">
        <v>4646</v>
      </c>
      <c r="C1866" t="s">
        <v>270</v>
      </c>
      <c r="D1866" s="2">
        <v>17500</v>
      </c>
      <c r="E1866" s="2">
        <v>12250</v>
      </c>
      <c r="F1866" t="s">
        <v>5</v>
      </c>
      <c r="G1866" t="s">
        <v>4647</v>
      </c>
      <c r="H1866" t="s">
        <v>4645</v>
      </c>
      <c r="I1866">
        <v>267.17</v>
      </c>
    </row>
    <row r="1867" spans="1:9" ht="79.2" customHeight="1">
      <c r="A1867" s="1" t="str">
        <f>"Chemistry 6164"</f>
        <v>Chemistry 6164</v>
      </c>
      <c r="B1867" t="s">
        <v>4648</v>
      </c>
      <c r="C1867" t="s">
        <v>270</v>
      </c>
      <c r="D1867" s="2">
        <v>17500</v>
      </c>
      <c r="E1867" s="2">
        <v>12250</v>
      </c>
      <c r="F1867" t="s">
        <v>5</v>
      </c>
      <c r="G1867" t="s">
        <v>4649</v>
      </c>
      <c r="H1867" t="s">
        <v>4645</v>
      </c>
      <c r="I1867">
        <v>267.17</v>
      </c>
    </row>
    <row r="1868" spans="1:9" ht="81.45" customHeight="1">
      <c r="A1868" s="1" t="str">
        <f>"Chemistry 6165"</f>
        <v>Chemistry 6165</v>
      </c>
      <c r="B1868" t="s">
        <v>4650</v>
      </c>
      <c r="C1868" t="s">
        <v>270</v>
      </c>
      <c r="D1868" s="2">
        <v>16700</v>
      </c>
      <c r="E1868" s="2">
        <v>11690</v>
      </c>
      <c r="F1868" t="s">
        <v>5</v>
      </c>
      <c r="G1868" t="s">
        <v>4651</v>
      </c>
      <c r="H1868" t="s">
        <v>4652</v>
      </c>
      <c r="I1868">
        <v>281.2</v>
      </c>
    </row>
    <row r="1869" spans="1:9" ht="83.1" customHeight="1">
      <c r="A1869" s="1" t="str">
        <f>"Chemistry 6166"</f>
        <v>Chemistry 6166</v>
      </c>
      <c r="B1869" t="s">
        <v>4653</v>
      </c>
      <c r="C1869" t="s">
        <v>270</v>
      </c>
      <c r="D1869" s="2">
        <v>16700</v>
      </c>
      <c r="E1869" s="2">
        <v>11690</v>
      </c>
      <c r="F1869" t="s">
        <v>5</v>
      </c>
      <c r="G1869" t="s">
        <v>4654</v>
      </c>
      <c r="H1869" t="s">
        <v>4652</v>
      </c>
      <c r="I1869">
        <v>281.2</v>
      </c>
    </row>
    <row r="1870" spans="1:9" ht="106.2" customHeight="1">
      <c r="A1870" s="1" t="str">
        <f>"Chemistry 6167"</f>
        <v>Chemistry 6167</v>
      </c>
      <c r="B1870" t="s">
        <v>4655</v>
      </c>
      <c r="C1870" t="s">
        <v>128</v>
      </c>
      <c r="D1870" s="2">
        <v>22800</v>
      </c>
      <c r="E1870" s="2">
        <v>15959.999999999998</v>
      </c>
      <c r="F1870" t="s">
        <v>5</v>
      </c>
      <c r="G1870" t="s">
        <v>4656</v>
      </c>
      <c r="H1870" t="s">
        <v>4604</v>
      </c>
      <c r="I1870">
        <v>241.69</v>
      </c>
    </row>
    <row r="1871" spans="1:9" ht="87" customHeight="1">
      <c r="A1871" s="1" t="str">
        <f>"Chemistry 6173"</f>
        <v>Chemistry 6173</v>
      </c>
      <c r="B1871" t="s">
        <v>4657</v>
      </c>
      <c r="C1871" t="s">
        <v>128</v>
      </c>
      <c r="D1871" s="2">
        <v>38500</v>
      </c>
      <c r="E1871" s="2">
        <v>23100</v>
      </c>
      <c r="F1871" t="s">
        <v>5</v>
      </c>
      <c r="G1871" t="s">
        <v>4658</v>
      </c>
      <c r="H1871" t="s">
        <v>4659</v>
      </c>
      <c r="I1871">
        <v>253.73</v>
      </c>
    </row>
    <row r="1872" spans="1:9" ht="75.3" customHeight="1">
      <c r="A1872" s="1" t="str">
        <f>"Chemistry 6183"</f>
        <v>Chemistry 6183</v>
      </c>
      <c r="B1872" t="s">
        <v>4660</v>
      </c>
      <c r="C1872" t="s">
        <v>270</v>
      </c>
      <c r="D1872" s="2">
        <v>18400</v>
      </c>
      <c r="E1872" s="2">
        <v>12880</v>
      </c>
      <c r="F1872" t="s">
        <v>5</v>
      </c>
      <c r="G1872" t="s">
        <v>4661</v>
      </c>
      <c r="H1872" t="s">
        <v>4662</v>
      </c>
      <c r="I1872">
        <v>257.2</v>
      </c>
    </row>
    <row r="1873" spans="1:9" ht="98.85" customHeight="1">
      <c r="A1873" s="1" t="str">
        <f>"Chemistry 6185"</f>
        <v>Chemistry 6185</v>
      </c>
      <c r="B1873" t="s">
        <v>4663</v>
      </c>
      <c r="C1873" t="s">
        <v>270</v>
      </c>
      <c r="D1873" s="2">
        <v>16700</v>
      </c>
      <c r="E1873" s="2">
        <v>11690</v>
      </c>
      <c r="F1873" t="s">
        <v>5</v>
      </c>
      <c r="G1873" t="s">
        <v>4664</v>
      </c>
      <c r="H1873" t="s">
        <v>4652</v>
      </c>
      <c r="I1873">
        <v>281.2</v>
      </c>
    </row>
    <row r="1874" spans="1:9" ht="98.85" customHeight="1">
      <c r="A1874" s="1" t="str">
        <f>"Chemistry 6186"</f>
        <v>Chemistry 6186</v>
      </c>
      <c r="B1874" t="s">
        <v>4665</v>
      </c>
      <c r="C1874" t="s">
        <v>3</v>
      </c>
      <c r="D1874" s="2">
        <v>25400</v>
      </c>
      <c r="E1874" s="2">
        <v>15240</v>
      </c>
      <c r="F1874" t="s">
        <v>5</v>
      </c>
      <c r="G1874" t="s">
        <v>4666</v>
      </c>
      <c r="H1874" t="s">
        <v>503</v>
      </c>
      <c r="I1874">
        <v>308.39</v>
      </c>
    </row>
    <row r="1875" spans="1:9" ht="67.95" customHeight="1">
      <c r="A1875" s="1" t="str">
        <f>"Chemistry 6187"</f>
        <v>Chemistry 6187</v>
      </c>
      <c r="B1875" t="s">
        <v>4667</v>
      </c>
      <c r="C1875" t="s">
        <v>270</v>
      </c>
      <c r="D1875" s="2">
        <v>21000</v>
      </c>
      <c r="E1875" s="2">
        <v>14699.999999999998</v>
      </c>
      <c r="F1875" t="s">
        <v>5</v>
      </c>
      <c r="G1875" t="s">
        <v>4668</v>
      </c>
      <c r="H1875" t="s">
        <v>4669</v>
      </c>
      <c r="I1875">
        <v>224.13</v>
      </c>
    </row>
    <row r="1876" spans="1:9" ht="88.8" customHeight="1">
      <c r="A1876" s="1" t="str">
        <f>"Chemistry 6190"</f>
        <v>Chemistry 6190</v>
      </c>
      <c r="B1876" t="s">
        <v>4670</v>
      </c>
      <c r="C1876" t="s">
        <v>3</v>
      </c>
      <c r="D1876" s="2">
        <v>21000</v>
      </c>
      <c r="E1876" s="2">
        <v>14699.999999999998</v>
      </c>
      <c r="F1876" t="s">
        <v>5</v>
      </c>
      <c r="G1876" t="s">
        <v>4671</v>
      </c>
      <c r="H1876" t="s">
        <v>2258</v>
      </c>
      <c r="I1876">
        <v>202.21</v>
      </c>
    </row>
    <row r="1877" spans="1:9" ht="106.2" customHeight="1">
      <c r="A1877" s="1" t="str">
        <f>"Chemistry 6191"</f>
        <v>Chemistry 6191</v>
      </c>
      <c r="B1877" t="s">
        <v>4672</v>
      </c>
      <c r="C1877" t="s">
        <v>3</v>
      </c>
      <c r="D1877" s="2">
        <v>21000</v>
      </c>
      <c r="E1877" s="2">
        <v>14699.999999999998</v>
      </c>
      <c r="F1877" t="s">
        <v>5</v>
      </c>
      <c r="G1877" t="s">
        <v>4673</v>
      </c>
      <c r="H1877" t="s">
        <v>1197</v>
      </c>
      <c r="I1877">
        <v>220.2</v>
      </c>
    </row>
    <row r="1878" spans="1:9" ht="106.2" customHeight="1">
      <c r="A1878" s="1" t="str">
        <f>"Chemistry 6192"</f>
        <v>Chemistry 6192</v>
      </c>
      <c r="B1878" t="s">
        <v>4674</v>
      </c>
      <c r="C1878" t="s">
        <v>3</v>
      </c>
      <c r="D1878" s="2">
        <v>21000</v>
      </c>
      <c r="E1878" s="2">
        <v>14699.999999999998</v>
      </c>
      <c r="F1878" t="s">
        <v>5</v>
      </c>
      <c r="G1878" t="s">
        <v>4675</v>
      </c>
      <c r="H1878" t="s">
        <v>1197</v>
      </c>
      <c r="I1878">
        <v>220.2</v>
      </c>
    </row>
    <row r="1879" spans="1:9" ht="106.2" customHeight="1">
      <c r="A1879" s="1" t="str">
        <f>"Chemistry 6193"</f>
        <v>Chemistry 6193</v>
      </c>
      <c r="B1879" t="s">
        <v>4676</v>
      </c>
      <c r="C1879" t="s">
        <v>3</v>
      </c>
      <c r="D1879" s="2">
        <v>21000</v>
      </c>
      <c r="E1879" s="2">
        <v>14699.999999999998</v>
      </c>
      <c r="F1879" t="s">
        <v>5</v>
      </c>
      <c r="G1879" t="s">
        <v>4677</v>
      </c>
      <c r="H1879" t="s">
        <v>1197</v>
      </c>
      <c r="I1879">
        <v>220.2</v>
      </c>
    </row>
    <row r="1880" spans="1:9" ht="106.2" customHeight="1">
      <c r="A1880" s="1" t="str">
        <f>"Chemistry 6194"</f>
        <v>Chemistry 6194</v>
      </c>
      <c r="B1880" t="s">
        <v>4678</v>
      </c>
      <c r="C1880" t="s">
        <v>3</v>
      </c>
      <c r="D1880" s="2">
        <v>22800</v>
      </c>
      <c r="E1880" s="2">
        <v>15959.999999999998</v>
      </c>
      <c r="F1880" t="s">
        <v>5</v>
      </c>
      <c r="G1880" t="s">
        <v>4679</v>
      </c>
      <c r="H1880" t="s">
        <v>1189</v>
      </c>
      <c r="I1880">
        <v>206.17</v>
      </c>
    </row>
    <row r="1881" spans="1:9" ht="94.95" customHeight="1">
      <c r="A1881" s="1" t="str">
        <f>"Chemistry 6195"</f>
        <v>Chemistry 6195</v>
      </c>
      <c r="B1881" t="s">
        <v>4680</v>
      </c>
      <c r="C1881" t="s">
        <v>3</v>
      </c>
      <c r="D1881" s="2">
        <v>21000</v>
      </c>
      <c r="E1881" s="2">
        <v>14699.999999999998</v>
      </c>
      <c r="F1881" t="s">
        <v>5</v>
      </c>
      <c r="G1881" t="s">
        <v>4681</v>
      </c>
      <c r="H1881" t="s">
        <v>2258</v>
      </c>
      <c r="I1881">
        <v>202.21</v>
      </c>
    </row>
    <row r="1882" spans="1:9" ht="95.55" customHeight="1">
      <c r="A1882" s="1" t="str">
        <f>"Chemistry 6196"</f>
        <v>Chemistry 6196</v>
      </c>
      <c r="B1882" t="s">
        <v>4682</v>
      </c>
      <c r="C1882" t="s">
        <v>3</v>
      </c>
      <c r="D1882" s="2">
        <v>21000</v>
      </c>
      <c r="E1882" s="2">
        <v>14699.999999999998</v>
      </c>
      <c r="F1882" t="s">
        <v>5</v>
      </c>
      <c r="G1882" t="s">
        <v>4683</v>
      </c>
      <c r="H1882" t="s">
        <v>1197</v>
      </c>
      <c r="I1882">
        <v>220.2</v>
      </c>
    </row>
    <row r="1883" spans="1:9" ht="95.55" customHeight="1">
      <c r="A1883" s="1" t="str">
        <f>"Chemistry 6197"</f>
        <v>Chemistry 6197</v>
      </c>
      <c r="B1883" t="s">
        <v>4684</v>
      </c>
      <c r="C1883" t="s">
        <v>3</v>
      </c>
      <c r="D1883" s="2">
        <v>21000</v>
      </c>
      <c r="E1883" s="2">
        <v>14699.999999999998</v>
      </c>
      <c r="F1883" t="s">
        <v>5</v>
      </c>
      <c r="G1883" t="s">
        <v>4685</v>
      </c>
      <c r="H1883" t="s">
        <v>1197</v>
      </c>
      <c r="I1883">
        <v>220.2</v>
      </c>
    </row>
    <row r="1884" spans="1:9" ht="95.55" customHeight="1">
      <c r="A1884" s="1" t="str">
        <f>"Chemistry 6198"</f>
        <v>Chemistry 6198</v>
      </c>
      <c r="B1884" t="s">
        <v>4686</v>
      </c>
      <c r="C1884" t="s">
        <v>3</v>
      </c>
      <c r="D1884" s="2">
        <v>21000</v>
      </c>
      <c r="E1884" s="2">
        <v>14699.999999999998</v>
      </c>
      <c r="F1884" t="s">
        <v>5</v>
      </c>
      <c r="G1884" t="s">
        <v>4687</v>
      </c>
      <c r="H1884" t="s">
        <v>1197</v>
      </c>
      <c r="I1884">
        <v>220.2</v>
      </c>
    </row>
    <row r="1885" spans="1:9" ht="105.6" customHeight="1">
      <c r="A1885" s="1" t="str">
        <f>"Chemistry 6199"</f>
        <v>Chemistry 6199</v>
      </c>
      <c r="B1885" t="s">
        <v>4688</v>
      </c>
      <c r="C1885" t="s">
        <v>3</v>
      </c>
      <c r="D1885" s="2">
        <v>22800</v>
      </c>
      <c r="E1885" s="2">
        <v>15959.999999999998</v>
      </c>
      <c r="F1885" t="s">
        <v>5</v>
      </c>
      <c r="G1885" t="s">
        <v>4689</v>
      </c>
      <c r="H1885" t="s">
        <v>1189</v>
      </c>
      <c r="I1885">
        <v>206.17</v>
      </c>
    </row>
    <row r="1886" spans="1:9" ht="106.2" customHeight="1">
      <c r="A1886" s="1" t="str">
        <f>"Chemistry 6202"</f>
        <v>Chemistry 6202</v>
      </c>
      <c r="B1886" t="s">
        <v>4690</v>
      </c>
      <c r="C1886" t="s">
        <v>3</v>
      </c>
      <c r="D1886" s="2">
        <v>25400</v>
      </c>
      <c r="E1886" s="2">
        <v>15240</v>
      </c>
      <c r="F1886" t="s">
        <v>5</v>
      </c>
      <c r="G1886" t="s">
        <v>4691</v>
      </c>
      <c r="H1886" t="s">
        <v>503</v>
      </c>
      <c r="I1886">
        <v>308.39</v>
      </c>
    </row>
    <row r="1887" spans="1:9" ht="67.95" customHeight="1">
      <c r="A1887" s="1" t="str">
        <f>"Chemistry 6203"</f>
        <v>Chemistry 6203</v>
      </c>
      <c r="B1887" t="s">
        <v>4692</v>
      </c>
      <c r="C1887" t="s">
        <v>128</v>
      </c>
      <c r="D1887" s="2">
        <v>24500</v>
      </c>
      <c r="E1887" s="2">
        <v>17150</v>
      </c>
      <c r="F1887" t="s">
        <v>5</v>
      </c>
      <c r="G1887" t="s">
        <v>4693</v>
      </c>
      <c r="H1887" t="s">
        <v>4694</v>
      </c>
      <c r="I1887">
        <v>188.66</v>
      </c>
    </row>
    <row r="1888" spans="1:9" ht="73.05" customHeight="1">
      <c r="A1888" s="1" t="str">
        <f>"Chemistry 6204"</f>
        <v>Chemistry 6204</v>
      </c>
      <c r="B1888" t="s">
        <v>4695</v>
      </c>
      <c r="C1888" t="s">
        <v>128</v>
      </c>
      <c r="D1888" s="2">
        <v>15800</v>
      </c>
      <c r="E1888" s="2">
        <v>11060</v>
      </c>
      <c r="F1888" t="s">
        <v>5</v>
      </c>
      <c r="G1888" t="s">
        <v>4696</v>
      </c>
      <c r="H1888" t="s">
        <v>4697</v>
      </c>
      <c r="I1888">
        <v>223.7</v>
      </c>
    </row>
    <row r="1889" spans="1:9" ht="73.05" customHeight="1">
      <c r="A1889" s="1" t="str">
        <f>"Chemistry 6205"</f>
        <v>Chemistry 6205</v>
      </c>
      <c r="B1889" t="s">
        <v>4698</v>
      </c>
      <c r="C1889" t="s">
        <v>128</v>
      </c>
      <c r="D1889" s="2">
        <v>15800</v>
      </c>
      <c r="E1889" s="2">
        <v>11060</v>
      </c>
      <c r="F1889" t="s">
        <v>5</v>
      </c>
      <c r="G1889" t="s">
        <v>4699</v>
      </c>
      <c r="H1889" t="s">
        <v>4700</v>
      </c>
      <c r="I1889">
        <v>233.74</v>
      </c>
    </row>
    <row r="1890" spans="1:9" ht="87" customHeight="1">
      <c r="A1890" s="1" t="str">
        <f>"Chemistry 6206"</f>
        <v>Chemistry 6206</v>
      </c>
      <c r="B1890" t="s">
        <v>4701</v>
      </c>
      <c r="C1890" t="s">
        <v>128</v>
      </c>
      <c r="D1890" s="2">
        <v>15800</v>
      </c>
      <c r="E1890" s="2">
        <v>11060</v>
      </c>
      <c r="F1890" t="s">
        <v>5</v>
      </c>
      <c r="G1890" t="s">
        <v>4702</v>
      </c>
      <c r="H1890" t="s">
        <v>4703</v>
      </c>
      <c r="I1890">
        <v>273.73</v>
      </c>
    </row>
    <row r="1891" spans="1:9" ht="85.95" customHeight="1">
      <c r="A1891" s="1" t="str">
        <f>"Chemistry 6207"</f>
        <v>Chemistry 6207</v>
      </c>
      <c r="B1891" t="s">
        <v>4704</v>
      </c>
      <c r="C1891" t="s">
        <v>128</v>
      </c>
      <c r="D1891" s="2">
        <v>15800</v>
      </c>
      <c r="E1891" s="2">
        <v>11060</v>
      </c>
      <c r="F1891" t="s">
        <v>5</v>
      </c>
      <c r="G1891" t="s">
        <v>4705</v>
      </c>
      <c r="H1891" t="s">
        <v>4703</v>
      </c>
      <c r="I1891">
        <v>273.73</v>
      </c>
    </row>
    <row r="1892" spans="1:9" ht="77.55" customHeight="1">
      <c r="A1892" s="1" t="str">
        <f>"Chemistry 6208"</f>
        <v>Chemistry 6208</v>
      </c>
      <c r="B1892" t="s">
        <v>4706</v>
      </c>
      <c r="C1892" t="s">
        <v>128</v>
      </c>
      <c r="D1892" s="2">
        <v>15800</v>
      </c>
      <c r="E1892" s="2">
        <v>11060</v>
      </c>
      <c r="F1892" t="s">
        <v>5</v>
      </c>
      <c r="G1892" t="s">
        <v>4707</v>
      </c>
      <c r="H1892" t="s">
        <v>4703</v>
      </c>
      <c r="I1892">
        <v>273.73</v>
      </c>
    </row>
    <row r="1893" spans="1:9" ht="96.6" customHeight="1">
      <c r="A1893" s="1" t="str">
        <f>"Chemistry 6209"</f>
        <v>Chemistry 6209</v>
      </c>
      <c r="B1893" t="s">
        <v>4708</v>
      </c>
      <c r="C1893" t="s">
        <v>270</v>
      </c>
      <c r="D1893" s="2">
        <v>28000</v>
      </c>
      <c r="E1893" s="2">
        <v>16800</v>
      </c>
      <c r="F1893" t="s">
        <v>5</v>
      </c>
      <c r="G1893" t="s">
        <v>4709</v>
      </c>
      <c r="H1893" t="s">
        <v>4710</v>
      </c>
      <c r="I1893">
        <v>290.16000000000003</v>
      </c>
    </row>
    <row r="1894" spans="1:9" ht="101.1" customHeight="1">
      <c r="A1894" s="1" t="str">
        <f>"Chemistry 6210"</f>
        <v>Chemistry 6210</v>
      </c>
      <c r="B1894" t="s">
        <v>4711</v>
      </c>
      <c r="C1894" t="s">
        <v>270</v>
      </c>
      <c r="D1894" s="2">
        <v>28000</v>
      </c>
      <c r="E1894" s="2">
        <v>16800</v>
      </c>
      <c r="F1894" t="s">
        <v>5</v>
      </c>
      <c r="G1894" t="s">
        <v>4712</v>
      </c>
      <c r="H1894" t="s">
        <v>4710</v>
      </c>
      <c r="I1894">
        <v>290.16000000000003</v>
      </c>
    </row>
    <row r="1895" spans="1:9" ht="106.2" customHeight="1">
      <c r="A1895" s="1" t="str">
        <f>"Chemistry 6211"</f>
        <v>Chemistry 6211</v>
      </c>
      <c r="B1895" t="s">
        <v>4713</v>
      </c>
      <c r="C1895" t="s">
        <v>270</v>
      </c>
      <c r="D1895" s="2">
        <v>28000</v>
      </c>
      <c r="E1895" s="2">
        <v>16800</v>
      </c>
      <c r="F1895" t="s">
        <v>5</v>
      </c>
      <c r="G1895" t="s">
        <v>4714</v>
      </c>
      <c r="H1895" t="s">
        <v>4710</v>
      </c>
      <c r="I1895">
        <v>290.16000000000003</v>
      </c>
    </row>
    <row r="1896" spans="1:9" ht="96.6" customHeight="1">
      <c r="A1896" s="1" t="str">
        <f>"Chemistry 6212"</f>
        <v>Chemistry 6212</v>
      </c>
      <c r="B1896" t="s">
        <v>4715</v>
      </c>
      <c r="C1896" t="s">
        <v>3</v>
      </c>
      <c r="D1896" s="2">
        <v>22800</v>
      </c>
      <c r="E1896" s="2">
        <v>15959.999999999998</v>
      </c>
      <c r="F1896" t="s">
        <v>5</v>
      </c>
      <c r="G1896" t="s">
        <v>4716</v>
      </c>
      <c r="H1896" t="s">
        <v>1189</v>
      </c>
      <c r="I1896">
        <v>206.17</v>
      </c>
    </row>
    <row r="1897" spans="1:9" ht="96.6" customHeight="1">
      <c r="A1897" s="1" t="str">
        <f>"Chemistry 6213"</f>
        <v>Chemistry 6213</v>
      </c>
      <c r="B1897" t="s">
        <v>4717</v>
      </c>
      <c r="C1897" t="s">
        <v>3</v>
      </c>
      <c r="D1897" s="2">
        <v>22800</v>
      </c>
      <c r="E1897" s="2">
        <v>15959.999999999998</v>
      </c>
      <c r="F1897" t="s">
        <v>5</v>
      </c>
      <c r="G1897" t="s">
        <v>4718</v>
      </c>
      <c r="H1897" t="s">
        <v>1189</v>
      </c>
      <c r="I1897">
        <v>206.17</v>
      </c>
    </row>
    <row r="1898" spans="1:9" ht="106.2" customHeight="1">
      <c r="A1898" s="1" t="str">
        <f>"Chemistry 6214"</f>
        <v>Chemistry 6214</v>
      </c>
      <c r="B1898" t="s">
        <v>4719</v>
      </c>
      <c r="C1898" t="s">
        <v>3</v>
      </c>
      <c r="D1898" s="2">
        <v>22800</v>
      </c>
      <c r="E1898" s="2">
        <v>15959.999999999998</v>
      </c>
      <c r="F1898" t="s">
        <v>5</v>
      </c>
      <c r="G1898" t="s">
        <v>4720</v>
      </c>
      <c r="H1898" t="s">
        <v>1189</v>
      </c>
      <c r="I1898">
        <v>206.17</v>
      </c>
    </row>
    <row r="1899" spans="1:9" ht="98.25" customHeight="1">
      <c r="A1899" s="1" t="str">
        <f>"Chemistry 6218"</f>
        <v>Chemistry 6218</v>
      </c>
      <c r="B1899" t="s">
        <v>4721</v>
      </c>
      <c r="C1899" t="s">
        <v>3</v>
      </c>
      <c r="D1899" s="2">
        <v>25400</v>
      </c>
      <c r="E1899" s="2">
        <v>15240</v>
      </c>
      <c r="F1899" t="s">
        <v>5</v>
      </c>
      <c r="G1899" t="s">
        <v>4722</v>
      </c>
      <c r="H1899" t="s">
        <v>503</v>
      </c>
      <c r="I1899">
        <v>308.39</v>
      </c>
    </row>
    <row r="1900" spans="1:9" ht="67.95" customHeight="1">
      <c r="A1900" s="1" t="str">
        <f>"Chemistry 6219"</f>
        <v>Chemistry 6219</v>
      </c>
      <c r="B1900" t="s">
        <v>4723</v>
      </c>
      <c r="C1900" t="s">
        <v>128</v>
      </c>
      <c r="D1900" s="2">
        <v>23700</v>
      </c>
      <c r="E1900" s="2">
        <v>16590</v>
      </c>
      <c r="F1900" t="s">
        <v>5</v>
      </c>
      <c r="G1900" t="s">
        <v>4724</v>
      </c>
      <c r="H1900" t="s">
        <v>4625</v>
      </c>
      <c r="I1900">
        <v>187.67</v>
      </c>
    </row>
    <row r="1901" spans="1:9" ht="71.25" customHeight="1">
      <c r="A1901" s="1" t="str">
        <f>"Chemistry 6220"</f>
        <v>Chemistry 6220</v>
      </c>
      <c r="B1901" t="s">
        <v>4725</v>
      </c>
      <c r="C1901" t="s">
        <v>128</v>
      </c>
      <c r="D1901" s="2">
        <v>24500</v>
      </c>
      <c r="E1901" s="2">
        <v>17150</v>
      </c>
      <c r="F1901" t="s">
        <v>5</v>
      </c>
      <c r="G1901" t="s">
        <v>4726</v>
      </c>
      <c r="H1901" t="s">
        <v>4694</v>
      </c>
      <c r="I1901">
        <v>188.66</v>
      </c>
    </row>
    <row r="1902" spans="1:9" ht="73.5" customHeight="1">
      <c r="A1902" s="1" t="str">
        <f>"Chemistry 6221"</f>
        <v>Chemistry 6221</v>
      </c>
      <c r="B1902" t="s">
        <v>4727</v>
      </c>
      <c r="C1902" t="s">
        <v>270</v>
      </c>
      <c r="D1902" s="2">
        <v>24500</v>
      </c>
      <c r="E1902" s="2">
        <v>17150</v>
      </c>
      <c r="F1902" t="s">
        <v>5</v>
      </c>
      <c r="G1902" t="s">
        <v>4728</v>
      </c>
      <c r="H1902" t="s">
        <v>4729</v>
      </c>
      <c r="I1902">
        <v>264.19</v>
      </c>
    </row>
    <row r="1903" spans="1:9" ht="69" customHeight="1">
      <c r="A1903" s="1" t="str">
        <f>"Chemistry 6222"</f>
        <v>Chemistry 6222</v>
      </c>
      <c r="B1903" t="s">
        <v>4730</v>
      </c>
      <c r="C1903" t="s">
        <v>128</v>
      </c>
      <c r="D1903" s="2">
        <v>17500</v>
      </c>
      <c r="E1903" s="2">
        <v>12250</v>
      </c>
      <c r="F1903" t="s">
        <v>5</v>
      </c>
      <c r="G1903" t="s">
        <v>4731</v>
      </c>
      <c r="H1903" t="s">
        <v>4732</v>
      </c>
      <c r="I1903">
        <v>254.69</v>
      </c>
    </row>
    <row r="1904" spans="1:9" ht="74.7" customHeight="1">
      <c r="A1904" s="1" t="str">
        <f>"Chemistry 6223"</f>
        <v>Chemistry 6223</v>
      </c>
      <c r="B1904" t="s">
        <v>4733</v>
      </c>
      <c r="C1904" t="s">
        <v>128</v>
      </c>
      <c r="D1904" s="2">
        <v>17500</v>
      </c>
      <c r="E1904" s="2">
        <v>12250</v>
      </c>
      <c r="F1904" t="s">
        <v>5</v>
      </c>
      <c r="G1904" t="s">
        <v>4734</v>
      </c>
      <c r="H1904" t="s">
        <v>4732</v>
      </c>
      <c r="I1904">
        <v>254.69</v>
      </c>
    </row>
    <row r="1905" spans="1:9" ht="75.75" customHeight="1">
      <c r="A1905" s="1" t="str">
        <f>"Chemistry 6224"</f>
        <v>Chemistry 6224</v>
      </c>
      <c r="B1905" t="s">
        <v>4735</v>
      </c>
      <c r="C1905" t="s">
        <v>128</v>
      </c>
      <c r="D1905" s="2">
        <v>28000</v>
      </c>
      <c r="E1905" s="2">
        <v>16800</v>
      </c>
      <c r="F1905" t="s">
        <v>5</v>
      </c>
      <c r="G1905" t="s">
        <v>4736</v>
      </c>
      <c r="H1905" t="s">
        <v>4737</v>
      </c>
      <c r="I1905">
        <v>217.67</v>
      </c>
    </row>
    <row r="1906" spans="1:9" ht="75.75" customHeight="1">
      <c r="A1906" s="1" t="str">
        <f>"Chemistry 6225"</f>
        <v>Chemistry 6225</v>
      </c>
      <c r="B1906" t="s">
        <v>4738</v>
      </c>
      <c r="C1906" t="s">
        <v>128</v>
      </c>
      <c r="D1906" s="2">
        <v>28000</v>
      </c>
      <c r="E1906" s="2">
        <v>16800</v>
      </c>
      <c r="F1906" t="s">
        <v>5</v>
      </c>
      <c r="G1906" t="s">
        <v>4739</v>
      </c>
      <c r="H1906" t="s">
        <v>4737</v>
      </c>
      <c r="I1906">
        <v>217.67</v>
      </c>
    </row>
    <row r="1907" spans="1:9" ht="79.8" customHeight="1">
      <c r="A1907" s="1" t="str">
        <f>"Chemistry 6226"</f>
        <v>Chemistry 6226</v>
      </c>
      <c r="B1907" t="s">
        <v>4740</v>
      </c>
      <c r="C1907" t="s">
        <v>128</v>
      </c>
      <c r="D1907" s="2">
        <v>28000</v>
      </c>
      <c r="E1907" s="2">
        <v>16800</v>
      </c>
      <c r="F1907" t="s">
        <v>5</v>
      </c>
      <c r="G1907" t="s">
        <v>4741</v>
      </c>
      <c r="H1907" t="s">
        <v>4737</v>
      </c>
      <c r="I1907">
        <v>217.67</v>
      </c>
    </row>
    <row r="1908" spans="1:9" ht="75.75" customHeight="1">
      <c r="A1908" s="1" t="str">
        <f>"Chemistry 6228"</f>
        <v>Chemistry 6228</v>
      </c>
      <c r="B1908" t="s">
        <v>4742</v>
      </c>
      <c r="C1908" t="s">
        <v>128</v>
      </c>
      <c r="D1908" s="2">
        <v>26300</v>
      </c>
      <c r="E1908" s="2">
        <v>15780</v>
      </c>
      <c r="F1908" t="s">
        <v>5</v>
      </c>
      <c r="G1908" t="s">
        <v>4743</v>
      </c>
      <c r="H1908" t="s">
        <v>4737</v>
      </c>
      <c r="I1908">
        <v>217.67</v>
      </c>
    </row>
    <row r="1909" spans="1:9" ht="79.2" customHeight="1">
      <c r="A1909" s="1" t="str">
        <f>"Chemistry 6229"</f>
        <v>Chemistry 6229</v>
      </c>
      <c r="B1909" t="s">
        <v>4744</v>
      </c>
      <c r="C1909" t="s">
        <v>128</v>
      </c>
      <c r="D1909" s="2">
        <v>26300</v>
      </c>
      <c r="E1909" s="2">
        <v>15780</v>
      </c>
      <c r="F1909" t="s">
        <v>5</v>
      </c>
      <c r="G1909" t="s">
        <v>4745</v>
      </c>
      <c r="H1909" t="s">
        <v>4737</v>
      </c>
      <c r="I1909">
        <v>217.67</v>
      </c>
    </row>
    <row r="1910" spans="1:9" ht="82.5" customHeight="1">
      <c r="A1910" s="1" t="str">
        <f>"Chemistry 6230"</f>
        <v>Chemistry 6230</v>
      </c>
      <c r="B1910" t="s">
        <v>4746</v>
      </c>
      <c r="C1910" t="s">
        <v>3330</v>
      </c>
      <c r="D1910" s="2">
        <v>26300</v>
      </c>
      <c r="E1910" s="2">
        <v>15780</v>
      </c>
      <c r="F1910" t="s">
        <v>5</v>
      </c>
      <c r="G1910" t="s">
        <v>4747</v>
      </c>
      <c r="H1910" t="s">
        <v>4748</v>
      </c>
      <c r="I1910">
        <v>202.12</v>
      </c>
    </row>
    <row r="1911" spans="1:9" ht="82.5" customHeight="1">
      <c r="A1911" s="1" t="str">
        <f>"Chemistry 6231"</f>
        <v>Chemistry 6231</v>
      </c>
      <c r="B1911" t="s">
        <v>4749</v>
      </c>
      <c r="C1911" t="s">
        <v>3330</v>
      </c>
      <c r="D1911" s="2">
        <v>26300</v>
      </c>
      <c r="E1911" s="2">
        <v>15780</v>
      </c>
      <c r="F1911" t="s">
        <v>5</v>
      </c>
      <c r="G1911" t="s">
        <v>4750</v>
      </c>
      <c r="H1911" t="s">
        <v>4748</v>
      </c>
      <c r="I1911">
        <v>202.12</v>
      </c>
    </row>
    <row r="1912" spans="1:9" ht="69" customHeight="1">
      <c r="A1912" s="1" t="str">
        <f>"Chemistry 6233"</f>
        <v>Chemistry 6233</v>
      </c>
      <c r="B1912" t="s">
        <v>4751</v>
      </c>
      <c r="C1912" t="s">
        <v>128</v>
      </c>
      <c r="D1912" s="2">
        <v>28000</v>
      </c>
      <c r="E1912" s="2">
        <v>16800</v>
      </c>
      <c r="F1912" t="s">
        <v>5</v>
      </c>
      <c r="G1912" t="s">
        <v>4752</v>
      </c>
      <c r="H1912" t="s">
        <v>4567</v>
      </c>
      <c r="I1912">
        <v>173.64</v>
      </c>
    </row>
    <row r="1913" spans="1:9" ht="70.2" customHeight="1">
      <c r="A1913" s="1" t="str">
        <f>"Chemistry 6234"</f>
        <v>Chemistry 6234</v>
      </c>
      <c r="B1913" t="s">
        <v>4753</v>
      </c>
      <c r="C1913" t="s">
        <v>270</v>
      </c>
      <c r="D1913" s="2">
        <v>24500</v>
      </c>
      <c r="E1913" s="2">
        <v>17150</v>
      </c>
      <c r="F1913" t="s">
        <v>5</v>
      </c>
      <c r="G1913" t="s">
        <v>4754</v>
      </c>
      <c r="H1913" t="s">
        <v>4755</v>
      </c>
      <c r="I1913">
        <v>238.16</v>
      </c>
    </row>
    <row r="1914" spans="1:9" ht="70.2" customHeight="1">
      <c r="A1914" s="1" t="str">
        <f>"Chemistry 6235"</f>
        <v>Chemistry 6235</v>
      </c>
      <c r="B1914" t="s">
        <v>4756</v>
      </c>
      <c r="C1914" t="s">
        <v>270</v>
      </c>
      <c r="D1914" s="2">
        <v>24500</v>
      </c>
      <c r="E1914" s="2">
        <v>17150</v>
      </c>
      <c r="F1914" t="s">
        <v>5</v>
      </c>
      <c r="G1914" t="s">
        <v>4757</v>
      </c>
      <c r="H1914" t="s">
        <v>4758</v>
      </c>
      <c r="I1914">
        <v>252.18</v>
      </c>
    </row>
    <row r="1915" spans="1:9" ht="64.5" customHeight="1">
      <c r="A1915" s="1" t="str">
        <f>"Chemistry 6236"</f>
        <v>Chemistry 6236</v>
      </c>
      <c r="B1915" t="s">
        <v>4759</v>
      </c>
      <c r="C1915" t="s">
        <v>128</v>
      </c>
      <c r="D1915" s="2">
        <v>28000</v>
      </c>
      <c r="E1915" s="2">
        <v>16800</v>
      </c>
      <c r="F1915" t="s">
        <v>5</v>
      </c>
      <c r="G1915" t="s">
        <v>4760</v>
      </c>
      <c r="H1915" t="s">
        <v>4732</v>
      </c>
      <c r="I1915">
        <v>254.69</v>
      </c>
    </row>
    <row r="1916" spans="1:9" ht="64.05" customHeight="1">
      <c r="A1916" s="1" t="str">
        <f>"Chemistry 6237"</f>
        <v>Chemistry 6237</v>
      </c>
      <c r="B1916" t="s">
        <v>4761</v>
      </c>
      <c r="C1916" t="s">
        <v>128</v>
      </c>
      <c r="D1916" s="2">
        <v>28000</v>
      </c>
      <c r="E1916" s="2">
        <v>16800</v>
      </c>
      <c r="F1916" t="s">
        <v>5</v>
      </c>
      <c r="G1916" t="s">
        <v>4762</v>
      </c>
      <c r="H1916" t="s">
        <v>4732</v>
      </c>
      <c r="I1916">
        <v>254.69</v>
      </c>
    </row>
    <row r="1917" spans="1:9" ht="49.35" customHeight="1">
      <c r="A1917" s="1" t="str">
        <f>"Chemistry 6238"</f>
        <v>Chemistry 6238</v>
      </c>
      <c r="B1917" t="s">
        <v>4763</v>
      </c>
      <c r="C1917" t="s">
        <v>128</v>
      </c>
      <c r="D1917" s="2">
        <v>28000</v>
      </c>
      <c r="E1917" s="2">
        <v>16800</v>
      </c>
      <c r="F1917" t="s">
        <v>5</v>
      </c>
      <c r="G1917" t="s">
        <v>4764</v>
      </c>
      <c r="H1917" t="s">
        <v>4732</v>
      </c>
      <c r="I1917">
        <v>254.69</v>
      </c>
    </row>
    <row r="1918" spans="1:9" ht="75.75" customHeight="1">
      <c r="A1918" s="1" t="str">
        <f>"Chemistry 6239"</f>
        <v>Chemistry 6239</v>
      </c>
      <c r="B1918" t="s">
        <v>4765</v>
      </c>
      <c r="C1918" t="s">
        <v>128</v>
      </c>
      <c r="D1918" s="2">
        <v>26300</v>
      </c>
      <c r="E1918" s="2">
        <v>15780</v>
      </c>
      <c r="F1918" t="s">
        <v>5</v>
      </c>
      <c r="G1918" t="s">
        <v>4766</v>
      </c>
      <c r="H1918" t="s">
        <v>4737</v>
      </c>
      <c r="I1918">
        <v>217.67</v>
      </c>
    </row>
    <row r="1919" spans="1:9" ht="106.2" customHeight="1">
      <c r="A1919" s="1" t="str">
        <f>"Chemistry 6249"</f>
        <v>Chemistry 6249</v>
      </c>
      <c r="B1919" t="s">
        <v>4767</v>
      </c>
      <c r="C1919" t="s">
        <v>128</v>
      </c>
      <c r="D1919" s="2">
        <v>28000</v>
      </c>
      <c r="E1919" s="2">
        <v>16800</v>
      </c>
      <c r="F1919" t="s">
        <v>5</v>
      </c>
      <c r="G1919" t="s">
        <v>4768</v>
      </c>
      <c r="H1919" t="s">
        <v>4769</v>
      </c>
      <c r="I1919">
        <v>243.73</v>
      </c>
    </row>
    <row r="1920" spans="1:9" ht="91.05" customHeight="1">
      <c r="A1920" s="1" t="str">
        <f>"Chemistry 6253"</f>
        <v>Chemistry 6253</v>
      </c>
      <c r="B1920" t="s">
        <v>4770</v>
      </c>
      <c r="C1920" t="s">
        <v>128</v>
      </c>
      <c r="D1920" s="2">
        <v>28000</v>
      </c>
      <c r="E1920" s="2">
        <v>16800</v>
      </c>
      <c r="F1920" t="s">
        <v>5</v>
      </c>
      <c r="G1920" t="s">
        <v>4771</v>
      </c>
      <c r="H1920" t="s">
        <v>4772</v>
      </c>
      <c r="I1920">
        <v>235.71</v>
      </c>
    </row>
    <row r="1921" spans="1:9" ht="73.5" customHeight="1">
      <c r="A1921" s="1" t="str">
        <f>"Chemistry 6255"</f>
        <v>Chemistry 6255</v>
      </c>
      <c r="B1921" t="s">
        <v>4774</v>
      </c>
      <c r="C1921" t="s">
        <v>270</v>
      </c>
      <c r="D1921" s="2">
        <v>28000</v>
      </c>
      <c r="E1921" s="2">
        <v>16800</v>
      </c>
      <c r="F1921" t="s">
        <v>5</v>
      </c>
      <c r="G1921" t="s">
        <v>4775</v>
      </c>
      <c r="H1921" t="s">
        <v>4773</v>
      </c>
      <c r="I1921">
        <v>273.16000000000003</v>
      </c>
    </row>
    <row r="1922" spans="1:9" ht="70.8" customHeight="1">
      <c r="A1922" s="1" t="str">
        <f>"Chemistry 6259"</f>
        <v>Chemistry 6259</v>
      </c>
      <c r="B1922" t="s">
        <v>4776</v>
      </c>
      <c r="C1922" t="s">
        <v>128</v>
      </c>
      <c r="D1922" s="2">
        <v>35000</v>
      </c>
      <c r="E1922" s="2">
        <v>21000</v>
      </c>
      <c r="F1922" t="s">
        <v>5</v>
      </c>
      <c r="G1922" t="s">
        <v>4777</v>
      </c>
      <c r="H1922" t="s">
        <v>4778</v>
      </c>
      <c r="I1922">
        <v>178.66</v>
      </c>
    </row>
    <row r="1923" spans="1:9" ht="101.7" customHeight="1">
      <c r="A1923" s="1" t="str">
        <f>"Chemistry 6260"</f>
        <v>Chemistry 6260</v>
      </c>
      <c r="B1923" t="s">
        <v>4779</v>
      </c>
      <c r="C1923" t="s">
        <v>3330</v>
      </c>
      <c r="D1923" s="2">
        <v>17500</v>
      </c>
      <c r="E1923" s="2">
        <v>12250</v>
      </c>
      <c r="F1923" t="s">
        <v>5</v>
      </c>
      <c r="G1923" t="s">
        <v>4780</v>
      </c>
      <c r="H1923" t="s">
        <v>4781</v>
      </c>
      <c r="I1923">
        <v>203.11</v>
      </c>
    </row>
    <row r="1924" spans="1:9" ht="65.7" customHeight="1">
      <c r="A1924" s="1" t="str">
        <f>"Chemistry 6264"</f>
        <v>Chemistry 6264</v>
      </c>
      <c r="B1924" t="s">
        <v>4782</v>
      </c>
      <c r="C1924" t="s">
        <v>270</v>
      </c>
      <c r="D1924" s="2">
        <v>24500</v>
      </c>
      <c r="E1924" s="2">
        <v>17150</v>
      </c>
      <c r="F1924" t="s">
        <v>5</v>
      </c>
      <c r="G1924" t="s">
        <v>4783</v>
      </c>
      <c r="H1924" t="s">
        <v>4784</v>
      </c>
      <c r="I1924">
        <v>209.12</v>
      </c>
    </row>
    <row r="1925" spans="1:9" ht="92.1" customHeight="1">
      <c r="A1925" s="1" t="str">
        <f>"Chemistry 6267"</f>
        <v>Chemistry 6267</v>
      </c>
      <c r="B1925" t="s">
        <v>4785</v>
      </c>
      <c r="C1925" t="s">
        <v>270</v>
      </c>
      <c r="D1925" s="2">
        <v>28000</v>
      </c>
      <c r="E1925" s="2">
        <v>16800</v>
      </c>
      <c r="F1925" t="s">
        <v>5</v>
      </c>
      <c r="G1925" t="s">
        <v>4786</v>
      </c>
      <c r="H1925" t="s">
        <v>4773</v>
      </c>
      <c r="I1925">
        <v>273.16000000000003</v>
      </c>
    </row>
    <row r="1926" spans="1:9" ht="87" customHeight="1">
      <c r="A1926" s="1" t="str">
        <f>"Chemistry 6268"</f>
        <v>Chemistry 6268</v>
      </c>
      <c r="B1926" t="s">
        <v>4787</v>
      </c>
      <c r="C1926" t="s">
        <v>128</v>
      </c>
      <c r="D1926" s="2">
        <v>38500</v>
      </c>
      <c r="E1926" s="2">
        <v>23100</v>
      </c>
      <c r="F1926" t="s">
        <v>5</v>
      </c>
      <c r="G1926" t="s">
        <v>4788</v>
      </c>
      <c r="H1926" t="s">
        <v>4789</v>
      </c>
      <c r="I1926">
        <v>252.74</v>
      </c>
    </row>
    <row r="1927" spans="1:9" ht="100.5" customHeight="1">
      <c r="A1927" s="1" t="str">
        <f>"Chemistry 6270"</f>
        <v>Chemistry 6270</v>
      </c>
      <c r="B1927" t="s">
        <v>4790</v>
      </c>
      <c r="C1927" t="s">
        <v>270</v>
      </c>
      <c r="D1927" s="2">
        <v>31500</v>
      </c>
      <c r="E1927" s="2">
        <v>18900</v>
      </c>
      <c r="F1927" t="s">
        <v>5</v>
      </c>
      <c r="G1927" t="s">
        <v>4791</v>
      </c>
      <c r="H1927" t="s">
        <v>4773</v>
      </c>
      <c r="I1927">
        <v>273.16000000000003</v>
      </c>
    </row>
    <row r="1928" spans="1:9" ht="62.25" customHeight="1">
      <c r="A1928" s="1" t="str">
        <f>"Chemistry 6278"</f>
        <v>Chemistry 6278</v>
      </c>
      <c r="B1928" t="s">
        <v>4793</v>
      </c>
      <c r="C1928" t="s">
        <v>3</v>
      </c>
      <c r="D1928" s="2">
        <v>28000</v>
      </c>
      <c r="E1928" s="2">
        <v>16800</v>
      </c>
      <c r="F1928" t="s">
        <v>5</v>
      </c>
      <c r="G1928" t="s">
        <v>4794</v>
      </c>
      <c r="H1928" t="s">
        <v>4795</v>
      </c>
      <c r="I1928">
        <v>150.22</v>
      </c>
    </row>
    <row r="1929" spans="1:9" ht="62.25" customHeight="1">
      <c r="A1929" s="1" t="str">
        <f>"Chemistry 6280"</f>
        <v>Chemistry 6280</v>
      </c>
      <c r="B1929" t="s">
        <v>4796</v>
      </c>
      <c r="C1929" t="s">
        <v>3</v>
      </c>
      <c r="D1929" s="2">
        <v>28000</v>
      </c>
      <c r="E1929" s="2">
        <v>16800</v>
      </c>
      <c r="F1929" t="s">
        <v>5</v>
      </c>
      <c r="G1929" t="s">
        <v>4797</v>
      </c>
      <c r="H1929" t="s">
        <v>4795</v>
      </c>
      <c r="I1929">
        <v>150.22</v>
      </c>
    </row>
    <row r="1930" spans="1:9" ht="65.7" customHeight="1">
      <c r="A1930" s="1" t="str">
        <f>"Chemistry 6281"</f>
        <v>Chemistry 6281</v>
      </c>
      <c r="B1930" t="s">
        <v>4798</v>
      </c>
      <c r="C1930" t="s">
        <v>3</v>
      </c>
      <c r="D1930" s="2">
        <v>28000</v>
      </c>
      <c r="E1930" s="2">
        <v>16800</v>
      </c>
      <c r="F1930" t="s">
        <v>5</v>
      </c>
      <c r="G1930" t="s">
        <v>4799</v>
      </c>
      <c r="H1930" t="s">
        <v>4792</v>
      </c>
      <c r="I1930">
        <v>154.18</v>
      </c>
    </row>
    <row r="1931" spans="1:9" ht="54.45" customHeight="1">
      <c r="A1931" s="1" t="str">
        <f>"Chemistry 6282"</f>
        <v>Chemistry 6282</v>
      </c>
      <c r="B1931" t="s">
        <v>4800</v>
      </c>
      <c r="C1931" t="s">
        <v>270</v>
      </c>
      <c r="D1931" s="2">
        <v>24500</v>
      </c>
      <c r="E1931" s="2">
        <v>17150</v>
      </c>
      <c r="F1931" t="s">
        <v>5</v>
      </c>
      <c r="G1931" t="s">
        <v>4801</v>
      </c>
      <c r="H1931" t="s">
        <v>4784</v>
      </c>
      <c r="I1931">
        <v>209.12</v>
      </c>
    </row>
    <row r="1932" spans="1:9" ht="56.1" customHeight="1">
      <c r="A1932" s="1" t="str">
        <f>"Chemistry 6283"</f>
        <v>Chemistry 6283</v>
      </c>
      <c r="B1932" t="s">
        <v>4802</v>
      </c>
      <c r="C1932" t="s">
        <v>270</v>
      </c>
      <c r="D1932" s="2">
        <v>24500</v>
      </c>
      <c r="E1932" s="2">
        <v>17150</v>
      </c>
      <c r="F1932" t="s">
        <v>5</v>
      </c>
      <c r="G1932" t="s">
        <v>4803</v>
      </c>
      <c r="H1932" t="s">
        <v>4784</v>
      </c>
      <c r="I1932">
        <v>209.12</v>
      </c>
    </row>
    <row r="1933" spans="1:9" ht="106.2" customHeight="1">
      <c r="A1933" s="1" t="str">
        <f>"Chemistry 6285"</f>
        <v>Chemistry 6285</v>
      </c>
      <c r="B1933" t="s">
        <v>4804</v>
      </c>
      <c r="C1933" t="s">
        <v>128</v>
      </c>
      <c r="D1933" s="2">
        <v>42000</v>
      </c>
      <c r="E1933" s="2">
        <v>25200</v>
      </c>
      <c r="F1933" t="s">
        <v>5</v>
      </c>
      <c r="G1933" t="s">
        <v>4805</v>
      </c>
      <c r="H1933" t="s">
        <v>4806</v>
      </c>
      <c r="I1933">
        <v>242.65</v>
      </c>
    </row>
    <row r="1934" spans="1:9" ht="62.25" customHeight="1">
      <c r="A1934" s="1" t="str">
        <f>"Chemistry 6288"</f>
        <v>Chemistry 6288</v>
      </c>
      <c r="B1934" t="s">
        <v>4807</v>
      </c>
      <c r="C1934" t="s">
        <v>3</v>
      </c>
      <c r="D1934" s="2">
        <v>28000</v>
      </c>
      <c r="E1934" s="2">
        <v>16800</v>
      </c>
      <c r="F1934" t="s">
        <v>5</v>
      </c>
      <c r="G1934" t="s">
        <v>4808</v>
      </c>
      <c r="H1934" t="s">
        <v>4795</v>
      </c>
      <c r="I1934">
        <v>150.22</v>
      </c>
    </row>
    <row r="1935" spans="1:9" ht="78" customHeight="1">
      <c r="A1935" s="1" t="str">
        <f>"Chemistry 6289"</f>
        <v>Chemistry 6289</v>
      </c>
      <c r="B1935" t="s">
        <v>4809</v>
      </c>
      <c r="C1935" t="s">
        <v>3</v>
      </c>
      <c r="D1935" s="2">
        <v>28000</v>
      </c>
      <c r="E1935" s="2">
        <v>16800</v>
      </c>
      <c r="F1935" t="s">
        <v>5</v>
      </c>
      <c r="G1935" t="s">
        <v>4810</v>
      </c>
      <c r="H1935" t="s">
        <v>38</v>
      </c>
      <c r="I1935">
        <v>166.22</v>
      </c>
    </row>
    <row r="1936" spans="1:9" ht="103.95" customHeight="1">
      <c r="A1936" s="1" t="str">
        <f>"Chemistry 6291"</f>
        <v>Chemistry 6291</v>
      </c>
      <c r="B1936" t="s">
        <v>4811</v>
      </c>
      <c r="C1936" t="s">
        <v>270</v>
      </c>
      <c r="D1936" s="2">
        <v>31500</v>
      </c>
      <c r="E1936" s="2">
        <v>18900</v>
      </c>
      <c r="F1936" t="s">
        <v>5</v>
      </c>
      <c r="G1936" t="s">
        <v>4812</v>
      </c>
      <c r="H1936" t="s">
        <v>4773</v>
      </c>
      <c r="I1936">
        <v>273.16000000000003</v>
      </c>
    </row>
    <row r="1937" spans="1:9" ht="106.2" customHeight="1">
      <c r="A1937" s="1" t="str">
        <f>"Chemistry 6296"</f>
        <v>Chemistry 6296</v>
      </c>
      <c r="B1937" t="s">
        <v>4813</v>
      </c>
      <c r="C1937" t="s">
        <v>3</v>
      </c>
      <c r="D1937" s="2">
        <v>26300</v>
      </c>
      <c r="E1937" s="2">
        <v>15780</v>
      </c>
      <c r="F1937" t="s">
        <v>5</v>
      </c>
      <c r="G1937" t="s">
        <v>4814</v>
      </c>
      <c r="H1937" t="s">
        <v>2248</v>
      </c>
      <c r="I1937">
        <v>246.26</v>
      </c>
    </row>
    <row r="1938" spans="1:9" ht="100.5" customHeight="1">
      <c r="A1938" s="1" t="str">
        <f>"Chemistry 6298"</f>
        <v>Chemistry 6298</v>
      </c>
      <c r="B1938" t="s">
        <v>4815</v>
      </c>
      <c r="C1938" t="s">
        <v>3</v>
      </c>
      <c r="D1938" s="2">
        <v>26300</v>
      </c>
      <c r="E1938" s="2">
        <v>15780</v>
      </c>
      <c r="F1938" t="s">
        <v>5</v>
      </c>
      <c r="G1938" t="s">
        <v>4816</v>
      </c>
      <c r="H1938" t="s">
        <v>2248</v>
      </c>
      <c r="I1938">
        <v>246.26</v>
      </c>
    </row>
    <row r="1939" spans="1:9" ht="52.8" customHeight="1">
      <c r="A1939" s="1" t="str">
        <f>"Chemistry 6300"</f>
        <v>Chemistry 6300</v>
      </c>
      <c r="B1939" t="s">
        <v>4817</v>
      </c>
      <c r="C1939" t="s">
        <v>128</v>
      </c>
      <c r="D1939" s="2">
        <v>45500</v>
      </c>
      <c r="E1939" s="2">
        <v>27300</v>
      </c>
      <c r="F1939" t="s">
        <v>5</v>
      </c>
      <c r="G1939" t="s">
        <v>4818</v>
      </c>
      <c r="H1939" t="s">
        <v>4819</v>
      </c>
      <c r="I1939">
        <v>184.63</v>
      </c>
    </row>
    <row r="1940" spans="1:9" ht="61.2" customHeight="1">
      <c r="A1940" s="1" t="str">
        <f>"Chemistry 6301"</f>
        <v>Chemistry 6301</v>
      </c>
      <c r="B1940" t="s">
        <v>4820</v>
      </c>
      <c r="C1940" t="s">
        <v>128</v>
      </c>
      <c r="D1940" s="2">
        <v>45500</v>
      </c>
      <c r="E1940" s="2">
        <v>27300</v>
      </c>
      <c r="F1940" t="s">
        <v>5</v>
      </c>
      <c r="G1940" t="s">
        <v>4821</v>
      </c>
      <c r="H1940" t="s">
        <v>4822</v>
      </c>
      <c r="I1940">
        <v>198.65</v>
      </c>
    </row>
    <row r="1941" spans="1:9" ht="100.5" customHeight="1">
      <c r="A1941" s="1" t="str">
        <f>"Chemistry 6303"</f>
        <v>Chemistry 6303</v>
      </c>
      <c r="B1941" t="s">
        <v>4823</v>
      </c>
      <c r="C1941" t="s">
        <v>270</v>
      </c>
      <c r="D1941" s="2">
        <v>45500</v>
      </c>
      <c r="E1941" s="2">
        <v>27300</v>
      </c>
      <c r="F1941" t="s">
        <v>5</v>
      </c>
      <c r="G1941" t="s">
        <v>4824</v>
      </c>
      <c r="H1941" t="s">
        <v>4773</v>
      </c>
      <c r="I1941">
        <v>273.16000000000003</v>
      </c>
    </row>
    <row r="1942" spans="1:9" ht="75.3" customHeight="1">
      <c r="A1942" s="1" t="str">
        <f>"Chemistry 6307"</f>
        <v>Chemistry 6307</v>
      </c>
      <c r="B1942" t="s">
        <v>4825</v>
      </c>
      <c r="C1942" t="s">
        <v>3</v>
      </c>
      <c r="D1942" s="2">
        <v>28000</v>
      </c>
      <c r="E1942" s="2">
        <v>16800</v>
      </c>
      <c r="F1942" t="s">
        <v>5</v>
      </c>
      <c r="G1942" t="s">
        <v>4826</v>
      </c>
      <c r="H1942" t="s">
        <v>2049</v>
      </c>
      <c r="I1942">
        <v>191.19</v>
      </c>
    </row>
    <row r="1943" spans="1:9" ht="82.05" customHeight="1">
      <c r="A1943" s="1" t="str">
        <f>"Chemistry 6308"</f>
        <v>Chemistry 6308</v>
      </c>
      <c r="B1943" t="s">
        <v>4827</v>
      </c>
      <c r="C1943" t="s">
        <v>3</v>
      </c>
      <c r="D1943" s="2">
        <v>28000</v>
      </c>
      <c r="E1943" s="2">
        <v>16800</v>
      </c>
      <c r="F1943" t="s">
        <v>5</v>
      </c>
      <c r="G1943" t="s">
        <v>4828</v>
      </c>
      <c r="H1943" t="s">
        <v>2049</v>
      </c>
      <c r="I1943">
        <v>191.19</v>
      </c>
    </row>
    <row r="1944" spans="1:9" ht="98.25" customHeight="1">
      <c r="A1944" s="1" t="str">
        <f>"Chemistry 6309"</f>
        <v>Chemistry 6309</v>
      </c>
      <c r="B1944" t="s">
        <v>4829</v>
      </c>
      <c r="C1944" t="s">
        <v>3</v>
      </c>
      <c r="D1944" s="2">
        <v>36800</v>
      </c>
      <c r="E1944" s="2">
        <v>22080</v>
      </c>
      <c r="F1944" t="s">
        <v>5</v>
      </c>
      <c r="G1944" t="s">
        <v>4830</v>
      </c>
      <c r="H1944" t="s">
        <v>3379</v>
      </c>
      <c r="I1944">
        <v>286.32</v>
      </c>
    </row>
    <row r="1945" spans="1:9" ht="106.2" customHeight="1">
      <c r="A1945" s="1" t="str">
        <f>"Chemistry 6311"</f>
        <v>Chemistry 6311</v>
      </c>
      <c r="B1945" t="s">
        <v>4831</v>
      </c>
      <c r="C1945" t="s">
        <v>3</v>
      </c>
      <c r="D1945" s="2">
        <v>26300</v>
      </c>
      <c r="E1945" s="2">
        <v>15780</v>
      </c>
      <c r="F1945" t="s">
        <v>5</v>
      </c>
      <c r="G1945" t="s">
        <v>4832</v>
      </c>
      <c r="H1945" t="s">
        <v>2248</v>
      </c>
      <c r="I1945">
        <v>246.26</v>
      </c>
    </row>
    <row r="1946" spans="1:9" ht="100.5" customHeight="1">
      <c r="A1946" s="1" t="str">
        <f>"Chemistry 6312"</f>
        <v>Chemistry 6312</v>
      </c>
      <c r="B1946" t="s">
        <v>4833</v>
      </c>
      <c r="C1946" t="s">
        <v>3</v>
      </c>
      <c r="D1946" s="2">
        <v>26300</v>
      </c>
      <c r="E1946" s="2">
        <v>15780</v>
      </c>
      <c r="F1946" t="s">
        <v>5</v>
      </c>
      <c r="G1946" t="s">
        <v>4834</v>
      </c>
      <c r="H1946" t="s">
        <v>2248</v>
      </c>
      <c r="I1946">
        <v>246.26</v>
      </c>
    </row>
    <row r="1947" spans="1:9" ht="86.55" customHeight="1">
      <c r="A1947" s="1" t="str">
        <f>"Chemistry 6313"</f>
        <v>Chemistry 6313</v>
      </c>
      <c r="B1947" t="s">
        <v>4835</v>
      </c>
      <c r="C1947" t="s">
        <v>3</v>
      </c>
      <c r="D1947" s="2">
        <v>28000</v>
      </c>
      <c r="E1947" s="2">
        <v>16800</v>
      </c>
      <c r="F1947" t="s">
        <v>5</v>
      </c>
      <c r="G1947" t="s">
        <v>4836</v>
      </c>
      <c r="H1947" t="s">
        <v>2049</v>
      </c>
      <c r="I1947">
        <v>191.19</v>
      </c>
    </row>
    <row r="1948" spans="1:9" ht="80.849999999999994" customHeight="1">
      <c r="A1948" s="1" t="str">
        <f>"Chemistry 6314"</f>
        <v>Chemistry 6314</v>
      </c>
      <c r="B1948" t="s">
        <v>4837</v>
      </c>
      <c r="C1948" t="s">
        <v>128</v>
      </c>
      <c r="D1948" s="2">
        <v>54300</v>
      </c>
      <c r="E1948" s="2">
        <v>32580</v>
      </c>
      <c r="F1948" t="s">
        <v>5</v>
      </c>
      <c r="G1948" t="s">
        <v>4838</v>
      </c>
      <c r="H1948" t="s">
        <v>4839</v>
      </c>
      <c r="I1948">
        <v>218.68</v>
      </c>
    </row>
    <row r="1949" spans="1:9" ht="71.25" customHeight="1">
      <c r="A1949" s="1" t="str">
        <f>"Chemistry 6315"</f>
        <v>Chemistry 6315</v>
      </c>
      <c r="B1949" t="s">
        <v>4840</v>
      </c>
      <c r="C1949" t="s">
        <v>3</v>
      </c>
      <c r="D1949" s="2">
        <v>49000</v>
      </c>
      <c r="E1949" s="2">
        <v>29400</v>
      </c>
      <c r="F1949" t="s">
        <v>5</v>
      </c>
      <c r="G1949" t="s">
        <v>4841</v>
      </c>
      <c r="H1949" t="s">
        <v>2060</v>
      </c>
      <c r="I1949">
        <v>164.16</v>
      </c>
    </row>
    <row r="1950" spans="1:9" ht="106.2" customHeight="1">
      <c r="A1950" s="1" t="str">
        <f>"Chemistry 6316"</f>
        <v>Chemistry 6316</v>
      </c>
      <c r="B1950" t="s">
        <v>4842</v>
      </c>
      <c r="C1950" t="s">
        <v>3</v>
      </c>
      <c r="D1950" s="2">
        <v>29800</v>
      </c>
      <c r="E1950" s="2">
        <v>17880</v>
      </c>
      <c r="F1950" t="s">
        <v>5</v>
      </c>
      <c r="G1950" t="s">
        <v>4843</v>
      </c>
      <c r="H1950" t="s">
        <v>2247</v>
      </c>
      <c r="I1950">
        <v>234.23</v>
      </c>
    </row>
    <row r="1951" spans="1:9" ht="106.2" customHeight="1">
      <c r="A1951" s="1" t="str">
        <f>"Chemistry 6317"</f>
        <v>Chemistry 6317</v>
      </c>
      <c r="B1951" t="s">
        <v>4844</v>
      </c>
      <c r="C1951" t="s">
        <v>3</v>
      </c>
      <c r="D1951" s="2">
        <v>29800</v>
      </c>
      <c r="E1951" s="2">
        <v>17880</v>
      </c>
      <c r="F1951" t="s">
        <v>5</v>
      </c>
      <c r="G1951" t="s">
        <v>4845</v>
      </c>
      <c r="H1951" t="s">
        <v>2247</v>
      </c>
      <c r="I1951">
        <v>234.23</v>
      </c>
    </row>
    <row r="1952" spans="1:9" ht="104.55" customHeight="1">
      <c r="A1952" s="1" t="str">
        <f>"Chemistry 6318"</f>
        <v>Chemistry 6318</v>
      </c>
      <c r="B1952" t="s">
        <v>4846</v>
      </c>
      <c r="C1952" t="s">
        <v>3</v>
      </c>
      <c r="D1952" s="2">
        <v>29800</v>
      </c>
      <c r="E1952" s="2">
        <v>17880</v>
      </c>
      <c r="F1952" t="s">
        <v>5</v>
      </c>
      <c r="G1952" t="s">
        <v>4847</v>
      </c>
      <c r="H1952" t="s">
        <v>2247</v>
      </c>
      <c r="I1952">
        <v>234.23</v>
      </c>
    </row>
    <row r="1953" spans="1:9" ht="106.2" customHeight="1">
      <c r="A1953" s="1" t="str">
        <f>"Chemistry 6319"</f>
        <v>Chemistry 6319</v>
      </c>
      <c r="B1953" t="s">
        <v>4848</v>
      </c>
      <c r="C1953" t="s">
        <v>3</v>
      </c>
      <c r="D1953" s="2">
        <v>29800</v>
      </c>
      <c r="E1953" s="2">
        <v>17880</v>
      </c>
      <c r="F1953" t="s">
        <v>5</v>
      </c>
      <c r="G1953" t="s">
        <v>4849</v>
      </c>
      <c r="H1953" t="s">
        <v>2247</v>
      </c>
      <c r="I1953">
        <v>234.23</v>
      </c>
    </row>
    <row r="1954" spans="1:9" ht="67.95" customHeight="1">
      <c r="A1954" s="1" t="str">
        <f>"Chemistry 6322"</f>
        <v>Chemistry 6322</v>
      </c>
      <c r="B1954" t="s">
        <v>4850</v>
      </c>
      <c r="C1954" t="s">
        <v>128</v>
      </c>
      <c r="D1954" s="2">
        <v>19300</v>
      </c>
      <c r="E1954" s="2">
        <v>13510</v>
      </c>
      <c r="F1954" t="s">
        <v>5</v>
      </c>
      <c r="G1954" t="s">
        <v>4851</v>
      </c>
      <c r="H1954" t="s">
        <v>4852</v>
      </c>
      <c r="I1954">
        <v>234.17</v>
      </c>
    </row>
    <row r="1955" spans="1:9" ht="57.75" customHeight="1">
      <c r="A1955" s="1" t="str">
        <f>"Chemistry 6323"</f>
        <v>Chemistry 6323</v>
      </c>
      <c r="B1955" t="s">
        <v>4853</v>
      </c>
      <c r="C1955" t="s">
        <v>128</v>
      </c>
      <c r="D1955" s="2">
        <v>19300</v>
      </c>
      <c r="E1955" s="2">
        <v>13510</v>
      </c>
      <c r="F1955" t="s">
        <v>5</v>
      </c>
      <c r="G1955" t="s">
        <v>4854</v>
      </c>
      <c r="H1955" t="s">
        <v>4852</v>
      </c>
      <c r="I1955">
        <v>234.17</v>
      </c>
    </row>
    <row r="1956" spans="1:9" ht="106.2" customHeight="1">
      <c r="A1956" s="1" t="str">
        <f>"Chemistry 6325"</f>
        <v>Chemistry 6325</v>
      </c>
      <c r="B1956" t="s">
        <v>4855</v>
      </c>
      <c r="C1956" t="s">
        <v>3</v>
      </c>
      <c r="D1956" s="2">
        <v>16400</v>
      </c>
      <c r="E1956" s="2">
        <v>11480</v>
      </c>
      <c r="F1956" t="s">
        <v>5</v>
      </c>
      <c r="G1956" t="s">
        <v>4856</v>
      </c>
      <c r="H1956" t="s">
        <v>2247</v>
      </c>
      <c r="I1956">
        <v>234.23</v>
      </c>
    </row>
    <row r="1957" spans="1:9" ht="102.3" customHeight="1">
      <c r="A1957" s="1" t="str">
        <f>"Chemistry 6326"</f>
        <v>Chemistry 6326</v>
      </c>
      <c r="B1957" t="s">
        <v>4857</v>
      </c>
      <c r="C1957" t="s">
        <v>3</v>
      </c>
      <c r="D1957" s="2">
        <v>16400</v>
      </c>
      <c r="E1957" s="2">
        <v>11480</v>
      </c>
      <c r="F1957" t="s">
        <v>5</v>
      </c>
      <c r="G1957" t="s">
        <v>4858</v>
      </c>
      <c r="H1957" t="s">
        <v>2247</v>
      </c>
      <c r="I1957">
        <v>234.23</v>
      </c>
    </row>
    <row r="1958" spans="1:9" ht="54.45" customHeight="1">
      <c r="A1958" s="1" t="str">
        <f>"Chemistry 6328"</f>
        <v>Chemistry 6328</v>
      </c>
      <c r="B1958" t="s">
        <v>4859</v>
      </c>
      <c r="C1958" t="s">
        <v>128</v>
      </c>
      <c r="D1958" s="2">
        <v>10700</v>
      </c>
      <c r="E1958" s="2">
        <v>7489.9999999999991</v>
      </c>
      <c r="F1958" t="s">
        <v>5</v>
      </c>
      <c r="G1958" t="s">
        <v>4860</v>
      </c>
      <c r="H1958" t="s">
        <v>4852</v>
      </c>
      <c r="I1958">
        <v>234.17</v>
      </c>
    </row>
    <row r="1959" spans="1:9" ht="71.25" customHeight="1">
      <c r="A1959" s="1" t="str">
        <f>"Chemistry 6329"</f>
        <v>Chemistry 6329</v>
      </c>
      <c r="B1959" t="s">
        <v>4861</v>
      </c>
      <c r="C1959" t="s">
        <v>128</v>
      </c>
      <c r="D1959" s="2">
        <v>9700</v>
      </c>
      <c r="E1959" s="2">
        <v>6790</v>
      </c>
      <c r="F1959" t="s">
        <v>5</v>
      </c>
      <c r="G1959" t="s">
        <v>4862</v>
      </c>
      <c r="H1959" t="s">
        <v>4863</v>
      </c>
      <c r="I1959">
        <v>276.2</v>
      </c>
    </row>
    <row r="1960" spans="1:9" ht="96.6" customHeight="1">
      <c r="A1960" s="1" t="str">
        <f>"Chemistry 6330"</f>
        <v>Chemistry 6330</v>
      </c>
      <c r="B1960" t="s">
        <v>4864</v>
      </c>
      <c r="C1960" t="s">
        <v>128</v>
      </c>
      <c r="D1960" s="2">
        <v>9700</v>
      </c>
      <c r="E1960" s="2">
        <v>6790</v>
      </c>
      <c r="F1960" t="s">
        <v>5</v>
      </c>
      <c r="G1960" t="s">
        <v>4865</v>
      </c>
      <c r="H1960" t="s">
        <v>4863</v>
      </c>
      <c r="I1960">
        <v>276.2</v>
      </c>
    </row>
    <row r="1961" spans="1:9" ht="82.05" customHeight="1">
      <c r="A1961" s="1" t="str">
        <f>"Chemistry 6331"</f>
        <v>Chemistry 6331</v>
      </c>
      <c r="B1961" t="s">
        <v>4866</v>
      </c>
      <c r="C1961" t="s">
        <v>128</v>
      </c>
      <c r="D1961" s="2">
        <v>9700</v>
      </c>
      <c r="E1961" s="2">
        <v>6790</v>
      </c>
      <c r="F1961" t="s">
        <v>5</v>
      </c>
      <c r="G1961" t="s">
        <v>4867</v>
      </c>
      <c r="H1961" t="s">
        <v>4863</v>
      </c>
      <c r="I1961">
        <v>276.2</v>
      </c>
    </row>
    <row r="1962" spans="1:9" ht="83.1" customHeight="1">
      <c r="A1962" s="1" t="str">
        <f>"Chemistry 6334"</f>
        <v>Chemistry 6334</v>
      </c>
      <c r="B1962" t="s">
        <v>4868</v>
      </c>
      <c r="C1962" t="s">
        <v>3</v>
      </c>
      <c r="D1962" s="2">
        <v>27000</v>
      </c>
      <c r="E1962" s="2">
        <v>16200</v>
      </c>
      <c r="F1962" t="s">
        <v>5</v>
      </c>
      <c r="G1962" t="s">
        <v>4869</v>
      </c>
      <c r="H1962" t="s">
        <v>1689</v>
      </c>
      <c r="I1962">
        <v>178.19</v>
      </c>
    </row>
    <row r="1963" spans="1:9" ht="52.8" customHeight="1">
      <c r="A1963" s="1" t="str">
        <f>"Chemistry 6335"</f>
        <v>Chemistry 6335</v>
      </c>
      <c r="B1963" t="s">
        <v>4870</v>
      </c>
      <c r="C1963" t="s">
        <v>128</v>
      </c>
      <c r="D1963" s="2">
        <v>25100</v>
      </c>
      <c r="E1963" s="2">
        <v>15060</v>
      </c>
      <c r="F1963" t="s">
        <v>5</v>
      </c>
      <c r="G1963" t="s">
        <v>4871</v>
      </c>
      <c r="H1963" t="s">
        <v>4822</v>
      </c>
      <c r="I1963">
        <v>198.65</v>
      </c>
    </row>
    <row r="1964" spans="1:9" ht="87" customHeight="1">
      <c r="A1964" s="1" t="str">
        <f>"Chemistry 6336"</f>
        <v>Chemistry 6336</v>
      </c>
      <c r="B1964" t="s">
        <v>4872</v>
      </c>
      <c r="C1964" t="s">
        <v>3</v>
      </c>
      <c r="D1964" s="2">
        <v>17400</v>
      </c>
      <c r="E1964" s="2">
        <v>12180</v>
      </c>
      <c r="F1964" t="s">
        <v>5</v>
      </c>
      <c r="G1964" t="s">
        <v>4873</v>
      </c>
      <c r="H1964" t="s">
        <v>259</v>
      </c>
      <c r="I1964">
        <v>242.36</v>
      </c>
    </row>
    <row r="1965" spans="1:9" ht="64.5" customHeight="1">
      <c r="A1965" s="1" t="str">
        <f>"Chemistry 6337"</f>
        <v>Chemistry 6337</v>
      </c>
      <c r="B1965" t="s">
        <v>4874</v>
      </c>
      <c r="C1965" t="s">
        <v>270</v>
      </c>
      <c r="D1965" s="2">
        <v>15400</v>
      </c>
      <c r="E1965" s="2">
        <v>10780</v>
      </c>
      <c r="F1965" t="s">
        <v>5</v>
      </c>
      <c r="G1965" t="s">
        <v>4875</v>
      </c>
      <c r="H1965" t="s">
        <v>4876</v>
      </c>
      <c r="I1965">
        <v>263.20999999999998</v>
      </c>
    </row>
    <row r="1966" spans="1:9" ht="106.2" customHeight="1">
      <c r="A1966" s="1" t="str">
        <f>"Chemistry 6339"</f>
        <v>Chemistry 6339</v>
      </c>
      <c r="B1966" t="s">
        <v>4877</v>
      </c>
      <c r="C1966" t="s">
        <v>128</v>
      </c>
      <c r="D1966" s="2">
        <v>8700</v>
      </c>
      <c r="E1966" s="2">
        <v>6090</v>
      </c>
      <c r="F1966" t="s">
        <v>5</v>
      </c>
      <c r="G1966" t="s">
        <v>4878</v>
      </c>
      <c r="H1966" t="s">
        <v>4879</v>
      </c>
      <c r="I1966">
        <v>309.75</v>
      </c>
    </row>
    <row r="1967" spans="1:9" ht="75.3" customHeight="1">
      <c r="A1967" s="1" t="str">
        <f>"Chemistry 6340"</f>
        <v>Chemistry 6340</v>
      </c>
      <c r="B1967" t="s">
        <v>4880</v>
      </c>
      <c r="C1967" t="s">
        <v>128</v>
      </c>
      <c r="D1967" s="2">
        <v>19300</v>
      </c>
      <c r="E1967" s="2">
        <v>13510</v>
      </c>
      <c r="F1967" t="s">
        <v>5</v>
      </c>
      <c r="G1967" t="s">
        <v>4881</v>
      </c>
      <c r="H1967" t="s">
        <v>4882</v>
      </c>
      <c r="I1967">
        <v>227.73</v>
      </c>
    </row>
    <row r="1968" spans="1:9" ht="75.3" customHeight="1">
      <c r="A1968" s="1" t="str">
        <f>"Chemistry 6341"</f>
        <v>Chemistry 6341</v>
      </c>
      <c r="B1968" t="s">
        <v>4883</v>
      </c>
      <c r="C1968" t="s">
        <v>128</v>
      </c>
      <c r="D1968" s="2">
        <v>19300</v>
      </c>
      <c r="E1968" s="2">
        <v>13510</v>
      </c>
      <c r="F1968" t="s">
        <v>5</v>
      </c>
      <c r="G1968" t="s">
        <v>4884</v>
      </c>
      <c r="H1968" t="s">
        <v>4885</v>
      </c>
      <c r="I1968">
        <v>243.73</v>
      </c>
    </row>
    <row r="1969" spans="1:9" ht="81.45" customHeight="1">
      <c r="A1969" s="1" t="str">
        <f>"Chemistry 6345"</f>
        <v>Chemistry 6345</v>
      </c>
      <c r="B1969" t="s">
        <v>4886</v>
      </c>
      <c r="C1969" t="s">
        <v>3</v>
      </c>
      <c r="D1969" s="2">
        <v>27000</v>
      </c>
      <c r="E1969" s="2">
        <v>16200</v>
      </c>
      <c r="F1969" t="s">
        <v>5</v>
      </c>
      <c r="G1969" t="s">
        <v>4887</v>
      </c>
      <c r="H1969" t="s">
        <v>2060</v>
      </c>
      <c r="I1969">
        <v>164.16</v>
      </c>
    </row>
    <row r="1970" spans="1:9" ht="81.45" customHeight="1">
      <c r="A1970" s="1" t="str">
        <f>"Chemistry 6346"</f>
        <v>Chemistry 6346</v>
      </c>
      <c r="B1970" t="s">
        <v>4888</v>
      </c>
      <c r="C1970" t="s">
        <v>3</v>
      </c>
      <c r="D1970" s="2">
        <v>27000</v>
      </c>
      <c r="E1970" s="2">
        <v>16200</v>
      </c>
      <c r="F1970" t="s">
        <v>5</v>
      </c>
      <c r="G1970" t="s">
        <v>4889</v>
      </c>
      <c r="H1970" t="s">
        <v>2060</v>
      </c>
      <c r="I1970">
        <v>164.16</v>
      </c>
    </row>
    <row r="1971" spans="1:9" ht="106.2" customHeight="1">
      <c r="A1971" s="1" t="str">
        <f>"Chemistry 6347"</f>
        <v>Chemistry 6347</v>
      </c>
      <c r="B1971" t="s">
        <v>4890</v>
      </c>
      <c r="C1971" t="s">
        <v>128</v>
      </c>
      <c r="D1971" s="2">
        <v>13500</v>
      </c>
      <c r="E1971" s="2">
        <v>9450</v>
      </c>
      <c r="F1971" t="s">
        <v>5</v>
      </c>
      <c r="G1971" t="s">
        <v>4891</v>
      </c>
      <c r="H1971" t="s">
        <v>4892</v>
      </c>
      <c r="I1971">
        <v>244.12</v>
      </c>
    </row>
    <row r="1972" spans="1:9" ht="106.2" customHeight="1">
      <c r="A1972" s="1" t="str">
        <f>"Chemistry 6348"</f>
        <v>Chemistry 6348</v>
      </c>
      <c r="B1972" t="s">
        <v>4893</v>
      </c>
      <c r="C1972" t="s">
        <v>128</v>
      </c>
      <c r="D1972" s="2">
        <v>13500</v>
      </c>
      <c r="E1972" s="2">
        <v>9450</v>
      </c>
      <c r="F1972" t="s">
        <v>5</v>
      </c>
      <c r="G1972" t="s">
        <v>4894</v>
      </c>
      <c r="H1972" t="s">
        <v>4895</v>
      </c>
      <c r="I1972">
        <v>239.7</v>
      </c>
    </row>
    <row r="1973" spans="1:9" ht="71.25" customHeight="1">
      <c r="A1973" s="1" t="str">
        <f>"Chemistry 6349"</f>
        <v>Chemistry 6349</v>
      </c>
      <c r="B1973" t="s">
        <v>4896</v>
      </c>
      <c r="C1973" t="s">
        <v>128</v>
      </c>
      <c r="D1973" s="2">
        <v>19300</v>
      </c>
      <c r="E1973" s="2">
        <v>13510</v>
      </c>
      <c r="F1973" t="s">
        <v>5</v>
      </c>
      <c r="G1973" t="s">
        <v>4897</v>
      </c>
      <c r="H1973" t="s">
        <v>4882</v>
      </c>
      <c r="I1973">
        <v>227.73</v>
      </c>
    </row>
    <row r="1974" spans="1:9" ht="75.3" customHeight="1">
      <c r="A1974" s="1" t="str">
        <f>"Chemistry 6350"</f>
        <v>Chemistry 6350</v>
      </c>
      <c r="B1974" t="s">
        <v>4898</v>
      </c>
      <c r="C1974" t="s">
        <v>128</v>
      </c>
      <c r="D1974" s="2">
        <v>19300</v>
      </c>
      <c r="E1974" s="2">
        <v>13510</v>
      </c>
      <c r="F1974" t="s">
        <v>5</v>
      </c>
      <c r="G1974" t="s">
        <v>4899</v>
      </c>
      <c r="H1974" t="s">
        <v>4885</v>
      </c>
      <c r="I1974">
        <v>243.73</v>
      </c>
    </row>
  </sheetData>
  <autoFilter ref="A1:I1974" xr:uid="{66080B2A-BA54-4E14-ACFB-F6F23E813B68}"/>
  <phoneticPr fontId="2"/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森 みずき</dc:creator>
  <cp:lastModifiedBy>Toshihiro Watanabe 渡辺俊博_KISHIDA</cp:lastModifiedBy>
  <dcterms:created xsi:type="dcterms:W3CDTF">2025-06-24T01:52:15Z</dcterms:created>
  <dcterms:modified xsi:type="dcterms:W3CDTF">2025-06-24T22:12:56Z</dcterms:modified>
</cp:coreProperties>
</file>